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lubbe\Documents\Instrumenten\toolbox 2020\basisschool\"/>
    </mc:Choice>
  </mc:AlternateContent>
  <bookViews>
    <workbookView xWindow="0" yWindow="0" windowWidth="19200" windowHeight="11205" tabRatio="880" activeTab="1"/>
  </bookViews>
  <sheets>
    <sheet name="toel" sheetId="1" r:id="rId1"/>
    <sheet name="geg" sheetId="2" r:id="rId2"/>
    <sheet name="pers" sheetId="3" r:id="rId3"/>
    <sheet name="dir" sheetId="4" r:id="rId4"/>
    <sheet name="op" sheetId="5" r:id="rId5"/>
    <sheet name="obp" sheetId="6" r:id="rId6"/>
    <sheet name="mat" sheetId="7" r:id="rId7"/>
    <sheet name="mop" sheetId="8" r:id="rId8"/>
    <sheet name="mip" sheetId="9" r:id="rId9"/>
    <sheet name="act" sheetId="10" r:id="rId10"/>
    <sheet name="beleid" sheetId="21" state="hidden" r:id="rId11"/>
    <sheet name="begr" sheetId="11" r:id="rId12"/>
    <sheet name="bal" sheetId="12" r:id="rId13"/>
    <sheet name="liq" sheetId="13" r:id="rId14"/>
    <sheet name="ken" sheetId="14" r:id="rId15"/>
    <sheet name="graf" sheetId="15" r:id="rId16"/>
    <sheet name="som" sheetId="16" r:id="rId17"/>
    <sheet name="tab" sheetId="19" r:id="rId18"/>
    <sheet name="saltab" sheetId="22" r:id="rId19"/>
    <sheet name=" score" sheetId="23" r:id="rId20"/>
    <sheet name="Module1" sheetId="18" state="veryHidden" r:id="rId21"/>
  </sheets>
  <definedNames>
    <definedName name="_xlnm._FilterDatabase" localSheetId="8" hidden="1">mip!$I$8:$I$213</definedName>
    <definedName name="Achterstandsscore">' score'!$A$6:$D$6338</definedName>
    <definedName name="_xlnm.Print_Area" localSheetId="9">act!$B$2:$M$64</definedName>
    <definedName name="_xlnm.Print_Area" localSheetId="12">bal!$B$2:$N$60</definedName>
    <definedName name="_xlnm.Print_Area" localSheetId="11">begr!$B$2:$M$54</definedName>
    <definedName name="_xlnm.Print_Area" localSheetId="10">beleid!$B$2:$V$69</definedName>
    <definedName name="_xlnm.Print_Area" localSheetId="3">dir!$B$2:$V$76</definedName>
    <definedName name="_xlnm.Print_Area" localSheetId="1">geg!$B$2:$N$61</definedName>
    <definedName name="_xlnm.Print_Area" localSheetId="15">graf!$B$2:$R$95</definedName>
    <definedName name="_xlnm.Print_Area" localSheetId="14">ken!$B$2:$L$81</definedName>
    <definedName name="_xlnm.Print_Area" localSheetId="13">liq!$B$2:$L$55</definedName>
    <definedName name="_xlnm.Print_Area" localSheetId="6">mat!$B$2:$O$170</definedName>
    <definedName name="_xlnm.Print_Area" localSheetId="8">mip!$B$2:$AF$82</definedName>
    <definedName name="_xlnm.Print_Area" localSheetId="7">mop!$B$2:$Q$32</definedName>
    <definedName name="_xlnm.Print_Area" localSheetId="5">obp!$B$2:$V$102</definedName>
    <definedName name="_xlnm.Print_Area" localSheetId="4">op!$B$2:$V$140</definedName>
    <definedName name="_xlnm.Print_Area" localSheetId="2">pers!$B$2:$O$144</definedName>
    <definedName name="_xlnm.Print_Area" localSheetId="18">saltab!$B$2:$W$135</definedName>
    <definedName name="_xlnm.Print_Area" localSheetId="16">som!$B$2:$L$70</definedName>
    <definedName name="_xlnm.Print_Area" localSheetId="17">tab!$A$1:$J$132</definedName>
    <definedName name="_xlnm.Print_Area" localSheetId="0">toel!$B$2:$P$197</definedName>
    <definedName name="groepenleerlingennu">tab!$A$83:$A$117</definedName>
    <definedName name="IGB">tab!$E$137:$I$181</definedName>
    <definedName name="MI2019groep">tab!$I$83:$J$132</definedName>
    <definedName name="Postcode_gebieden">tab!$C$135:$C$1102</definedName>
    <definedName name="regels2019">saltab!$W$49:$W$90</definedName>
    <definedName name="salaris2018sept">saltab!$B$4:$W$45</definedName>
    <definedName name="salaris2019">saltab!$B$49:$W$90</definedName>
    <definedName name="salaris2020">saltab!$B$94:$W$135</definedName>
    <definedName name="schaal2019">saltab!$B$49:$B$90</definedName>
    <definedName name="vloeroppervlaknu">tab!$B$83:$B$117</definedName>
  </definedNames>
  <calcPr calcId="152511"/>
</workbook>
</file>

<file path=xl/calcChain.xml><?xml version="1.0" encoding="utf-8"?>
<calcChain xmlns="http://schemas.openxmlformats.org/spreadsheetml/2006/main">
  <c r="G35" i="2" l="1"/>
  <c r="J71" i="19" l="1"/>
  <c r="I71" i="19"/>
  <c r="I70" i="19"/>
  <c r="J70" i="19"/>
  <c r="H49" i="2" l="1"/>
  <c r="I49" i="2" s="1"/>
  <c r="J49" i="2" s="1"/>
  <c r="K49" i="2" s="1"/>
  <c r="L49" i="2" s="1"/>
  <c r="H26" i="2"/>
  <c r="I26" i="2" s="1"/>
  <c r="J26" i="2" s="1"/>
  <c r="K26" i="2" s="1"/>
  <c r="L26" i="2" s="1"/>
  <c r="H25" i="2"/>
  <c r="I25" i="2" s="1"/>
  <c r="J25" i="2" s="1"/>
  <c r="K25" i="2" s="1"/>
  <c r="L25" i="2" s="1"/>
  <c r="L19" i="2" l="1"/>
  <c r="F8" i="12"/>
  <c r="K38" i="12"/>
  <c r="L38" i="12"/>
  <c r="G58" i="11"/>
  <c r="H58" i="11"/>
  <c r="I58" i="11"/>
  <c r="J58" i="11"/>
  <c r="F58" i="11"/>
  <c r="Y50" i="6"/>
  <c r="Y51" i="6"/>
  <c r="Y52" i="6"/>
  <c r="Y53" i="6"/>
  <c r="Y54" i="6"/>
  <c r="Y55" i="6"/>
  <c r="Y56" i="6"/>
  <c r="Y57" i="6"/>
  <c r="Y58" i="6"/>
  <c r="Y59" i="6"/>
  <c r="Y60" i="6"/>
  <c r="Y61" i="6"/>
  <c r="Y62" i="6"/>
  <c r="Y63" i="6"/>
  <c r="Y64" i="6"/>
  <c r="Y65" i="6"/>
  <c r="Y66" i="6"/>
  <c r="Y67" i="6"/>
  <c r="Y68" i="6"/>
  <c r="Y17" i="6"/>
  <c r="Y18" i="6"/>
  <c r="Y19" i="6"/>
  <c r="Y20" i="6"/>
  <c r="Y21" i="6"/>
  <c r="Y22" i="6"/>
  <c r="Y23" i="6"/>
  <c r="Y24" i="6"/>
  <c r="Y25" i="6"/>
  <c r="Y26" i="6"/>
  <c r="Y27" i="6"/>
  <c r="Y28" i="6"/>
  <c r="Y29" i="6"/>
  <c r="Y30" i="6"/>
  <c r="Y31" i="6"/>
  <c r="Y32" i="6"/>
  <c r="Y33" i="6"/>
  <c r="Y34" i="6"/>
  <c r="Y35" i="6"/>
  <c r="Y16" i="6"/>
  <c r="Y85" i="5"/>
  <c r="Y86" i="5"/>
  <c r="Y87" i="5"/>
  <c r="Y88" i="5"/>
  <c r="Y89" i="5"/>
  <c r="Y90" i="5"/>
  <c r="Y91" i="5"/>
  <c r="Y92" i="5"/>
  <c r="Y93" i="5"/>
  <c r="Y94" i="5"/>
  <c r="Y95" i="5"/>
  <c r="Y96" i="5"/>
  <c r="Y97" i="5"/>
  <c r="Y98" i="5"/>
  <c r="Y99" i="5"/>
  <c r="Y100" i="5"/>
  <c r="Y101" i="5"/>
  <c r="Y102" i="5"/>
  <c r="Y103" i="5"/>
  <c r="Y104" i="5"/>
  <c r="Y105" i="5"/>
  <c r="Y106" i="5"/>
  <c r="Y107" i="5"/>
  <c r="Y108" i="5"/>
  <c r="Y109" i="5"/>
  <c r="Y110" i="5"/>
  <c r="Y111" i="5"/>
  <c r="Y112" i="5"/>
  <c r="Y113" i="5"/>
  <c r="Y114" i="5"/>
  <c r="Y115" i="5"/>
  <c r="Y116" i="5"/>
  <c r="Y117" i="5"/>
  <c r="Y118" i="5"/>
  <c r="Y119" i="5"/>
  <c r="Y120" i="5"/>
  <c r="Y121" i="5"/>
  <c r="Y122" i="5"/>
  <c r="Y123" i="5"/>
  <c r="Y124" i="5"/>
  <c r="Y125" i="5"/>
  <c r="Y126" i="5"/>
  <c r="Y127" i="5"/>
  <c r="Y128" i="5"/>
  <c r="Y129" i="5"/>
  <c r="Y130" i="5"/>
  <c r="Y131" i="5"/>
  <c r="Y132" i="5"/>
  <c r="Y133" i="5"/>
  <c r="Y134" i="5"/>
  <c r="Y135" i="5"/>
  <c r="Y136" i="5"/>
  <c r="Y137" i="5"/>
  <c r="Y138" i="5"/>
  <c r="E145" i="4"/>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48" i="5"/>
  <c r="Y49" i="5"/>
  <c r="Y50" i="5"/>
  <c r="Y51" i="5"/>
  <c r="Y52" i="5"/>
  <c r="Y53" i="5"/>
  <c r="Y54" i="5"/>
  <c r="Y55" i="5"/>
  <c r="Y56" i="5"/>
  <c r="Y57" i="5"/>
  <c r="Y58" i="5"/>
  <c r="Y59" i="5"/>
  <c r="Y60" i="5"/>
  <c r="Y61" i="5"/>
  <c r="Y62" i="5"/>
  <c r="Y63" i="5"/>
  <c r="Y64" i="5"/>
  <c r="Y65" i="5"/>
  <c r="Y66" i="5"/>
  <c r="Y67" i="5"/>
  <c r="Y68" i="5"/>
  <c r="Y69" i="5"/>
  <c r="Y70" i="5"/>
  <c r="Y16" i="5"/>
  <c r="Y43" i="4"/>
  <c r="Y44" i="4"/>
  <c r="Y45" i="4"/>
  <c r="Y46" i="4"/>
  <c r="Y47" i="4"/>
  <c r="Y48" i="4"/>
  <c r="Y49" i="4"/>
  <c r="Y50" i="4"/>
  <c r="Y51" i="4"/>
  <c r="Y19" i="4"/>
  <c r="Y20" i="4"/>
  <c r="Y21" i="4"/>
  <c r="Y22" i="4"/>
  <c r="Y23" i="4"/>
  <c r="Y24" i="4"/>
  <c r="Y25" i="4"/>
  <c r="Y26" i="4"/>
  <c r="Y27" i="4"/>
  <c r="E146" i="4"/>
  <c r="E124" i="4"/>
  <c r="E123" i="4"/>
  <c r="E102" i="4"/>
  <c r="E101" i="4"/>
  <c r="E80" i="4"/>
  <c r="E79" i="4"/>
  <c r="E58" i="4"/>
  <c r="E57" i="4"/>
  <c r="E35" i="4"/>
  <c r="E34" i="4"/>
  <c r="Y18" i="4"/>
  <c r="E11" i="4"/>
  <c r="E10" i="4"/>
  <c r="H39" i="2"/>
  <c r="I39" i="2" s="1"/>
  <c r="H139" i="19"/>
  <c r="F66" i="19"/>
  <c r="E66" i="19"/>
  <c r="F64" i="19"/>
  <c r="E64" i="19"/>
  <c r="J39" i="2" l="1"/>
  <c r="K39" i="2" l="1"/>
  <c r="L39" i="2" l="1"/>
  <c r="M8" i="3" l="1"/>
  <c r="H9" i="3"/>
  <c r="I8" i="3" l="1"/>
  <c r="J8" i="3"/>
  <c r="K8" i="3"/>
  <c r="L8" i="3"/>
  <c r="H8" i="3"/>
  <c r="G20" i="2" l="1"/>
  <c r="H19" i="2"/>
  <c r="I19" i="2"/>
  <c r="J19" i="2"/>
  <c r="K19" i="2"/>
  <c r="G19" i="2"/>
  <c r="I156" i="19" l="1"/>
  <c r="I157" i="19" s="1"/>
  <c r="I158" i="19" s="1"/>
  <c r="I159" i="19" s="1"/>
  <c r="I160" i="19" s="1"/>
  <c r="I161" i="19" s="1"/>
  <c r="I162" i="19" s="1"/>
  <c r="I163" i="19" s="1"/>
  <c r="I164" i="19" s="1"/>
  <c r="I165" i="19" s="1"/>
  <c r="I166" i="19" s="1"/>
  <c r="I167" i="19" s="1"/>
  <c r="I168" i="19" s="1"/>
  <c r="I169" i="19" s="1"/>
  <c r="I170" i="19" s="1"/>
  <c r="I171" i="19" s="1"/>
  <c r="I172" i="19" s="1"/>
  <c r="I173" i="19" s="1"/>
  <c r="I174" i="19" s="1"/>
  <c r="I175" i="19" s="1"/>
  <c r="I176" i="19" s="1"/>
  <c r="I177" i="19" s="1"/>
  <c r="I178" i="19" s="1"/>
  <c r="I179" i="19" s="1"/>
  <c r="I180" i="19" s="1"/>
  <c r="I181" i="19" s="1"/>
  <c r="H156" i="19"/>
  <c r="H157" i="19" s="1"/>
  <c r="H158" i="19" s="1"/>
  <c r="H159" i="19" s="1"/>
  <c r="H160" i="19" s="1"/>
  <c r="H161" i="19" s="1"/>
  <c r="H162" i="19" s="1"/>
  <c r="H163" i="19" s="1"/>
  <c r="H164" i="19" s="1"/>
  <c r="H165" i="19" s="1"/>
  <c r="H166" i="19" s="1"/>
  <c r="H167" i="19" s="1"/>
  <c r="H168" i="19" s="1"/>
  <c r="H169" i="19" s="1"/>
  <c r="H170" i="19" s="1"/>
  <c r="H171" i="19" s="1"/>
  <c r="H172" i="19" s="1"/>
  <c r="H173" i="19" s="1"/>
  <c r="H174" i="19" s="1"/>
  <c r="H175" i="19" s="1"/>
  <c r="H176" i="19" s="1"/>
  <c r="H177" i="19" s="1"/>
  <c r="H178" i="19" s="1"/>
  <c r="H179" i="19" s="1"/>
  <c r="H180" i="19" s="1"/>
  <c r="H181" i="19" s="1"/>
  <c r="E153" i="19"/>
  <c r="E154" i="19" s="1"/>
  <c r="E155" i="19" s="1"/>
  <c r="E156" i="19" s="1"/>
  <c r="E157" i="19" s="1"/>
  <c r="E158" i="19" s="1"/>
  <c r="E159" i="19" s="1"/>
  <c r="E160" i="19" s="1"/>
  <c r="H40" i="3" s="1"/>
  <c r="F153" i="19"/>
  <c r="F154" i="19" s="1"/>
  <c r="F155" i="19" s="1"/>
  <c r="F156" i="19" s="1"/>
  <c r="F157" i="19" s="1"/>
  <c r="F158" i="19" s="1"/>
  <c r="F159" i="19" s="1"/>
  <c r="F160" i="19" s="1"/>
  <c r="F161" i="19" s="1"/>
  <c r="F162" i="19" s="1"/>
  <c r="F163" i="19" s="1"/>
  <c r="F164" i="19" s="1"/>
  <c r="F165" i="19" s="1"/>
  <c r="F166" i="19" s="1"/>
  <c r="F167" i="19" s="1"/>
  <c r="F168" i="19" s="1"/>
  <c r="F169" i="19" s="1"/>
  <c r="F170" i="19" s="1"/>
  <c r="F171" i="19" s="1"/>
  <c r="F172" i="19" s="1"/>
  <c r="F173" i="19" s="1"/>
  <c r="F174" i="19" s="1"/>
  <c r="F175" i="19" s="1"/>
  <c r="F176" i="19" s="1"/>
  <c r="F177" i="19" s="1"/>
  <c r="F178" i="19" s="1"/>
  <c r="F179" i="19" s="1"/>
  <c r="F180" i="19" s="1"/>
  <c r="F181" i="19" s="1"/>
  <c r="E30" i="19"/>
  <c r="E31" i="19"/>
  <c r="E32" i="19"/>
  <c r="E33" i="19"/>
  <c r="E34" i="19"/>
  <c r="E35" i="19"/>
  <c r="E40" i="19"/>
  <c r="E41" i="19"/>
  <c r="E42" i="19"/>
  <c r="E43" i="19"/>
  <c r="E44" i="19"/>
  <c r="E45" i="19"/>
  <c r="E47" i="19"/>
  <c r="E161" i="19" l="1"/>
  <c r="E162" i="19" s="1"/>
  <c r="E163" i="19" s="1"/>
  <c r="E164" i="19" s="1"/>
  <c r="E165" i="19" s="1"/>
  <c r="E166" i="19" s="1"/>
  <c r="E167" i="19" s="1"/>
  <c r="E168" i="19" s="1"/>
  <c r="E169" i="19" s="1"/>
  <c r="E170" i="19" s="1"/>
  <c r="E171" i="19" s="1"/>
  <c r="E172" i="19" s="1"/>
  <c r="E173" i="19" s="1"/>
  <c r="E174" i="19" s="1"/>
  <c r="E175" i="19" s="1"/>
  <c r="E176" i="19" s="1"/>
  <c r="E177" i="19" s="1"/>
  <c r="E178" i="19" s="1"/>
  <c r="E179" i="19" s="1"/>
  <c r="E180" i="19" s="1"/>
  <c r="E181" i="19" s="1"/>
  <c r="H20" i="7"/>
  <c r="J40" i="3"/>
  <c r="I40" i="3"/>
  <c r="K40" i="3"/>
  <c r="L40" i="3"/>
  <c r="M40" i="3"/>
  <c r="C5" i="2" l="1"/>
  <c r="C114" i="22" l="1"/>
  <c r="C113" i="22"/>
  <c r="C69" i="22"/>
  <c r="C68" i="22"/>
  <c r="C24" i="22"/>
  <c r="C23" i="22"/>
  <c r="D47" i="19" l="1"/>
  <c r="C47" i="19"/>
  <c r="D30" i="19"/>
  <c r="D31" i="19"/>
  <c r="D32" i="19"/>
  <c r="D33" i="19"/>
  <c r="D34" i="19"/>
  <c r="D35" i="19"/>
  <c r="D40" i="19"/>
  <c r="D41" i="19"/>
  <c r="D42" i="19"/>
  <c r="D43" i="19"/>
  <c r="D44" i="19"/>
  <c r="D45" i="19"/>
  <c r="C45" i="19"/>
  <c r="C44" i="19"/>
  <c r="C43" i="19"/>
  <c r="C42" i="19"/>
  <c r="C41" i="19"/>
  <c r="C40" i="19"/>
  <c r="C35" i="19"/>
  <c r="C34" i="19"/>
  <c r="C33" i="19"/>
  <c r="C32" i="19"/>
  <c r="C31" i="19"/>
  <c r="C30" i="19"/>
  <c r="AF17" i="6" l="1"/>
  <c r="AF18" i="6"/>
  <c r="AF19" i="6"/>
  <c r="AF20" i="6"/>
  <c r="AF21" i="6"/>
  <c r="AF22" i="6"/>
  <c r="AF23" i="6"/>
  <c r="AF24" i="6"/>
  <c r="AF25" i="6"/>
  <c r="AF26" i="6"/>
  <c r="AF27" i="6"/>
  <c r="AF28" i="6"/>
  <c r="AF29" i="6"/>
  <c r="AF30" i="6"/>
  <c r="AF31" i="6"/>
  <c r="AF32" i="6"/>
  <c r="AF33" i="6"/>
  <c r="AF34" i="6"/>
  <c r="AF35" i="6"/>
  <c r="AF16" i="6"/>
  <c r="AF17" i="5"/>
  <c r="AF18" i="5"/>
  <c r="AF19" i="5"/>
  <c r="AF20" i="5"/>
  <c r="AF21" i="5"/>
  <c r="AF22" i="5"/>
  <c r="AF23" i="5"/>
  <c r="AF24" i="5"/>
  <c r="AF25" i="5"/>
  <c r="AF26"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7" i="5"/>
  <c r="AF58" i="5"/>
  <c r="AF59" i="5"/>
  <c r="AF60" i="5"/>
  <c r="AF61" i="5"/>
  <c r="AF62" i="5"/>
  <c r="AF63" i="5"/>
  <c r="AF64" i="5"/>
  <c r="AF65" i="5"/>
  <c r="AF66" i="5"/>
  <c r="AF67" i="5"/>
  <c r="AF68" i="5"/>
  <c r="AF69" i="5"/>
  <c r="AF70" i="5"/>
  <c r="AF16" i="5"/>
  <c r="AF19" i="4"/>
  <c r="AF20" i="4"/>
  <c r="AF21" i="4"/>
  <c r="AF22" i="4"/>
  <c r="AF23" i="4"/>
  <c r="AF24" i="4"/>
  <c r="AF25" i="4"/>
  <c r="AF26" i="4"/>
  <c r="AF27" i="4"/>
  <c r="AF18" i="4"/>
  <c r="G97" i="19" l="1"/>
  <c r="G98" i="19" s="1"/>
  <c r="G99" i="19" s="1"/>
  <c r="G100" i="19" s="1"/>
  <c r="G101" i="19" s="1"/>
  <c r="G102" i="19" s="1"/>
  <c r="G103" i="19" s="1"/>
  <c r="G104" i="19" s="1"/>
  <c r="G105" i="19" s="1"/>
  <c r="G106" i="19" s="1"/>
  <c r="G107" i="19" s="1"/>
  <c r="G108" i="19" s="1"/>
  <c r="G109" i="19" s="1"/>
  <c r="G110" i="19" s="1"/>
  <c r="G111" i="19" s="1"/>
  <c r="G112" i="19" s="1"/>
  <c r="G113" i="19" s="1"/>
  <c r="G114" i="19" s="1"/>
  <c r="G115" i="19" s="1"/>
  <c r="G116" i="19" s="1"/>
  <c r="G117" i="19" s="1"/>
  <c r="G118" i="19" s="1"/>
  <c r="G119" i="19" s="1"/>
  <c r="G120" i="19" s="1"/>
  <c r="G121" i="19" s="1"/>
  <c r="G122" i="19" s="1"/>
  <c r="G123" i="19" s="1"/>
  <c r="G124" i="19" s="1"/>
  <c r="G125" i="19" s="1"/>
  <c r="G126" i="19" s="1"/>
  <c r="G127" i="19" s="1"/>
  <c r="G128" i="19" s="1"/>
  <c r="G129" i="19" s="1"/>
  <c r="G130" i="19" s="1"/>
  <c r="G131" i="19" s="1"/>
  <c r="G132" i="19" s="1"/>
  <c r="E97" i="19" l="1"/>
  <c r="E98" i="19" l="1"/>
  <c r="F97" i="19"/>
  <c r="E99" i="19" l="1"/>
  <c r="F98" i="19"/>
  <c r="F99" i="19" l="1"/>
  <c r="E100" i="19"/>
  <c r="F100" i="19" l="1"/>
  <c r="E101" i="19"/>
  <c r="E102" i="19" l="1"/>
  <c r="F101" i="19"/>
  <c r="E103" i="19" l="1"/>
  <c r="F102" i="19"/>
  <c r="F103" i="19" l="1"/>
  <c r="E104" i="19"/>
  <c r="F104" i="19" l="1"/>
  <c r="E105" i="19"/>
  <c r="E106" i="19" l="1"/>
  <c r="F105" i="19"/>
  <c r="E107" i="19" l="1"/>
  <c r="F106" i="19"/>
  <c r="F107" i="19" l="1"/>
  <c r="E108" i="19"/>
  <c r="F108" i="19" l="1"/>
  <c r="E109" i="19"/>
  <c r="E110" i="19" l="1"/>
  <c r="F109" i="19"/>
  <c r="E111" i="19" l="1"/>
  <c r="F110" i="19"/>
  <c r="F111" i="19" l="1"/>
  <c r="E112" i="19"/>
  <c r="F112" i="19" l="1"/>
  <c r="E113" i="19"/>
  <c r="E114" i="19" l="1"/>
  <c r="F113" i="19"/>
  <c r="E115" i="19" l="1"/>
  <c r="F114" i="19"/>
  <c r="F115" i="19" l="1"/>
  <c r="E116" i="19"/>
  <c r="F116" i="19" l="1"/>
  <c r="E117" i="19"/>
  <c r="E118" i="19" l="1"/>
  <c r="F117" i="19"/>
  <c r="E119" i="19" l="1"/>
  <c r="F118" i="19"/>
  <c r="F119" i="19" l="1"/>
  <c r="E120" i="19"/>
  <c r="F120" i="19" l="1"/>
  <c r="E121" i="19"/>
  <c r="E122" i="19" l="1"/>
  <c r="F121" i="19"/>
  <c r="E123" i="19" l="1"/>
  <c r="F122" i="19"/>
  <c r="F123" i="19" l="1"/>
  <c r="E124" i="19"/>
  <c r="F124" i="19" l="1"/>
  <c r="E125" i="19"/>
  <c r="E126" i="19" l="1"/>
  <c r="F125" i="19"/>
  <c r="E127" i="19" l="1"/>
  <c r="F126" i="19"/>
  <c r="F127" i="19" l="1"/>
  <c r="E128" i="19"/>
  <c r="F128" i="19" l="1"/>
  <c r="E129" i="19"/>
  <c r="E130" i="19" l="1"/>
  <c r="F129" i="19"/>
  <c r="E131" i="19" l="1"/>
  <c r="F130" i="19"/>
  <c r="F131" i="19" l="1"/>
  <c r="E132" i="19"/>
  <c r="F132" i="19" s="1"/>
  <c r="D66" i="19" l="1"/>
  <c r="C66" i="19"/>
  <c r="D64" i="19"/>
  <c r="C64" i="19"/>
  <c r="E4" i="19"/>
  <c r="D68" i="19" s="1"/>
  <c r="F8" i="11" l="1"/>
  <c r="P9" i="9"/>
  <c r="G8" i="12"/>
  <c r="F13" i="8"/>
  <c r="F8" i="10"/>
  <c r="F4" i="19"/>
  <c r="I9" i="3"/>
  <c r="H20" i="2"/>
  <c r="H8" i="7"/>
  <c r="G43" i="2"/>
  <c r="Y36" i="6"/>
  <c r="AA36" i="6" s="1"/>
  <c r="Y71" i="5"/>
  <c r="AA71" i="5" s="1"/>
  <c r="Y28" i="4"/>
  <c r="AA28" i="4" s="1"/>
  <c r="F16" i="16" l="1"/>
  <c r="H8" i="12"/>
  <c r="G8" i="11"/>
  <c r="G4" i="19"/>
  <c r="J9" i="3"/>
  <c r="H43" i="2"/>
  <c r="I20" i="2"/>
  <c r="I8" i="7"/>
  <c r="W112" i="22"/>
  <c r="W67" i="22"/>
  <c r="W22" i="22"/>
  <c r="W135" i="22"/>
  <c r="W134" i="22"/>
  <c r="W133" i="22"/>
  <c r="W132" i="22"/>
  <c r="W131" i="22"/>
  <c r="W130" i="22"/>
  <c r="W129" i="22"/>
  <c r="W128" i="22"/>
  <c r="W127" i="22"/>
  <c r="W126" i="22"/>
  <c r="W125" i="22"/>
  <c r="W124" i="22"/>
  <c r="W123" i="22"/>
  <c r="W122" i="22"/>
  <c r="W121" i="22"/>
  <c r="W120" i="22"/>
  <c r="W119" i="22"/>
  <c r="W118" i="22"/>
  <c r="W117" i="22"/>
  <c r="W116" i="22"/>
  <c r="W115" i="22"/>
  <c r="W114" i="22"/>
  <c r="W113" i="22"/>
  <c r="W111" i="22"/>
  <c r="W110" i="22"/>
  <c r="W109" i="22"/>
  <c r="W108" i="22"/>
  <c r="W107" i="22"/>
  <c r="W106" i="22"/>
  <c r="W105" i="22"/>
  <c r="W104" i="22"/>
  <c r="W103" i="22"/>
  <c r="W102" i="22"/>
  <c r="W101" i="22"/>
  <c r="W100" i="22"/>
  <c r="W99" i="22"/>
  <c r="W98" i="22"/>
  <c r="W97" i="22"/>
  <c r="W96" i="22"/>
  <c r="W95" i="22"/>
  <c r="W94" i="22"/>
  <c r="W90" i="22"/>
  <c r="W89" i="22"/>
  <c r="W88" i="22"/>
  <c r="W87" i="22"/>
  <c r="W86" i="22"/>
  <c r="W85" i="22"/>
  <c r="W84" i="22"/>
  <c r="W83" i="22"/>
  <c r="W82" i="22"/>
  <c r="W81" i="22"/>
  <c r="W80" i="22"/>
  <c r="W79" i="22"/>
  <c r="W78" i="22"/>
  <c r="W77" i="22"/>
  <c r="W76" i="22"/>
  <c r="W75" i="22"/>
  <c r="W74" i="22"/>
  <c r="W73" i="22"/>
  <c r="W72" i="22"/>
  <c r="W71" i="22"/>
  <c r="W70" i="22"/>
  <c r="W69" i="22"/>
  <c r="W68" i="22"/>
  <c r="W66" i="22"/>
  <c r="W65" i="22"/>
  <c r="W64" i="22"/>
  <c r="W63" i="22"/>
  <c r="W62" i="22"/>
  <c r="W61" i="22"/>
  <c r="W60" i="22"/>
  <c r="W59" i="22"/>
  <c r="W58" i="22"/>
  <c r="W57" i="22"/>
  <c r="W56" i="22"/>
  <c r="W55" i="22"/>
  <c r="W54" i="22"/>
  <c r="W53" i="22"/>
  <c r="W52" i="22"/>
  <c r="W51" i="22"/>
  <c r="W50" i="22"/>
  <c r="W49" i="22"/>
  <c r="W45" i="22"/>
  <c r="W44" i="22"/>
  <c r="W43" i="22"/>
  <c r="W42" i="22"/>
  <c r="W41" i="22"/>
  <c r="W40" i="22"/>
  <c r="W39" i="22"/>
  <c r="W38" i="22"/>
  <c r="W37" i="22"/>
  <c r="W36" i="22"/>
  <c r="W35" i="22"/>
  <c r="W34" i="22"/>
  <c r="W33" i="22"/>
  <c r="W32" i="22"/>
  <c r="W31" i="22"/>
  <c r="W30" i="22"/>
  <c r="W29" i="22"/>
  <c r="W28" i="22"/>
  <c r="W27" i="22"/>
  <c r="W26" i="22"/>
  <c r="W25" i="22"/>
  <c r="W24" i="22"/>
  <c r="W23" i="22"/>
  <c r="W21" i="22"/>
  <c r="W20" i="22"/>
  <c r="W19" i="22"/>
  <c r="W18" i="22"/>
  <c r="W17" i="22"/>
  <c r="W16" i="22"/>
  <c r="W15" i="22"/>
  <c r="W14" i="22"/>
  <c r="W13" i="22"/>
  <c r="W12" i="22"/>
  <c r="W11" i="22"/>
  <c r="W10" i="22"/>
  <c r="W9" i="22"/>
  <c r="W8" i="22"/>
  <c r="W7" i="22"/>
  <c r="W6" i="22"/>
  <c r="W5" i="22"/>
  <c r="W4" i="22"/>
  <c r="H8" i="11" l="1"/>
  <c r="I8" i="12"/>
  <c r="H4" i="19"/>
  <c r="K9" i="3"/>
  <c r="I43" i="2"/>
  <c r="J20" i="2"/>
  <c r="J8" i="7"/>
  <c r="G58" i="14"/>
  <c r="H58" i="14"/>
  <c r="I58" i="14"/>
  <c r="J58" i="14"/>
  <c r="F58" i="14"/>
  <c r="J24" i="16"/>
  <c r="J65" i="16"/>
  <c r="K58" i="11"/>
  <c r="M176" i="7"/>
  <c r="K23" i="10"/>
  <c r="K24" i="10"/>
  <c r="K25" i="10"/>
  <c r="K26" i="10"/>
  <c r="K27" i="10"/>
  <c r="K28" i="10"/>
  <c r="K34" i="10"/>
  <c r="K35" i="10"/>
  <c r="M93" i="7" s="1"/>
  <c r="K37" i="10"/>
  <c r="M95" i="7" s="1"/>
  <c r="K38" i="10"/>
  <c r="K39" i="10"/>
  <c r="M97" i="7" s="1"/>
  <c r="K48" i="10"/>
  <c r="J40" i="7"/>
  <c r="K40" i="7" s="1"/>
  <c r="L40" i="7" s="1"/>
  <c r="M40" i="7" s="1"/>
  <c r="J42" i="7"/>
  <c r="K42" i="7" s="1"/>
  <c r="L42" i="7" s="1"/>
  <c r="M42" i="7" s="1"/>
  <c r="J44" i="7"/>
  <c r="K44" i="7" s="1"/>
  <c r="L44" i="7" s="1"/>
  <c r="M44" i="7" s="1"/>
  <c r="I41" i="7"/>
  <c r="J41" i="7" s="1"/>
  <c r="K41" i="7" s="1"/>
  <c r="L41" i="7" s="1"/>
  <c r="M41" i="7" s="1"/>
  <c r="I42" i="7"/>
  <c r="I43" i="7"/>
  <c r="J43" i="7" s="1"/>
  <c r="K43" i="7" s="1"/>
  <c r="L43" i="7" s="1"/>
  <c r="M43" i="7" s="1"/>
  <c r="I44" i="7"/>
  <c r="I40" i="7"/>
  <c r="J34" i="7"/>
  <c r="K34" i="7" s="1"/>
  <c r="L34" i="7" s="1"/>
  <c r="M34" i="7" s="1"/>
  <c r="I35" i="7"/>
  <c r="J35" i="7" s="1"/>
  <c r="K35" i="7" s="1"/>
  <c r="L35" i="7" s="1"/>
  <c r="M35" i="7" s="1"/>
  <c r="I36" i="7"/>
  <c r="J36" i="7" s="1"/>
  <c r="K36" i="7" s="1"/>
  <c r="L36" i="7" s="1"/>
  <c r="M36" i="7" s="1"/>
  <c r="I37" i="7"/>
  <c r="J37" i="7" s="1"/>
  <c r="K37" i="7" s="1"/>
  <c r="L37" i="7" s="1"/>
  <c r="M37" i="7" s="1"/>
  <c r="I34" i="7"/>
  <c r="I29" i="7"/>
  <c r="J29" i="7" s="1"/>
  <c r="K29" i="7" s="1"/>
  <c r="L29" i="7" s="1"/>
  <c r="M29" i="7" s="1"/>
  <c r="I28" i="7"/>
  <c r="J28" i="7" s="1"/>
  <c r="K28" i="7" s="1"/>
  <c r="L28" i="7" s="1"/>
  <c r="M28" i="7" s="1"/>
  <c r="I27" i="7"/>
  <c r="J27" i="7" s="1"/>
  <c r="K27" i="7" s="1"/>
  <c r="L27" i="7" s="1"/>
  <c r="M27" i="7" s="1"/>
  <c r="I26" i="7"/>
  <c r="J26" i="7" s="1"/>
  <c r="K26" i="7" s="1"/>
  <c r="L26" i="7" s="1"/>
  <c r="M26" i="7" s="1"/>
  <c r="K21" i="7"/>
  <c r="L21" i="7" s="1"/>
  <c r="M21" i="7" s="1"/>
  <c r="J22" i="7"/>
  <c r="K22" i="7" s="1"/>
  <c r="L22" i="7" s="1"/>
  <c r="M22" i="7" s="1"/>
  <c r="K23" i="7"/>
  <c r="L23" i="7" s="1"/>
  <c r="M23" i="7" s="1"/>
  <c r="I21" i="7"/>
  <c r="J21" i="7" s="1"/>
  <c r="I22" i="7"/>
  <c r="I23" i="7"/>
  <c r="J23" i="7" s="1"/>
  <c r="I20" i="7"/>
  <c r="J20" i="7" s="1"/>
  <c r="K20" i="7" s="1"/>
  <c r="L20" i="7" s="1"/>
  <c r="M20" i="7" s="1"/>
  <c r="M105" i="7"/>
  <c r="E202" i="6"/>
  <c r="E201" i="6"/>
  <c r="E345" i="5"/>
  <c r="E169" i="6"/>
  <c r="M89" i="3"/>
  <c r="M51" i="3"/>
  <c r="M66" i="3"/>
  <c r="M166" i="3"/>
  <c r="J58" i="16" s="1"/>
  <c r="J8" i="12" l="1"/>
  <c r="I8" i="11"/>
  <c r="I4" i="19"/>
  <c r="L9" i="3"/>
  <c r="J43" i="2"/>
  <c r="K20" i="2"/>
  <c r="K8" i="7"/>
  <c r="E170" i="6"/>
  <c r="E411" i="5"/>
  <c r="E412" i="5"/>
  <c r="E344" i="5"/>
  <c r="K29" i="10"/>
  <c r="J64" i="16" s="1"/>
  <c r="M96" i="7"/>
  <c r="M92" i="7"/>
  <c r="M45" i="7"/>
  <c r="M30" i="7"/>
  <c r="J8" i="11" l="1"/>
  <c r="K8" i="12"/>
  <c r="J4" i="19"/>
  <c r="M9" i="3"/>
  <c r="L20" i="2"/>
  <c r="K43" i="2"/>
  <c r="L8" i="7"/>
  <c r="K36" i="13"/>
  <c r="L43" i="2" l="1"/>
  <c r="L8" i="12"/>
  <c r="K8" i="11"/>
  <c r="M68" i="6"/>
  <c r="L68" i="6"/>
  <c r="M67" i="6"/>
  <c r="L67" i="6"/>
  <c r="M66" i="6"/>
  <c r="L66" i="6"/>
  <c r="M65" i="6"/>
  <c r="L65" i="6"/>
  <c r="M64" i="6"/>
  <c r="L64" i="6"/>
  <c r="M63" i="6"/>
  <c r="L63" i="6"/>
  <c r="M62" i="6"/>
  <c r="L62" i="6"/>
  <c r="M61" i="6"/>
  <c r="L61" i="6"/>
  <c r="M60" i="6"/>
  <c r="L60" i="6"/>
  <c r="M59" i="6"/>
  <c r="L59" i="6"/>
  <c r="M58" i="6"/>
  <c r="L58" i="6"/>
  <c r="M57" i="6"/>
  <c r="L57" i="6"/>
  <c r="M56" i="6"/>
  <c r="L56" i="6"/>
  <c r="M55" i="6"/>
  <c r="L55" i="6"/>
  <c r="M54" i="6"/>
  <c r="L54" i="6"/>
  <c r="M53" i="6"/>
  <c r="L53" i="6"/>
  <c r="M52" i="6"/>
  <c r="L52" i="6"/>
  <c r="M51" i="6"/>
  <c r="L51" i="6"/>
  <c r="M50" i="6"/>
  <c r="L50" i="6"/>
  <c r="M49" i="6"/>
  <c r="L49" i="6"/>
  <c r="M138" i="5"/>
  <c r="L138" i="5"/>
  <c r="M137" i="5"/>
  <c r="L137" i="5"/>
  <c r="M136" i="5"/>
  <c r="L136" i="5"/>
  <c r="M135" i="5"/>
  <c r="L135" i="5"/>
  <c r="M134" i="5"/>
  <c r="L134" i="5"/>
  <c r="M133" i="5"/>
  <c r="L133" i="5"/>
  <c r="M132" i="5"/>
  <c r="L132" i="5"/>
  <c r="M131" i="5"/>
  <c r="L131" i="5"/>
  <c r="M130" i="5"/>
  <c r="L130" i="5"/>
  <c r="M129" i="5"/>
  <c r="L129" i="5"/>
  <c r="M128" i="5"/>
  <c r="L128" i="5"/>
  <c r="M127" i="5"/>
  <c r="L127" i="5"/>
  <c r="M126" i="5"/>
  <c r="L126" i="5"/>
  <c r="M125" i="5"/>
  <c r="L125" i="5"/>
  <c r="M124" i="5"/>
  <c r="L124" i="5"/>
  <c r="M123" i="5"/>
  <c r="L123" i="5"/>
  <c r="M122" i="5"/>
  <c r="L122" i="5"/>
  <c r="M121" i="5"/>
  <c r="L121" i="5"/>
  <c r="M120" i="5"/>
  <c r="L120" i="5"/>
  <c r="M119" i="5"/>
  <c r="L119" i="5"/>
  <c r="M118" i="5"/>
  <c r="L118" i="5"/>
  <c r="M117" i="5"/>
  <c r="L117" i="5"/>
  <c r="M116" i="5"/>
  <c r="L116" i="5"/>
  <c r="M115" i="5"/>
  <c r="L115" i="5"/>
  <c r="M114" i="5"/>
  <c r="L114" i="5"/>
  <c r="M113" i="5"/>
  <c r="L113" i="5"/>
  <c r="M112" i="5"/>
  <c r="L112" i="5"/>
  <c r="M111" i="5"/>
  <c r="L111" i="5"/>
  <c r="M110" i="5"/>
  <c r="L110" i="5"/>
  <c r="M109" i="5"/>
  <c r="L109" i="5"/>
  <c r="M108" i="5"/>
  <c r="L108" i="5"/>
  <c r="M107" i="5"/>
  <c r="L107" i="5"/>
  <c r="M106" i="5"/>
  <c r="L106" i="5"/>
  <c r="M105" i="5"/>
  <c r="L105" i="5"/>
  <c r="M104" i="5"/>
  <c r="L104" i="5"/>
  <c r="M103" i="5"/>
  <c r="L103" i="5"/>
  <c r="M102" i="5"/>
  <c r="L102" i="5"/>
  <c r="M101" i="5"/>
  <c r="L101" i="5"/>
  <c r="M100" i="5"/>
  <c r="L100" i="5"/>
  <c r="M99" i="5"/>
  <c r="L99" i="5"/>
  <c r="M98" i="5"/>
  <c r="L98" i="5"/>
  <c r="M97" i="5"/>
  <c r="L97" i="5"/>
  <c r="M96" i="5"/>
  <c r="L96" i="5"/>
  <c r="M95" i="5"/>
  <c r="L95" i="5"/>
  <c r="M94" i="5"/>
  <c r="L94" i="5"/>
  <c r="M93" i="5"/>
  <c r="L93" i="5"/>
  <c r="M92" i="5"/>
  <c r="L92" i="5"/>
  <c r="M91" i="5"/>
  <c r="L91" i="5"/>
  <c r="M90" i="5"/>
  <c r="L90" i="5"/>
  <c r="M89" i="5"/>
  <c r="L89" i="5"/>
  <c r="M88" i="5"/>
  <c r="L88" i="5"/>
  <c r="M87" i="5"/>
  <c r="L87" i="5"/>
  <c r="M86" i="5"/>
  <c r="L86" i="5"/>
  <c r="M85" i="5"/>
  <c r="L85" i="5"/>
  <c r="M84" i="5"/>
  <c r="L84" i="5"/>
  <c r="M51" i="4"/>
  <c r="L51" i="4"/>
  <c r="M50" i="4"/>
  <c r="L50" i="4"/>
  <c r="M49" i="4"/>
  <c r="L49" i="4"/>
  <c r="M48" i="4"/>
  <c r="L48" i="4"/>
  <c r="M47" i="4"/>
  <c r="L47" i="4"/>
  <c r="M46" i="4"/>
  <c r="L46" i="4"/>
  <c r="M45" i="4"/>
  <c r="L45" i="4"/>
  <c r="M44" i="4"/>
  <c r="L44" i="4"/>
  <c r="M43" i="4"/>
  <c r="L43" i="4"/>
  <c r="M42" i="4"/>
  <c r="L42" i="4"/>
  <c r="AE42" i="4" l="1"/>
  <c r="I176" i="7" l="1"/>
  <c r="J176" i="7"/>
  <c r="K176" i="7"/>
  <c r="L176" i="7"/>
  <c r="H176" i="7"/>
  <c r="E138" i="6"/>
  <c r="E137" i="6"/>
  <c r="H44" i="2"/>
  <c r="I44" i="2"/>
  <c r="G44" i="2"/>
  <c r="I80" i="19"/>
  <c r="D80" i="19"/>
  <c r="E277" i="5" l="1"/>
  <c r="E278" i="5"/>
  <c r="J44" i="2" l="1"/>
  <c r="K44" i="2" l="1"/>
  <c r="F38" i="13"/>
  <c r="F37" i="13"/>
  <c r="F24" i="13"/>
  <c r="F23" i="13"/>
  <c r="F22" i="13"/>
  <c r="F11" i="13"/>
  <c r="F44" i="4" l="1"/>
  <c r="F67" i="4" s="1"/>
  <c r="F89" i="4" s="1"/>
  <c r="F111" i="4" s="1"/>
  <c r="F45" i="4"/>
  <c r="F68" i="4" s="1"/>
  <c r="F90" i="4" s="1"/>
  <c r="F112" i="4" s="1"/>
  <c r="F48" i="4"/>
  <c r="F71" i="4" s="1"/>
  <c r="F93" i="4" s="1"/>
  <c r="F115" i="4" s="1"/>
  <c r="F49" i="4"/>
  <c r="F72" i="4" s="1"/>
  <c r="F94" i="4" s="1"/>
  <c r="F116" i="4" s="1"/>
  <c r="F42" i="4"/>
  <c r="F65" i="4" s="1"/>
  <c r="F87" i="4" s="1"/>
  <c r="F109" i="4" s="1"/>
  <c r="F43" i="4"/>
  <c r="F66" i="4" s="1"/>
  <c r="F88" i="4" s="1"/>
  <c r="F110" i="4" s="1"/>
  <c r="F46" i="4"/>
  <c r="F69" i="4" s="1"/>
  <c r="F91" i="4" s="1"/>
  <c r="F113" i="4" s="1"/>
  <c r="F47" i="4"/>
  <c r="F70" i="4" s="1"/>
  <c r="F92" i="4" s="1"/>
  <c r="F114" i="4" s="1"/>
  <c r="F50" i="4"/>
  <c r="F73" i="4" s="1"/>
  <c r="F95" i="4" s="1"/>
  <c r="F117" i="4" s="1"/>
  <c r="F51" i="4"/>
  <c r="F74" i="4" s="1"/>
  <c r="F96" i="4" s="1"/>
  <c r="F118" i="4" s="1"/>
  <c r="AG114" i="4" l="1"/>
  <c r="AH114" i="4" s="1"/>
  <c r="F136" i="4"/>
  <c r="AG116" i="4"/>
  <c r="AH116" i="4" s="1"/>
  <c r="F138" i="4"/>
  <c r="AG113" i="4"/>
  <c r="AH113" i="4" s="1"/>
  <c r="F135" i="4"/>
  <c r="AG115" i="4"/>
  <c r="AH115" i="4" s="1"/>
  <c r="F137" i="4"/>
  <c r="AG118" i="4"/>
  <c r="AH118" i="4" s="1"/>
  <c r="F140" i="4"/>
  <c r="AG110" i="4"/>
  <c r="AH110" i="4" s="1"/>
  <c r="F132" i="4"/>
  <c r="AG112" i="4"/>
  <c r="AH112" i="4" s="1"/>
  <c r="F134" i="4"/>
  <c r="AG117" i="4"/>
  <c r="AH117" i="4" s="1"/>
  <c r="F139" i="4"/>
  <c r="AG109" i="4"/>
  <c r="F131" i="4"/>
  <c r="AG111" i="4"/>
  <c r="AH111" i="4" s="1"/>
  <c r="F133" i="4"/>
  <c r="AH109" i="4"/>
  <c r="AG133" i="4" l="1"/>
  <c r="AH133" i="4" s="1"/>
  <c r="F155" i="4"/>
  <c r="AG155" i="4" s="1"/>
  <c r="AH155" i="4" s="1"/>
  <c r="AG139" i="4"/>
  <c r="AH139" i="4" s="1"/>
  <c r="F161" i="4"/>
  <c r="AG161" i="4" s="1"/>
  <c r="AH161" i="4" s="1"/>
  <c r="AG132" i="4"/>
  <c r="AH132" i="4" s="1"/>
  <c r="F154" i="4"/>
  <c r="AG154" i="4" s="1"/>
  <c r="AH154" i="4" s="1"/>
  <c r="AG137" i="4"/>
  <c r="AH137" i="4" s="1"/>
  <c r="F159" i="4"/>
  <c r="AG159" i="4" s="1"/>
  <c r="AH159" i="4" s="1"/>
  <c r="AG138" i="4"/>
  <c r="AH138" i="4" s="1"/>
  <c r="F160" i="4"/>
  <c r="AG160" i="4" s="1"/>
  <c r="AH160" i="4" s="1"/>
  <c r="AG119" i="4"/>
  <c r="AG131" i="4"/>
  <c r="F153" i="4"/>
  <c r="AG153" i="4" s="1"/>
  <c r="AG134" i="4"/>
  <c r="AH134" i="4" s="1"/>
  <c r="F156" i="4"/>
  <c r="AG156" i="4" s="1"/>
  <c r="AH156" i="4" s="1"/>
  <c r="AG140" i="4"/>
  <c r="AH140" i="4" s="1"/>
  <c r="F162" i="4"/>
  <c r="AG162" i="4" s="1"/>
  <c r="AH162" i="4" s="1"/>
  <c r="AG135" i="4"/>
  <c r="AH135" i="4" s="1"/>
  <c r="F157" i="4"/>
  <c r="AG157" i="4" s="1"/>
  <c r="AH157" i="4" s="1"/>
  <c r="AG136" i="4"/>
  <c r="AH136" i="4" s="1"/>
  <c r="F158" i="4"/>
  <c r="AG158" i="4" s="1"/>
  <c r="AH158" i="4" s="1"/>
  <c r="AH119" i="4"/>
  <c r="Z225" i="6"/>
  <c r="Z221" i="6"/>
  <c r="Z216" i="6"/>
  <c r="Z212" i="6"/>
  <c r="Z196" i="6"/>
  <c r="Z161" i="4"/>
  <c r="Z157" i="4"/>
  <c r="Z153" i="4"/>
  <c r="Z140" i="4"/>
  <c r="Z136" i="4"/>
  <c r="Z132" i="4"/>
  <c r="Z465" i="5"/>
  <c r="Z464" i="5"/>
  <c r="Z460" i="5"/>
  <c r="Z458" i="5"/>
  <c r="Z457" i="5"/>
  <c r="Z456" i="5"/>
  <c r="Z447" i="5"/>
  <c r="Z438" i="5"/>
  <c r="Z434" i="5"/>
  <c r="Z431" i="5"/>
  <c r="Z430" i="5"/>
  <c r="Z429" i="5"/>
  <c r="Z428" i="5"/>
  <c r="Z399" i="5"/>
  <c r="Z393" i="5"/>
  <c r="Z392" i="5"/>
  <c r="Z386" i="5"/>
  <c r="Z385" i="5"/>
  <c r="Z384" i="5"/>
  <c r="Z372" i="5"/>
  <c r="Z371" i="5"/>
  <c r="Z370" i="5"/>
  <c r="Z367" i="5"/>
  <c r="Z366" i="5"/>
  <c r="Z359" i="5"/>
  <c r="Z356" i="5"/>
  <c r="Z433" i="5"/>
  <c r="Z426" i="5"/>
  <c r="Z394" i="5"/>
  <c r="Z388" i="5"/>
  <c r="Z360" i="5"/>
  <c r="Z209" i="6"/>
  <c r="Z194" i="6"/>
  <c r="Z184" i="6"/>
  <c r="Z182" i="6"/>
  <c r="Z178" i="6"/>
  <c r="Z175" i="6"/>
  <c r="Z156" i="4"/>
  <c r="Z139" i="4"/>
  <c r="Z228" i="6"/>
  <c r="Z224" i="6"/>
  <c r="Z220" i="6"/>
  <c r="Z218" i="6"/>
  <c r="Z215" i="6"/>
  <c r="Z211" i="6"/>
  <c r="Z207" i="6"/>
  <c r="Z195" i="6"/>
  <c r="Z193" i="6"/>
  <c r="Z191" i="6"/>
  <c r="Z189" i="6"/>
  <c r="Z187" i="6"/>
  <c r="Z185" i="6"/>
  <c r="Z183" i="6"/>
  <c r="Z181" i="6"/>
  <c r="Z179" i="6"/>
  <c r="Z177" i="6"/>
  <c r="Z158" i="4"/>
  <c r="Z154" i="4"/>
  <c r="Z137" i="4"/>
  <c r="Z133" i="4"/>
  <c r="Z129" i="4"/>
  <c r="Z473" i="5"/>
  <c r="Z472" i="5"/>
  <c r="Z463" i="5"/>
  <c r="Z462" i="5"/>
  <c r="Z461" i="5"/>
  <c r="Z459" i="5"/>
  <c r="Z455" i="5"/>
  <c r="Z446" i="5"/>
  <c r="Z445" i="5"/>
  <c r="Z444" i="5"/>
  <c r="Z443" i="5"/>
  <c r="Z442" i="5"/>
  <c r="Z441" i="5"/>
  <c r="Z427" i="5"/>
  <c r="Z398" i="5"/>
  <c r="Z395" i="5"/>
  <c r="Z387" i="5"/>
  <c r="Z379" i="5"/>
  <c r="Z378" i="5"/>
  <c r="Z377" i="5"/>
  <c r="Z376" i="5"/>
  <c r="Z363" i="5"/>
  <c r="Z362" i="5"/>
  <c r="Z357" i="5"/>
  <c r="Z354" i="5"/>
  <c r="Z352" i="5"/>
  <c r="Z350" i="5"/>
  <c r="Z134" i="4"/>
  <c r="Z471" i="5"/>
  <c r="Z470" i="5"/>
  <c r="Z469" i="5"/>
  <c r="Z454" i="5"/>
  <c r="Z453" i="5"/>
  <c r="Z452" i="5"/>
  <c r="Z451" i="5"/>
  <c r="Z450" i="5"/>
  <c r="Z449" i="5"/>
  <c r="Z419" i="5"/>
  <c r="Z406" i="5"/>
  <c r="Z405" i="5"/>
  <c r="Z402" i="5"/>
  <c r="Z401" i="5"/>
  <c r="Z389" i="5"/>
  <c r="Z382" i="5"/>
  <c r="Z381" i="5"/>
  <c r="Z380" i="5"/>
  <c r="Z365" i="5"/>
  <c r="Z355" i="5"/>
  <c r="Z222" i="6"/>
  <c r="Z219" i="6"/>
  <c r="Z217" i="6"/>
  <c r="Z135" i="4"/>
  <c r="Z468" i="5"/>
  <c r="Z467" i="5"/>
  <c r="Z466" i="5"/>
  <c r="Z448" i="5"/>
  <c r="Z440" i="5"/>
  <c r="Z439" i="5"/>
  <c r="Z437" i="5"/>
  <c r="Z436" i="5"/>
  <c r="Z227" i="6"/>
  <c r="Z223" i="6"/>
  <c r="Z214" i="6"/>
  <c r="Z210" i="6"/>
  <c r="Z162" i="4"/>
  <c r="Z159" i="4"/>
  <c r="Z155" i="4"/>
  <c r="Z151" i="4"/>
  <c r="Z138" i="4"/>
  <c r="Z432" i="5"/>
  <c r="Z404" i="5"/>
  <c r="Z403" i="5"/>
  <c r="Z375" i="5"/>
  <c r="Z369" i="5"/>
  <c r="Z368" i="5"/>
  <c r="Z226" i="6"/>
  <c r="Z213" i="6"/>
  <c r="Z192" i="6"/>
  <c r="Z190" i="6"/>
  <c r="Z188" i="6"/>
  <c r="Z186" i="6"/>
  <c r="Z180" i="6"/>
  <c r="Z160" i="4"/>
  <c r="Z131" i="4"/>
  <c r="Z435" i="5"/>
  <c r="Z400" i="5"/>
  <c r="Z383" i="5"/>
  <c r="Z374" i="5"/>
  <c r="Z373" i="5"/>
  <c r="Z364" i="5"/>
  <c r="Z358" i="5"/>
  <c r="Z353" i="5"/>
  <c r="Z417" i="5"/>
  <c r="Z397" i="5"/>
  <c r="Z396" i="5"/>
  <c r="Z391" i="5"/>
  <c r="Z390" i="5"/>
  <c r="Z361" i="5"/>
  <c r="Z425" i="5"/>
  <c r="Z424" i="5"/>
  <c r="Z423" i="5"/>
  <c r="Z422" i="5"/>
  <c r="Z421" i="5"/>
  <c r="Z420" i="5"/>
  <c r="Z162" i="6"/>
  <c r="Z158" i="6"/>
  <c r="Z154" i="6"/>
  <c r="Z150" i="6"/>
  <c r="Z146" i="6"/>
  <c r="Z339" i="5"/>
  <c r="Z335" i="5"/>
  <c r="Z331" i="5"/>
  <c r="Z327" i="5"/>
  <c r="Z323" i="5"/>
  <c r="Z319" i="5"/>
  <c r="Z315" i="5"/>
  <c r="Z311" i="5"/>
  <c r="Z307" i="5"/>
  <c r="Z303" i="5"/>
  <c r="Z299" i="5"/>
  <c r="Z295" i="5"/>
  <c r="Z291" i="5"/>
  <c r="Z287" i="5"/>
  <c r="Z116" i="4"/>
  <c r="Z112" i="4"/>
  <c r="Z107" i="4"/>
  <c r="Z160" i="6"/>
  <c r="Z152" i="6"/>
  <c r="Z148" i="6"/>
  <c r="Z143" i="6"/>
  <c r="Z337" i="5"/>
  <c r="Z329" i="5"/>
  <c r="Z325" i="5"/>
  <c r="Z321" i="5"/>
  <c r="Z309" i="5"/>
  <c r="Z305" i="5"/>
  <c r="Z293" i="5"/>
  <c r="Z118" i="4"/>
  <c r="Z159" i="6"/>
  <c r="Z332" i="5"/>
  <c r="Z320" i="5"/>
  <c r="Z308" i="5"/>
  <c r="Z296" i="5"/>
  <c r="Z283" i="5"/>
  <c r="Z109" i="4"/>
  <c r="Z161" i="6"/>
  <c r="Z157" i="6"/>
  <c r="Z153" i="6"/>
  <c r="Z149" i="6"/>
  <c r="Z145" i="6"/>
  <c r="Z338" i="5"/>
  <c r="Z334" i="5"/>
  <c r="Z330" i="5"/>
  <c r="Z326" i="5"/>
  <c r="Z322" i="5"/>
  <c r="Z318" i="5"/>
  <c r="Z314" i="5"/>
  <c r="Z310" i="5"/>
  <c r="Z306" i="5"/>
  <c r="Z302" i="5"/>
  <c r="Z298" i="5"/>
  <c r="Z294" i="5"/>
  <c r="Z290" i="5"/>
  <c r="Z286" i="5"/>
  <c r="Z115" i="4"/>
  <c r="Z111" i="4"/>
  <c r="Z156" i="6"/>
  <c r="Z317" i="5"/>
  <c r="Z301" i="5"/>
  <c r="Z289" i="5"/>
  <c r="Z114" i="4"/>
  <c r="Z312" i="5"/>
  <c r="Z300" i="5"/>
  <c r="Z288" i="5"/>
  <c r="Z117" i="4"/>
  <c r="Z164" i="6"/>
  <c r="Z333" i="5"/>
  <c r="Z313" i="5"/>
  <c r="Z297" i="5"/>
  <c r="Z285" i="5"/>
  <c r="Z110" i="4"/>
  <c r="Z163" i="6"/>
  <c r="Z155" i="6"/>
  <c r="Z151" i="6"/>
  <c r="Z147" i="6"/>
  <c r="Z336" i="5"/>
  <c r="Z328" i="5"/>
  <c r="Z324" i="5"/>
  <c r="Z316" i="5"/>
  <c r="Z304" i="5"/>
  <c r="Z292" i="5"/>
  <c r="Z113" i="4"/>
  <c r="AE35" i="6"/>
  <c r="AE34" i="6"/>
  <c r="AE33" i="6"/>
  <c r="AE32" i="6"/>
  <c r="AE31" i="6"/>
  <c r="AE30" i="6"/>
  <c r="AE29" i="6"/>
  <c r="AE28" i="6"/>
  <c r="AE27" i="6"/>
  <c r="AE26" i="6"/>
  <c r="AE25" i="6"/>
  <c r="AE24" i="6"/>
  <c r="AE23" i="6"/>
  <c r="AE22" i="6"/>
  <c r="AE21" i="6"/>
  <c r="AE20" i="6"/>
  <c r="AE19" i="6"/>
  <c r="AE18" i="6"/>
  <c r="AE17" i="6"/>
  <c r="AE27" i="4"/>
  <c r="AE26" i="4"/>
  <c r="AE25" i="4"/>
  <c r="AE24" i="4"/>
  <c r="AE23" i="4"/>
  <c r="AE22" i="4"/>
  <c r="AE21" i="4"/>
  <c r="AE20" i="4"/>
  <c r="AE19" i="4"/>
  <c r="AH131" i="4" l="1"/>
  <c r="AH141" i="4" s="1"/>
  <c r="AG141" i="4"/>
  <c r="AH153" i="4"/>
  <c r="AH163" i="4" s="1"/>
  <c r="AG163" i="4"/>
  <c r="AE70" i="5"/>
  <c r="AE69" i="5"/>
  <c r="AE68" i="5"/>
  <c r="AE67" i="5"/>
  <c r="AE66" i="5"/>
  <c r="AE65" i="5"/>
  <c r="AE64" i="5"/>
  <c r="AE63" i="5"/>
  <c r="AE62" i="5"/>
  <c r="AE61" i="5"/>
  <c r="AE60" i="5"/>
  <c r="AE59" i="5"/>
  <c r="AE58" i="5"/>
  <c r="AE57" i="5"/>
  <c r="AE56" i="5"/>
  <c r="AE55" i="5"/>
  <c r="AE54" i="5"/>
  <c r="AE53" i="5"/>
  <c r="AE52" i="5"/>
  <c r="AE51" i="5"/>
  <c r="AE50" i="5"/>
  <c r="AE49" i="5"/>
  <c r="AE48" i="5"/>
  <c r="AE47" i="5"/>
  <c r="AE46" i="5"/>
  <c r="AE45" i="5"/>
  <c r="AE44" i="5"/>
  <c r="AE43" i="5"/>
  <c r="AE42" i="5"/>
  <c r="AE41" i="5"/>
  <c r="AE40" i="5"/>
  <c r="AE39" i="5"/>
  <c r="AE38" i="5"/>
  <c r="AE37" i="5"/>
  <c r="AE36" i="5"/>
  <c r="AE35" i="5"/>
  <c r="AE34" i="5"/>
  <c r="AE33" i="5"/>
  <c r="AE32" i="5"/>
  <c r="AE31" i="5"/>
  <c r="AE30" i="5"/>
  <c r="AE29" i="5"/>
  <c r="AE28" i="5"/>
  <c r="AE27" i="5"/>
  <c r="AE26" i="5"/>
  <c r="AE25" i="5"/>
  <c r="AE24" i="5"/>
  <c r="AE23" i="5"/>
  <c r="AE22" i="5"/>
  <c r="AE21" i="5"/>
  <c r="AE20" i="5"/>
  <c r="AE19" i="5"/>
  <c r="M100" i="6" l="1"/>
  <c r="M132" i="6" s="1"/>
  <c r="M164" i="6" s="1"/>
  <c r="M196" i="6" s="1"/>
  <c r="M99" i="6"/>
  <c r="M131" i="6" s="1"/>
  <c r="M163" i="6" s="1"/>
  <c r="M195" i="6" s="1"/>
  <c r="M98" i="6"/>
  <c r="M130" i="6" s="1"/>
  <c r="M162" i="6" s="1"/>
  <c r="M194" i="6" s="1"/>
  <c r="M97" i="6"/>
  <c r="M129" i="6" s="1"/>
  <c r="M161" i="6" s="1"/>
  <c r="M193" i="6" s="1"/>
  <c r="M96" i="6"/>
  <c r="M128" i="6" s="1"/>
  <c r="M160" i="6" s="1"/>
  <c r="M192" i="6" s="1"/>
  <c r="M95" i="6"/>
  <c r="M127" i="6" s="1"/>
  <c r="M159" i="6" s="1"/>
  <c r="M191" i="6" s="1"/>
  <c r="M94" i="6"/>
  <c r="M126" i="6" s="1"/>
  <c r="M158" i="6" s="1"/>
  <c r="M190" i="6" s="1"/>
  <c r="M93" i="6"/>
  <c r="M125" i="6" s="1"/>
  <c r="M157" i="6" s="1"/>
  <c r="M189" i="6" s="1"/>
  <c r="M92" i="6"/>
  <c r="M124" i="6" s="1"/>
  <c r="M156" i="6" s="1"/>
  <c r="M188" i="6" s="1"/>
  <c r="M91" i="6"/>
  <c r="M123" i="6" s="1"/>
  <c r="M155" i="6" s="1"/>
  <c r="M187" i="6" s="1"/>
  <c r="M90" i="6"/>
  <c r="M122" i="6" s="1"/>
  <c r="M154" i="6" s="1"/>
  <c r="M186" i="6" s="1"/>
  <c r="M89" i="6"/>
  <c r="M121" i="6" s="1"/>
  <c r="M153" i="6" s="1"/>
  <c r="M185" i="6" s="1"/>
  <c r="M88" i="6"/>
  <c r="M120" i="6" s="1"/>
  <c r="M152" i="6" s="1"/>
  <c r="M184" i="6" s="1"/>
  <c r="M87" i="6"/>
  <c r="M119" i="6" s="1"/>
  <c r="M151" i="6" s="1"/>
  <c r="M183" i="6" s="1"/>
  <c r="M86" i="6"/>
  <c r="M118" i="6" s="1"/>
  <c r="M150" i="6" s="1"/>
  <c r="M182" i="6" s="1"/>
  <c r="M85" i="6"/>
  <c r="M117" i="6" s="1"/>
  <c r="M149" i="6" s="1"/>
  <c r="M181" i="6" s="1"/>
  <c r="M84" i="6"/>
  <c r="M116" i="6" s="1"/>
  <c r="M148" i="6" s="1"/>
  <c r="M180" i="6" s="1"/>
  <c r="M83" i="6"/>
  <c r="M115" i="6" s="1"/>
  <c r="M147" i="6" s="1"/>
  <c r="M179" i="6" s="1"/>
  <c r="M82" i="6"/>
  <c r="M114" i="6" s="1"/>
  <c r="M146" i="6" s="1"/>
  <c r="M178" i="6" s="1"/>
  <c r="AE16" i="6"/>
  <c r="M65" i="4"/>
  <c r="M205" i="5"/>
  <c r="M272" i="5" s="1"/>
  <c r="M339" i="5" s="1"/>
  <c r="M406" i="5" s="1"/>
  <c r="M473" i="5" s="1"/>
  <c r="M204" i="5"/>
  <c r="M271" i="5" s="1"/>
  <c r="M338" i="5" s="1"/>
  <c r="M405" i="5" s="1"/>
  <c r="M472" i="5" s="1"/>
  <c r="M203" i="5"/>
  <c r="M270" i="5" s="1"/>
  <c r="M337" i="5" s="1"/>
  <c r="M404" i="5" s="1"/>
  <c r="M471" i="5" s="1"/>
  <c r="M202" i="5"/>
  <c r="M269" i="5" s="1"/>
  <c r="M336" i="5" s="1"/>
  <c r="M403" i="5" s="1"/>
  <c r="M470" i="5" s="1"/>
  <c r="M201" i="5"/>
  <c r="M268" i="5" s="1"/>
  <c r="M335" i="5" s="1"/>
  <c r="M402" i="5" s="1"/>
  <c r="M469" i="5" s="1"/>
  <c r="M200" i="5"/>
  <c r="M267" i="5" s="1"/>
  <c r="M334" i="5" s="1"/>
  <c r="M401" i="5" s="1"/>
  <c r="M468" i="5" s="1"/>
  <c r="M199" i="5"/>
  <c r="M266" i="5" s="1"/>
  <c r="M333" i="5" s="1"/>
  <c r="M400" i="5" s="1"/>
  <c r="M467" i="5" s="1"/>
  <c r="M198" i="5"/>
  <c r="M265" i="5" s="1"/>
  <c r="M332" i="5" s="1"/>
  <c r="M399" i="5" s="1"/>
  <c r="M466" i="5" s="1"/>
  <c r="M197" i="5"/>
  <c r="M264" i="5" s="1"/>
  <c r="M331" i="5" s="1"/>
  <c r="M398" i="5" s="1"/>
  <c r="M465" i="5" s="1"/>
  <c r="M196" i="5"/>
  <c r="M263" i="5" s="1"/>
  <c r="M330" i="5" s="1"/>
  <c r="M397" i="5" s="1"/>
  <c r="M464" i="5" s="1"/>
  <c r="M195" i="5"/>
  <c r="M262" i="5" s="1"/>
  <c r="M329" i="5" s="1"/>
  <c r="M396" i="5" s="1"/>
  <c r="M463" i="5" s="1"/>
  <c r="M194" i="5"/>
  <c r="M261" i="5" s="1"/>
  <c r="M328" i="5" s="1"/>
  <c r="M395" i="5" s="1"/>
  <c r="M462" i="5" s="1"/>
  <c r="M193" i="5"/>
  <c r="M260" i="5" s="1"/>
  <c r="M327" i="5" s="1"/>
  <c r="M394" i="5" s="1"/>
  <c r="M461" i="5" s="1"/>
  <c r="M192" i="5"/>
  <c r="M259" i="5" s="1"/>
  <c r="M326" i="5" s="1"/>
  <c r="M393" i="5" s="1"/>
  <c r="M460" i="5" s="1"/>
  <c r="M191" i="5"/>
  <c r="M258" i="5" s="1"/>
  <c r="M325" i="5" s="1"/>
  <c r="M392" i="5" s="1"/>
  <c r="M459" i="5" s="1"/>
  <c r="M190" i="5"/>
  <c r="M257" i="5" s="1"/>
  <c r="M324" i="5" s="1"/>
  <c r="M391" i="5" s="1"/>
  <c r="M458" i="5" s="1"/>
  <c r="M189" i="5"/>
  <c r="M256" i="5" s="1"/>
  <c r="M323" i="5" s="1"/>
  <c r="M390" i="5" s="1"/>
  <c r="M457" i="5" s="1"/>
  <c r="M188" i="5"/>
  <c r="M255" i="5" s="1"/>
  <c r="M322" i="5" s="1"/>
  <c r="M389" i="5" s="1"/>
  <c r="M456" i="5" s="1"/>
  <c r="M187" i="5"/>
  <c r="M254" i="5" s="1"/>
  <c r="M321" i="5" s="1"/>
  <c r="M388" i="5" s="1"/>
  <c r="M455" i="5" s="1"/>
  <c r="M186" i="5"/>
  <c r="M253" i="5" s="1"/>
  <c r="M320" i="5" s="1"/>
  <c r="M387" i="5" s="1"/>
  <c r="M454" i="5" s="1"/>
  <c r="M185" i="5"/>
  <c r="M252" i="5" s="1"/>
  <c r="M319" i="5" s="1"/>
  <c r="M386" i="5" s="1"/>
  <c r="M453" i="5" s="1"/>
  <c r="M184" i="5"/>
  <c r="M251" i="5" s="1"/>
  <c r="M318" i="5" s="1"/>
  <c r="M385" i="5" s="1"/>
  <c r="M452" i="5" s="1"/>
  <c r="M183" i="5"/>
  <c r="M250" i="5" s="1"/>
  <c r="M317" i="5" s="1"/>
  <c r="M384" i="5" s="1"/>
  <c r="M451" i="5" s="1"/>
  <c r="M182" i="5"/>
  <c r="M249" i="5" s="1"/>
  <c r="M316" i="5" s="1"/>
  <c r="M383" i="5" s="1"/>
  <c r="M450" i="5" s="1"/>
  <c r="M181" i="5"/>
  <c r="M248" i="5" s="1"/>
  <c r="M315" i="5" s="1"/>
  <c r="M382" i="5" s="1"/>
  <c r="M449" i="5" s="1"/>
  <c r="M180" i="5"/>
  <c r="M247" i="5" s="1"/>
  <c r="M314" i="5" s="1"/>
  <c r="M381" i="5" s="1"/>
  <c r="M448" i="5" s="1"/>
  <c r="M179" i="5"/>
  <c r="M246" i="5" s="1"/>
  <c r="M313" i="5" s="1"/>
  <c r="M380" i="5" s="1"/>
  <c r="M447" i="5" s="1"/>
  <c r="M178" i="5"/>
  <c r="M245" i="5" s="1"/>
  <c r="M312" i="5" s="1"/>
  <c r="M379" i="5" s="1"/>
  <c r="M446" i="5" s="1"/>
  <c r="M177" i="5"/>
  <c r="M244" i="5" s="1"/>
  <c r="M311" i="5" s="1"/>
  <c r="M378" i="5" s="1"/>
  <c r="M445" i="5" s="1"/>
  <c r="M176" i="5"/>
  <c r="M243" i="5" s="1"/>
  <c r="M310" i="5" s="1"/>
  <c r="M377" i="5" s="1"/>
  <c r="M444" i="5" s="1"/>
  <c r="M175" i="5"/>
  <c r="M242" i="5" s="1"/>
  <c r="M309" i="5" s="1"/>
  <c r="M376" i="5" s="1"/>
  <c r="M443" i="5" s="1"/>
  <c r="M174" i="5"/>
  <c r="M241" i="5" s="1"/>
  <c r="M308" i="5" s="1"/>
  <c r="M375" i="5" s="1"/>
  <c r="M442" i="5" s="1"/>
  <c r="M173" i="5"/>
  <c r="M240" i="5" s="1"/>
  <c r="M307" i="5" s="1"/>
  <c r="M374" i="5" s="1"/>
  <c r="M441" i="5" s="1"/>
  <c r="M172" i="5"/>
  <c r="M239" i="5" s="1"/>
  <c r="M306" i="5" s="1"/>
  <c r="M373" i="5" s="1"/>
  <c r="M440" i="5" s="1"/>
  <c r="M171" i="5"/>
  <c r="M238" i="5" s="1"/>
  <c r="M305" i="5" s="1"/>
  <c r="M372" i="5" s="1"/>
  <c r="M439" i="5" s="1"/>
  <c r="M170" i="5"/>
  <c r="M237" i="5" s="1"/>
  <c r="M304" i="5" s="1"/>
  <c r="M371" i="5" s="1"/>
  <c r="M438" i="5" s="1"/>
  <c r="M169" i="5"/>
  <c r="M236" i="5" s="1"/>
  <c r="M303" i="5" s="1"/>
  <c r="M370" i="5" s="1"/>
  <c r="M437" i="5" s="1"/>
  <c r="M168" i="5"/>
  <c r="M235" i="5" s="1"/>
  <c r="M302" i="5" s="1"/>
  <c r="M369" i="5" s="1"/>
  <c r="M436" i="5" s="1"/>
  <c r="M167" i="5"/>
  <c r="M234" i="5" s="1"/>
  <c r="M301" i="5" s="1"/>
  <c r="M368" i="5" s="1"/>
  <c r="M435" i="5" s="1"/>
  <c r="M166" i="5"/>
  <c r="M233" i="5" s="1"/>
  <c r="M300" i="5" s="1"/>
  <c r="M367" i="5" s="1"/>
  <c r="M434" i="5" s="1"/>
  <c r="M165" i="5"/>
  <c r="M232" i="5" s="1"/>
  <c r="M299" i="5" s="1"/>
  <c r="M366" i="5" s="1"/>
  <c r="M433" i="5" s="1"/>
  <c r="M164" i="5"/>
  <c r="M231" i="5" s="1"/>
  <c r="M298" i="5" s="1"/>
  <c r="M365" i="5" s="1"/>
  <c r="M432" i="5" s="1"/>
  <c r="M163" i="5"/>
  <c r="M230" i="5" s="1"/>
  <c r="M297" i="5" s="1"/>
  <c r="M364" i="5" s="1"/>
  <c r="M431" i="5" s="1"/>
  <c r="M162" i="5"/>
  <c r="M229" i="5" s="1"/>
  <c r="M296" i="5" s="1"/>
  <c r="M363" i="5" s="1"/>
  <c r="M430" i="5" s="1"/>
  <c r="M161" i="5"/>
  <c r="M228" i="5" s="1"/>
  <c r="M295" i="5" s="1"/>
  <c r="M362" i="5" s="1"/>
  <c r="M429" i="5" s="1"/>
  <c r="M160" i="5"/>
  <c r="M227" i="5" s="1"/>
  <c r="M294" i="5" s="1"/>
  <c r="M361" i="5" s="1"/>
  <c r="M159" i="5"/>
  <c r="M226" i="5" s="1"/>
  <c r="M293" i="5" s="1"/>
  <c r="M360" i="5" s="1"/>
  <c r="M427" i="5" s="1"/>
  <c r="M158" i="5"/>
  <c r="M225" i="5" s="1"/>
  <c r="M292" i="5" s="1"/>
  <c r="M359" i="5" s="1"/>
  <c r="M157" i="5"/>
  <c r="M224" i="5" s="1"/>
  <c r="M291" i="5" s="1"/>
  <c r="M358" i="5" s="1"/>
  <c r="M425" i="5" s="1"/>
  <c r="M156" i="5"/>
  <c r="M223" i="5" s="1"/>
  <c r="M290" i="5" s="1"/>
  <c r="M357" i="5" s="1"/>
  <c r="M155" i="5"/>
  <c r="M222" i="5" s="1"/>
  <c r="M289" i="5" s="1"/>
  <c r="M356" i="5" s="1"/>
  <c r="M423" i="5" s="1"/>
  <c r="M154" i="5"/>
  <c r="M221" i="5" s="1"/>
  <c r="M288" i="5" s="1"/>
  <c r="M355" i="5" s="1"/>
  <c r="M153" i="5"/>
  <c r="M220" i="5" s="1"/>
  <c r="M287" i="5" s="1"/>
  <c r="M354" i="5" s="1"/>
  <c r="M421" i="5" s="1"/>
  <c r="M152" i="5"/>
  <c r="M219" i="5" s="1"/>
  <c r="M286" i="5" s="1"/>
  <c r="M353" i="5" s="1"/>
  <c r="M151" i="5"/>
  <c r="M218" i="5" s="1"/>
  <c r="M285" i="5" s="1"/>
  <c r="M352" i="5" s="1"/>
  <c r="AE16" i="5"/>
  <c r="M74" i="4"/>
  <c r="M96" i="4" s="1"/>
  <c r="M118" i="4" s="1"/>
  <c r="M140" i="4" s="1"/>
  <c r="M162" i="4" s="1"/>
  <c r="M73" i="4"/>
  <c r="M72" i="4"/>
  <c r="M94" i="4" s="1"/>
  <c r="M116" i="4" s="1"/>
  <c r="M138" i="4" s="1"/>
  <c r="M160" i="4" s="1"/>
  <c r="M71" i="4"/>
  <c r="M93" i="4" s="1"/>
  <c r="M115" i="4" s="1"/>
  <c r="M137" i="4" s="1"/>
  <c r="M159" i="4" s="1"/>
  <c r="M70" i="4"/>
  <c r="M92" i="4" s="1"/>
  <c r="M114" i="4" s="1"/>
  <c r="M136" i="4" s="1"/>
  <c r="M158" i="4" s="1"/>
  <c r="M69" i="4"/>
  <c r="M91" i="4" s="1"/>
  <c r="M113" i="4" s="1"/>
  <c r="M135" i="4" s="1"/>
  <c r="M157" i="4" s="1"/>
  <c r="M68" i="4"/>
  <c r="M90" i="4" s="1"/>
  <c r="M112" i="4" s="1"/>
  <c r="M134" i="4" s="1"/>
  <c r="M156" i="4" s="1"/>
  <c r="M67" i="4"/>
  <c r="M89" i="4" s="1"/>
  <c r="M111" i="4" s="1"/>
  <c r="M133" i="4" s="1"/>
  <c r="M155" i="4" s="1"/>
  <c r="M66" i="4"/>
  <c r="M88" i="4" s="1"/>
  <c r="M110" i="4" s="1"/>
  <c r="M132" i="4" s="1"/>
  <c r="M154" i="4" s="1"/>
  <c r="M419" i="5" l="1"/>
  <c r="M407" i="5"/>
  <c r="M213" i="6"/>
  <c r="M217" i="6"/>
  <c r="M221" i="6"/>
  <c r="M225" i="6"/>
  <c r="M420" i="5"/>
  <c r="M424" i="5"/>
  <c r="M428" i="5"/>
  <c r="M210" i="6"/>
  <c r="M214" i="6"/>
  <c r="M218" i="6"/>
  <c r="M222" i="6"/>
  <c r="M226" i="6"/>
  <c r="M211" i="6"/>
  <c r="M215" i="6"/>
  <c r="M219" i="6"/>
  <c r="M223" i="6"/>
  <c r="M227" i="6"/>
  <c r="M422" i="5"/>
  <c r="M426" i="5"/>
  <c r="M212" i="6"/>
  <c r="M216" i="6"/>
  <c r="M220" i="6"/>
  <c r="M224" i="6"/>
  <c r="M228" i="6"/>
  <c r="M340" i="5"/>
  <c r="L83" i="6"/>
  <c r="AE51" i="6"/>
  <c r="L85" i="6"/>
  <c r="AE53" i="6"/>
  <c r="L87" i="6"/>
  <c r="AE55" i="6"/>
  <c r="L89" i="6"/>
  <c r="AE57" i="6"/>
  <c r="L91" i="6"/>
  <c r="AE59" i="6"/>
  <c r="L93" i="6"/>
  <c r="AE61" i="6"/>
  <c r="L95" i="6"/>
  <c r="AE63" i="6"/>
  <c r="L97" i="6"/>
  <c r="AE65" i="6"/>
  <c r="L99" i="6"/>
  <c r="AE67" i="6"/>
  <c r="L82" i="6"/>
  <c r="AE50" i="6"/>
  <c r="L84" i="6"/>
  <c r="AE52" i="6"/>
  <c r="L86" i="6"/>
  <c r="AE54" i="6"/>
  <c r="L88" i="6"/>
  <c r="AE56" i="6"/>
  <c r="L90" i="6"/>
  <c r="AE58" i="6"/>
  <c r="L92" i="6"/>
  <c r="AE60" i="6"/>
  <c r="L94" i="6"/>
  <c r="AE62" i="6"/>
  <c r="L96" i="6"/>
  <c r="AE64" i="6"/>
  <c r="L98" i="6"/>
  <c r="AE66" i="6"/>
  <c r="L100" i="6"/>
  <c r="AE68" i="6"/>
  <c r="L154" i="5"/>
  <c r="AE87" i="5"/>
  <c r="L156" i="5"/>
  <c r="AE89" i="5"/>
  <c r="L158" i="5"/>
  <c r="AE91" i="5"/>
  <c r="L160" i="5"/>
  <c r="AE93" i="5"/>
  <c r="L162" i="5"/>
  <c r="AE95" i="5"/>
  <c r="L164" i="5"/>
  <c r="AE97" i="5"/>
  <c r="L166" i="5"/>
  <c r="AE99" i="5"/>
  <c r="L168" i="5"/>
  <c r="AE101" i="5"/>
  <c r="L170" i="5"/>
  <c r="AE103" i="5"/>
  <c r="L172" i="5"/>
  <c r="AE105" i="5"/>
  <c r="L174" i="5"/>
  <c r="AE107" i="5"/>
  <c r="L176" i="5"/>
  <c r="AE109" i="5"/>
  <c r="L178" i="5"/>
  <c r="AE111" i="5"/>
  <c r="L180" i="5"/>
  <c r="AE113" i="5"/>
  <c r="L182" i="5"/>
  <c r="AE115" i="5"/>
  <c r="L184" i="5"/>
  <c r="AE117" i="5"/>
  <c r="L186" i="5"/>
  <c r="AE119" i="5"/>
  <c r="L188" i="5"/>
  <c r="AE121" i="5"/>
  <c r="L190" i="5"/>
  <c r="AE123" i="5"/>
  <c r="L192" i="5"/>
  <c r="AE125" i="5"/>
  <c r="L194" i="5"/>
  <c r="AE127" i="5"/>
  <c r="L196" i="5"/>
  <c r="AE129" i="5"/>
  <c r="L198" i="5"/>
  <c r="AE131" i="5"/>
  <c r="L200" i="5"/>
  <c r="AE133" i="5"/>
  <c r="L202" i="5"/>
  <c r="AE135" i="5"/>
  <c r="L204" i="5"/>
  <c r="AE137" i="5"/>
  <c r="L155" i="5"/>
  <c r="AE88" i="5"/>
  <c r="L157" i="5"/>
  <c r="AE90" i="5"/>
  <c r="L159" i="5"/>
  <c r="AE92" i="5"/>
  <c r="L161" i="5"/>
  <c r="AE94" i="5"/>
  <c r="L163" i="5"/>
  <c r="AE96" i="5"/>
  <c r="L165" i="5"/>
  <c r="AE98" i="5"/>
  <c r="L167" i="5"/>
  <c r="AE100" i="5"/>
  <c r="L169" i="5"/>
  <c r="AE102" i="5"/>
  <c r="L171" i="5"/>
  <c r="AE104" i="5"/>
  <c r="L173" i="5"/>
  <c r="AE106" i="5"/>
  <c r="L175" i="5"/>
  <c r="AE108" i="5"/>
  <c r="L177" i="5"/>
  <c r="AE110" i="5"/>
  <c r="L179" i="5"/>
  <c r="AE112" i="5"/>
  <c r="L181" i="5"/>
  <c r="AE114" i="5"/>
  <c r="L183" i="5"/>
  <c r="AE116" i="5"/>
  <c r="L185" i="5"/>
  <c r="AE118" i="5"/>
  <c r="L187" i="5"/>
  <c r="AE120" i="5"/>
  <c r="L189" i="5"/>
  <c r="AE122" i="5"/>
  <c r="L191" i="5"/>
  <c r="AE124" i="5"/>
  <c r="L193" i="5"/>
  <c r="AE126" i="5"/>
  <c r="L195" i="5"/>
  <c r="AE128" i="5"/>
  <c r="L197" i="5"/>
  <c r="AE130" i="5"/>
  <c r="L199" i="5"/>
  <c r="AE132" i="5"/>
  <c r="L201" i="5"/>
  <c r="AE134" i="5"/>
  <c r="L203" i="5"/>
  <c r="AE136" i="5"/>
  <c r="L205" i="5"/>
  <c r="AE138" i="5"/>
  <c r="L66" i="4"/>
  <c r="AE43" i="4"/>
  <c r="L68" i="4"/>
  <c r="AE45" i="4"/>
  <c r="L70" i="4"/>
  <c r="AE47" i="4"/>
  <c r="L72" i="4"/>
  <c r="AE49" i="4"/>
  <c r="L74" i="4"/>
  <c r="AE51" i="4"/>
  <c r="L67" i="4"/>
  <c r="AE44" i="4"/>
  <c r="L69" i="4"/>
  <c r="AE46" i="4"/>
  <c r="L71" i="4"/>
  <c r="AE48" i="4"/>
  <c r="L73" i="4"/>
  <c r="AE50" i="4"/>
  <c r="AE18" i="4"/>
  <c r="AE18" i="5"/>
  <c r="AE17" i="5"/>
  <c r="L36" i="6"/>
  <c r="M36" i="6"/>
  <c r="M95" i="4"/>
  <c r="M117" i="4" s="1"/>
  <c r="M139" i="4" s="1"/>
  <c r="M161" i="4" s="1"/>
  <c r="L28" i="4"/>
  <c r="M52" i="4"/>
  <c r="M28" i="4"/>
  <c r="M75" i="4"/>
  <c r="M87" i="4"/>
  <c r="M109" i="4" s="1"/>
  <c r="M119" i="4" l="1"/>
  <c r="M131" i="4"/>
  <c r="M474" i="5"/>
  <c r="L130" i="6"/>
  <c r="AE98" i="6"/>
  <c r="L126" i="6"/>
  <c r="AE94" i="6"/>
  <c r="L122" i="6"/>
  <c r="AE90" i="6"/>
  <c r="L118" i="6"/>
  <c r="AE86" i="6"/>
  <c r="L114" i="6"/>
  <c r="AE82" i="6"/>
  <c r="L129" i="6"/>
  <c r="AE97" i="6"/>
  <c r="L125" i="6"/>
  <c r="AE93" i="6"/>
  <c r="L121" i="6"/>
  <c r="AE89" i="6"/>
  <c r="L117" i="6"/>
  <c r="AE85" i="6"/>
  <c r="L132" i="6"/>
  <c r="AE100" i="6"/>
  <c r="L128" i="6"/>
  <c r="AE96" i="6"/>
  <c r="L124" i="6"/>
  <c r="AE92" i="6"/>
  <c r="L120" i="6"/>
  <c r="AE88" i="6"/>
  <c r="L116" i="6"/>
  <c r="AE84" i="6"/>
  <c r="L131" i="6"/>
  <c r="AE99" i="6"/>
  <c r="L127" i="6"/>
  <c r="AE95" i="6"/>
  <c r="L123" i="6"/>
  <c r="AE91" i="6"/>
  <c r="L119" i="6"/>
  <c r="AE87" i="6"/>
  <c r="L115" i="6"/>
  <c r="AE83" i="6"/>
  <c r="L248" i="5"/>
  <c r="AE181" i="5"/>
  <c r="L244" i="5"/>
  <c r="AE177" i="5"/>
  <c r="L240" i="5"/>
  <c r="AE173" i="5"/>
  <c r="L236" i="5"/>
  <c r="AE169" i="5"/>
  <c r="L232" i="5"/>
  <c r="AE165" i="5"/>
  <c r="L228" i="5"/>
  <c r="AE161" i="5"/>
  <c r="L224" i="5"/>
  <c r="AE157" i="5"/>
  <c r="L271" i="5"/>
  <c r="AE204" i="5"/>
  <c r="L267" i="5"/>
  <c r="AE200" i="5"/>
  <c r="L263" i="5"/>
  <c r="AE196" i="5"/>
  <c r="L259" i="5"/>
  <c r="AE192" i="5"/>
  <c r="L255" i="5"/>
  <c r="AE188" i="5"/>
  <c r="L251" i="5"/>
  <c r="AE184" i="5"/>
  <c r="L247" i="5"/>
  <c r="AE180" i="5"/>
  <c r="L243" i="5"/>
  <c r="AE176" i="5"/>
  <c r="L239" i="5"/>
  <c r="AE172" i="5"/>
  <c r="L235" i="5"/>
  <c r="AE168" i="5"/>
  <c r="L231" i="5"/>
  <c r="AE164" i="5"/>
  <c r="L227" i="5"/>
  <c r="AE160" i="5"/>
  <c r="L223" i="5"/>
  <c r="AE156" i="5"/>
  <c r="L268" i="5"/>
  <c r="AE201" i="5"/>
  <c r="L256" i="5"/>
  <c r="AE189" i="5"/>
  <c r="L272" i="5"/>
  <c r="AE205" i="5"/>
  <c r="L264" i="5"/>
  <c r="AE197" i="5"/>
  <c r="L260" i="5"/>
  <c r="AE193" i="5"/>
  <c r="L252" i="5"/>
  <c r="AE185" i="5"/>
  <c r="L270" i="5"/>
  <c r="AE203" i="5"/>
  <c r="L266" i="5"/>
  <c r="AE199" i="5"/>
  <c r="L262" i="5"/>
  <c r="AE195" i="5"/>
  <c r="L258" i="5"/>
  <c r="AE191" i="5"/>
  <c r="L254" i="5"/>
  <c r="AE187" i="5"/>
  <c r="L250" i="5"/>
  <c r="AE183" i="5"/>
  <c r="L246" i="5"/>
  <c r="AE179" i="5"/>
  <c r="L242" i="5"/>
  <c r="AE175" i="5"/>
  <c r="L238" i="5"/>
  <c r="AE171" i="5"/>
  <c r="L234" i="5"/>
  <c r="AE167" i="5"/>
  <c r="L230" i="5"/>
  <c r="AE163" i="5"/>
  <c r="L226" i="5"/>
  <c r="AE159" i="5"/>
  <c r="L222" i="5"/>
  <c r="AE155" i="5"/>
  <c r="L269" i="5"/>
  <c r="AE202" i="5"/>
  <c r="L265" i="5"/>
  <c r="AE198" i="5"/>
  <c r="L261" i="5"/>
  <c r="AE194" i="5"/>
  <c r="L257" i="5"/>
  <c r="AE190" i="5"/>
  <c r="L253" i="5"/>
  <c r="AE186" i="5"/>
  <c r="L249" i="5"/>
  <c r="AE182" i="5"/>
  <c r="L245" i="5"/>
  <c r="AE178" i="5"/>
  <c r="L241" i="5"/>
  <c r="AE174" i="5"/>
  <c r="L237" i="5"/>
  <c r="AE170" i="5"/>
  <c r="L233" i="5"/>
  <c r="AE166" i="5"/>
  <c r="L229" i="5"/>
  <c r="AE162" i="5"/>
  <c r="L225" i="5"/>
  <c r="AE158" i="5"/>
  <c r="L221" i="5"/>
  <c r="AE154" i="5"/>
  <c r="L93" i="4"/>
  <c r="AE71" i="4"/>
  <c r="L89" i="4"/>
  <c r="AE67" i="4"/>
  <c r="L94" i="4"/>
  <c r="AE72" i="4"/>
  <c r="L90" i="4"/>
  <c r="AE68" i="4"/>
  <c r="L95" i="4"/>
  <c r="AE73" i="4"/>
  <c r="L91" i="4"/>
  <c r="AE69" i="4"/>
  <c r="L96" i="4"/>
  <c r="AE74" i="4"/>
  <c r="L92" i="4"/>
  <c r="AE70" i="4"/>
  <c r="L88" i="4"/>
  <c r="AE66" i="4"/>
  <c r="L151" i="5"/>
  <c r="AE84" i="5"/>
  <c r="L152" i="5"/>
  <c r="AE85" i="5"/>
  <c r="L153" i="5"/>
  <c r="AE86" i="5"/>
  <c r="AE49" i="6"/>
  <c r="M97" i="4"/>
  <c r="M81" i="6"/>
  <c r="M69" i="6"/>
  <c r="L81" i="6"/>
  <c r="L69" i="6"/>
  <c r="L52" i="4"/>
  <c r="L65" i="4"/>
  <c r="AE65" i="4" s="1"/>
  <c r="M273" i="5"/>
  <c r="M206" i="5"/>
  <c r="M139" i="5"/>
  <c r="L139" i="5"/>
  <c r="M71" i="5"/>
  <c r="L71" i="5"/>
  <c r="M141" i="4" l="1"/>
  <c r="M153" i="4"/>
  <c r="M163" i="4" s="1"/>
  <c r="L206" i="5"/>
  <c r="AE119" i="6"/>
  <c r="L151" i="6"/>
  <c r="AE127" i="6"/>
  <c r="L159" i="6"/>
  <c r="AE116" i="6"/>
  <c r="L148" i="6"/>
  <c r="AE124" i="6"/>
  <c r="L156" i="6"/>
  <c r="AE132" i="6"/>
  <c r="L164" i="6"/>
  <c r="AE121" i="6"/>
  <c r="L153" i="6"/>
  <c r="AE129" i="6"/>
  <c r="L161" i="6"/>
  <c r="AE118" i="6"/>
  <c r="L150" i="6"/>
  <c r="AE126" i="6"/>
  <c r="L158" i="6"/>
  <c r="AE115" i="6"/>
  <c r="L147" i="6"/>
  <c r="AE123" i="6"/>
  <c r="L155" i="6"/>
  <c r="AE131" i="6"/>
  <c r="L163" i="6"/>
  <c r="AE120" i="6"/>
  <c r="L152" i="6"/>
  <c r="AE128" i="6"/>
  <c r="L160" i="6"/>
  <c r="AE117" i="6"/>
  <c r="L149" i="6"/>
  <c r="AE125" i="6"/>
  <c r="L157" i="6"/>
  <c r="AE114" i="6"/>
  <c r="L146" i="6"/>
  <c r="AE122" i="6"/>
  <c r="L154" i="6"/>
  <c r="AE130" i="6"/>
  <c r="L162" i="6"/>
  <c r="AE88" i="4"/>
  <c r="L110" i="4"/>
  <c r="AE96" i="4"/>
  <c r="L118" i="4"/>
  <c r="AE95" i="4"/>
  <c r="L117" i="4"/>
  <c r="AE94" i="4"/>
  <c r="L116" i="4"/>
  <c r="AE93" i="4"/>
  <c r="L115" i="4"/>
  <c r="AE92" i="4"/>
  <c r="L114" i="4"/>
  <c r="AE91" i="4"/>
  <c r="L113" i="4"/>
  <c r="AE90" i="4"/>
  <c r="L112" i="4"/>
  <c r="AE89" i="4"/>
  <c r="L111" i="4"/>
  <c r="AE225" i="5"/>
  <c r="L292" i="5"/>
  <c r="AE233" i="5"/>
  <c r="L300" i="5"/>
  <c r="AE241" i="5"/>
  <c r="L308" i="5"/>
  <c r="AE249" i="5"/>
  <c r="L316" i="5"/>
  <c r="AE257" i="5"/>
  <c r="L324" i="5"/>
  <c r="AE265" i="5"/>
  <c r="L332" i="5"/>
  <c r="AE222" i="5"/>
  <c r="L289" i="5"/>
  <c r="AE230" i="5"/>
  <c r="L297" i="5"/>
  <c r="AE238" i="5"/>
  <c r="L305" i="5"/>
  <c r="AE246" i="5"/>
  <c r="L313" i="5"/>
  <c r="AE254" i="5"/>
  <c r="L321" i="5"/>
  <c r="AE262" i="5"/>
  <c r="L329" i="5"/>
  <c r="AE270" i="5"/>
  <c r="L337" i="5"/>
  <c r="AE260" i="5"/>
  <c r="L327" i="5"/>
  <c r="AE272" i="5"/>
  <c r="L339" i="5"/>
  <c r="AE268" i="5"/>
  <c r="L335" i="5"/>
  <c r="AE227" i="5"/>
  <c r="L294" i="5"/>
  <c r="AE235" i="5"/>
  <c r="L302" i="5"/>
  <c r="AE243" i="5"/>
  <c r="L310" i="5"/>
  <c r="AE251" i="5"/>
  <c r="L318" i="5"/>
  <c r="AE259" i="5"/>
  <c r="L326" i="5"/>
  <c r="AE267" i="5"/>
  <c r="L334" i="5"/>
  <c r="AE224" i="5"/>
  <c r="L291" i="5"/>
  <c r="AE232" i="5"/>
  <c r="L299" i="5"/>
  <c r="AE240" i="5"/>
  <c r="L307" i="5"/>
  <c r="AE248" i="5"/>
  <c r="L315" i="5"/>
  <c r="AE221" i="5"/>
  <c r="L288" i="5"/>
  <c r="AE229" i="5"/>
  <c r="L296" i="5"/>
  <c r="AE237" i="5"/>
  <c r="L304" i="5"/>
  <c r="AE245" i="5"/>
  <c r="L312" i="5"/>
  <c r="AE253" i="5"/>
  <c r="L320" i="5"/>
  <c r="AE261" i="5"/>
  <c r="L328" i="5"/>
  <c r="AE269" i="5"/>
  <c r="L336" i="5"/>
  <c r="AE226" i="5"/>
  <c r="L293" i="5"/>
  <c r="AE234" i="5"/>
  <c r="L301" i="5"/>
  <c r="AE242" i="5"/>
  <c r="L309" i="5"/>
  <c r="AE250" i="5"/>
  <c r="L317" i="5"/>
  <c r="AE258" i="5"/>
  <c r="L325" i="5"/>
  <c r="AE266" i="5"/>
  <c r="L333" i="5"/>
  <c r="AE252" i="5"/>
  <c r="L319" i="5"/>
  <c r="AE264" i="5"/>
  <c r="L331" i="5"/>
  <c r="AE256" i="5"/>
  <c r="L323" i="5"/>
  <c r="AE223" i="5"/>
  <c r="L290" i="5"/>
  <c r="AE231" i="5"/>
  <c r="L298" i="5"/>
  <c r="AE239" i="5"/>
  <c r="L306" i="5"/>
  <c r="AE247" i="5"/>
  <c r="L314" i="5"/>
  <c r="AE255" i="5"/>
  <c r="L322" i="5"/>
  <c r="AE263" i="5"/>
  <c r="L330" i="5"/>
  <c r="AE271" i="5"/>
  <c r="L338" i="5"/>
  <c r="AE228" i="5"/>
  <c r="L295" i="5"/>
  <c r="AE236" i="5"/>
  <c r="L303" i="5"/>
  <c r="AE244" i="5"/>
  <c r="L311" i="5"/>
  <c r="AE81" i="6"/>
  <c r="L220" i="5"/>
  <c r="AE153" i="5"/>
  <c r="L219" i="5"/>
  <c r="AE152" i="5"/>
  <c r="L218" i="5"/>
  <c r="L285" i="5" s="1"/>
  <c r="L352" i="5" s="1"/>
  <c r="AE151" i="5"/>
  <c r="L113" i="6"/>
  <c r="L145" i="6" s="1"/>
  <c r="L177" i="6" s="1"/>
  <c r="L101" i="6"/>
  <c r="M101" i="6"/>
  <c r="M113" i="6"/>
  <c r="M145" i="6" s="1"/>
  <c r="L75" i="4"/>
  <c r="L87" i="4"/>
  <c r="L109" i="4" s="1"/>
  <c r="L131" i="4" s="1"/>
  <c r="AE311" i="5" l="1"/>
  <c r="L378" i="5"/>
  <c r="AE330" i="5"/>
  <c r="L397" i="5"/>
  <c r="AE298" i="5"/>
  <c r="L365" i="5"/>
  <c r="AE325" i="5"/>
  <c r="L392" i="5"/>
  <c r="AE293" i="5"/>
  <c r="L360" i="5"/>
  <c r="AE328" i="5"/>
  <c r="L395" i="5"/>
  <c r="AE296" i="5"/>
  <c r="L363" i="5"/>
  <c r="AE299" i="5"/>
  <c r="L366" i="5"/>
  <c r="AE318" i="5"/>
  <c r="L385" i="5"/>
  <c r="AE335" i="5"/>
  <c r="L402" i="5"/>
  <c r="AE329" i="5"/>
  <c r="L396" i="5"/>
  <c r="AE297" i="5"/>
  <c r="L364" i="5"/>
  <c r="AE316" i="5"/>
  <c r="L383" i="5"/>
  <c r="AE300" i="5"/>
  <c r="L367" i="5"/>
  <c r="AE113" i="4"/>
  <c r="L135" i="4"/>
  <c r="AE117" i="4"/>
  <c r="L139" i="4"/>
  <c r="AE154" i="6"/>
  <c r="L186" i="6"/>
  <c r="AE160" i="6"/>
  <c r="L192" i="6"/>
  <c r="M165" i="6"/>
  <c r="M177" i="6"/>
  <c r="AE131" i="4"/>
  <c r="L153" i="4"/>
  <c r="L209" i="6"/>
  <c r="AE295" i="5"/>
  <c r="L362" i="5"/>
  <c r="AE314" i="5"/>
  <c r="L381" i="5"/>
  <c r="AE323" i="5"/>
  <c r="L390" i="5"/>
  <c r="AE319" i="5"/>
  <c r="L386" i="5"/>
  <c r="AE309" i="5"/>
  <c r="L376" i="5"/>
  <c r="AE312" i="5"/>
  <c r="L379" i="5"/>
  <c r="AE315" i="5"/>
  <c r="L382" i="5"/>
  <c r="AE334" i="5"/>
  <c r="L401" i="5"/>
  <c r="AE302" i="5"/>
  <c r="L369" i="5"/>
  <c r="AE327" i="5"/>
  <c r="L394" i="5"/>
  <c r="AE313" i="5"/>
  <c r="L380" i="5"/>
  <c r="AE332" i="5"/>
  <c r="L399" i="5"/>
  <c r="AE111" i="4"/>
  <c r="L133" i="4"/>
  <c r="AE115" i="4"/>
  <c r="L137" i="4"/>
  <c r="AE110" i="4"/>
  <c r="L132" i="4"/>
  <c r="AE157" i="6"/>
  <c r="L189" i="6"/>
  <c r="AE163" i="6"/>
  <c r="L195" i="6"/>
  <c r="AE147" i="6"/>
  <c r="L179" i="6"/>
  <c r="AE150" i="6"/>
  <c r="L182" i="6"/>
  <c r="AE153" i="6"/>
  <c r="L185" i="6"/>
  <c r="AE156" i="6"/>
  <c r="L188" i="6"/>
  <c r="AE159" i="6"/>
  <c r="L191" i="6"/>
  <c r="L419" i="5"/>
  <c r="AE352" i="5"/>
  <c r="AE303" i="5"/>
  <c r="L370" i="5"/>
  <c r="AE338" i="5"/>
  <c r="L405" i="5"/>
  <c r="AE322" i="5"/>
  <c r="L389" i="5"/>
  <c r="AE306" i="5"/>
  <c r="L373" i="5"/>
  <c r="AE290" i="5"/>
  <c r="L357" i="5"/>
  <c r="AE331" i="5"/>
  <c r="L398" i="5"/>
  <c r="AE333" i="5"/>
  <c r="L400" i="5"/>
  <c r="AE317" i="5"/>
  <c r="L384" i="5"/>
  <c r="AE301" i="5"/>
  <c r="L368" i="5"/>
  <c r="AE336" i="5"/>
  <c r="L403" i="5"/>
  <c r="AE320" i="5"/>
  <c r="L387" i="5"/>
  <c r="AE304" i="5"/>
  <c r="L371" i="5"/>
  <c r="AE288" i="5"/>
  <c r="L355" i="5"/>
  <c r="AE307" i="5"/>
  <c r="L374" i="5"/>
  <c r="AE291" i="5"/>
  <c r="L358" i="5"/>
  <c r="AE326" i="5"/>
  <c r="L393" i="5"/>
  <c r="AE310" i="5"/>
  <c r="L377" i="5"/>
  <c r="AE294" i="5"/>
  <c r="L361" i="5"/>
  <c r="AE339" i="5"/>
  <c r="L406" i="5"/>
  <c r="AE337" i="5"/>
  <c r="L404" i="5"/>
  <c r="AE321" i="5"/>
  <c r="L388" i="5"/>
  <c r="AE305" i="5"/>
  <c r="L372" i="5"/>
  <c r="AE289" i="5"/>
  <c r="L356" i="5"/>
  <c r="AE324" i="5"/>
  <c r="L391" i="5"/>
  <c r="AE308" i="5"/>
  <c r="L375" i="5"/>
  <c r="AE292" i="5"/>
  <c r="L359" i="5"/>
  <c r="AE112" i="4"/>
  <c r="L134" i="4"/>
  <c r="AE114" i="4"/>
  <c r="L136" i="4"/>
  <c r="AE116" i="4"/>
  <c r="L138" i="4"/>
  <c r="AE118" i="4"/>
  <c r="L140" i="4"/>
  <c r="AE162" i="6"/>
  <c r="L194" i="6"/>
  <c r="AE146" i="6"/>
  <c r="L178" i="6"/>
  <c r="AE149" i="6"/>
  <c r="L181" i="6"/>
  <c r="AE152" i="6"/>
  <c r="L184" i="6"/>
  <c r="AE155" i="6"/>
  <c r="L187" i="6"/>
  <c r="AE158" i="6"/>
  <c r="L190" i="6"/>
  <c r="AE161" i="6"/>
  <c r="L193" i="6"/>
  <c r="AE164" i="6"/>
  <c r="L196" i="6"/>
  <c r="AE148" i="6"/>
  <c r="L180" i="6"/>
  <c r="AE151" i="6"/>
  <c r="L183" i="6"/>
  <c r="AE145" i="6"/>
  <c r="L165" i="6"/>
  <c r="AE109" i="4"/>
  <c r="L119" i="4"/>
  <c r="AE219" i="5"/>
  <c r="L286" i="5"/>
  <c r="AE285" i="5"/>
  <c r="AE220" i="5"/>
  <c r="L287" i="5"/>
  <c r="L97" i="4"/>
  <c r="AE87" i="4"/>
  <c r="AE218" i="5"/>
  <c r="L273" i="5"/>
  <c r="AE113" i="6"/>
  <c r="M133" i="6"/>
  <c r="L133" i="6"/>
  <c r="L219" i="6" l="1"/>
  <c r="AE219" i="6" s="1"/>
  <c r="AE187" i="6"/>
  <c r="AE138" i="4"/>
  <c r="L160" i="4"/>
  <c r="AE160" i="4" s="1"/>
  <c r="AE356" i="5"/>
  <c r="L423" i="5"/>
  <c r="AE423" i="5" s="1"/>
  <c r="L444" i="5"/>
  <c r="AE444" i="5" s="1"/>
  <c r="AE377" i="5"/>
  <c r="L422" i="5"/>
  <c r="AE422" i="5" s="1"/>
  <c r="AE355" i="5"/>
  <c r="AE368" i="5"/>
  <c r="L435" i="5"/>
  <c r="AE435" i="5" s="1"/>
  <c r="L456" i="5"/>
  <c r="AE456" i="5" s="1"/>
  <c r="AE389" i="5"/>
  <c r="AE419" i="5"/>
  <c r="AE153" i="4"/>
  <c r="AE139" i="4"/>
  <c r="L161" i="4"/>
  <c r="AE161" i="4" s="1"/>
  <c r="AE366" i="5"/>
  <c r="L433" i="5"/>
  <c r="AE433" i="5" s="1"/>
  <c r="L211" i="6"/>
  <c r="AE211" i="6" s="1"/>
  <c r="AE179" i="6"/>
  <c r="AE137" i="4"/>
  <c r="L159" i="4"/>
  <c r="AE159" i="4" s="1"/>
  <c r="AE394" i="5"/>
  <c r="L461" i="5"/>
  <c r="AE461" i="5" s="1"/>
  <c r="AE379" i="5"/>
  <c r="L446" i="5"/>
  <c r="AE446" i="5" s="1"/>
  <c r="L215" i="6"/>
  <c r="AE215" i="6" s="1"/>
  <c r="AE183" i="6"/>
  <c r="L228" i="6"/>
  <c r="AE228" i="6" s="1"/>
  <c r="AE196" i="6"/>
  <c r="L222" i="6"/>
  <c r="AE222" i="6" s="1"/>
  <c r="AE190" i="6"/>
  <c r="L216" i="6"/>
  <c r="AE216" i="6" s="1"/>
  <c r="AE184" i="6"/>
  <c r="L210" i="6"/>
  <c r="AE210" i="6" s="1"/>
  <c r="AE178" i="6"/>
  <c r="AE140" i="4"/>
  <c r="L162" i="4"/>
  <c r="AE162" i="4" s="1"/>
  <c r="AE136" i="4"/>
  <c r="L158" i="4"/>
  <c r="AE158" i="4" s="1"/>
  <c r="L426" i="5"/>
  <c r="AE426" i="5" s="1"/>
  <c r="AE359" i="5"/>
  <c r="L458" i="5"/>
  <c r="AE458" i="5" s="1"/>
  <c r="AE391" i="5"/>
  <c r="AE372" i="5"/>
  <c r="L439" i="5"/>
  <c r="AE439" i="5" s="1"/>
  <c r="AE404" i="5"/>
  <c r="L471" i="5"/>
  <c r="AE471" i="5" s="1"/>
  <c r="L428" i="5"/>
  <c r="AE428" i="5" s="1"/>
  <c r="AE361" i="5"/>
  <c r="L460" i="5"/>
  <c r="AE460" i="5" s="1"/>
  <c r="AE393" i="5"/>
  <c r="AE374" i="5"/>
  <c r="L441" i="5"/>
  <c r="AE441" i="5" s="1"/>
  <c r="L438" i="5"/>
  <c r="AE438" i="5" s="1"/>
  <c r="AE371" i="5"/>
  <c r="L470" i="5"/>
  <c r="AE470" i="5" s="1"/>
  <c r="AE403" i="5"/>
  <c r="AE384" i="5"/>
  <c r="L451" i="5"/>
  <c r="AE451" i="5" s="1"/>
  <c r="AE398" i="5"/>
  <c r="L465" i="5"/>
  <c r="AE465" i="5" s="1"/>
  <c r="L440" i="5"/>
  <c r="AE440" i="5" s="1"/>
  <c r="AE373" i="5"/>
  <c r="AE405" i="5"/>
  <c r="L472" i="5"/>
  <c r="AE472" i="5" s="1"/>
  <c r="L197" i="6"/>
  <c r="AE177" i="6"/>
  <c r="M209" i="6"/>
  <c r="M229" i="6" s="1"/>
  <c r="M197" i="6"/>
  <c r="L218" i="6"/>
  <c r="AE218" i="6" s="1"/>
  <c r="AE186" i="6"/>
  <c r="AE135" i="4"/>
  <c r="L157" i="4"/>
  <c r="AE157" i="4" s="1"/>
  <c r="L450" i="5"/>
  <c r="AE450" i="5" s="1"/>
  <c r="AE383" i="5"/>
  <c r="AE396" i="5"/>
  <c r="L463" i="5"/>
  <c r="AE463" i="5" s="1"/>
  <c r="L452" i="5"/>
  <c r="AE452" i="5" s="1"/>
  <c r="AE385" i="5"/>
  <c r="AE363" i="5"/>
  <c r="L430" i="5"/>
  <c r="AE430" i="5" s="1"/>
  <c r="AE360" i="5"/>
  <c r="L427" i="5"/>
  <c r="AE427" i="5" s="1"/>
  <c r="AE365" i="5"/>
  <c r="L432" i="5"/>
  <c r="AE432" i="5" s="1"/>
  <c r="AE378" i="5"/>
  <c r="L445" i="5"/>
  <c r="AE445" i="5" s="1"/>
  <c r="AE286" i="5"/>
  <c r="L353" i="5"/>
  <c r="L212" i="6"/>
  <c r="AE212" i="6" s="1"/>
  <c r="AE180" i="6"/>
  <c r="L225" i="6"/>
  <c r="AE225" i="6" s="1"/>
  <c r="AE193" i="6"/>
  <c r="L213" i="6"/>
  <c r="AE213" i="6" s="1"/>
  <c r="AE181" i="6"/>
  <c r="L226" i="6"/>
  <c r="AE226" i="6" s="1"/>
  <c r="AE194" i="6"/>
  <c r="AE134" i="4"/>
  <c r="L156" i="4"/>
  <c r="AE156" i="4" s="1"/>
  <c r="AE375" i="5"/>
  <c r="L442" i="5"/>
  <c r="AE442" i="5" s="1"/>
  <c r="L455" i="5"/>
  <c r="AE455" i="5" s="1"/>
  <c r="AE388" i="5"/>
  <c r="AE406" i="5"/>
  <c r="L473" i="5"/>
  <c r="AE473" i="5" s="1"/>
  <c r="AE358" i="5"/>
  <c r="L425" i="5"/>
  <c r="AE425" i="5" s="1"/>
  <c r="L454" i="5"/>
  <c r="AE454" i="5" s="1"/>
  <c r="AE387" i="5"/>
  <c r="AE400" i="5"/>
  <c r="L467" i="5"/>
  <c r="AE467" i="5" s="1"/>
  <c r="L424" i="5"/>
  <c r="AE424" i="5" s="1"/>
  <c r="AE357" i="5"/>
  <c r="AE370" i="5"/>
  <c r="L437" i="5"/>
  <c r="AE437" i="5" s="1"/>
  <c r="L224" i="6"/>
  <c r="AE224" i="6" s="1"/>
  <c r="AE192" i="6"/>
  <c r="AE367" i="5"/>
  <c r="L434" i="5"/>
  <c r="AE434" i="5" s="1"/>
  <c r="L431" i="5"/>
  <c r="AE431" i="5" s="1"/>
  <c r="AE364" i="5"/>
  <c r="AE402" i="5"/>
  <c r="L469" i="5"/>
  <c r="AE469" i="5" s="1"/>
  <c r="L462" i="5"/>
  <c r="AE462" i="5" s="1"/>
  <c r="AE395" i="5"/>
  <c r="AE392" i="5"/>
  <c r="L459" i="5"/>
  <c r="AE459" i="5" s="1"/>
  <c r="L464" i="5"/>
  <c r="AE464" i="5" s="1"/>
  <c r="AE397" i="5"/>
  <c r="AE287" i="5"/>
  <c r="L354" i="5"/>
  <c r="AE165" i="6"/>
  <c r="L223" i="6"/>
  <c r="AE223" i="6" s="1"/>
  <c r="AE191" i="6"/>
  <c r="L217" i="6"/>
  <c r="AE217" i="6" s="1"/>
  <c r="AE185" i="6"/>
  <c r="L221" i="6"/>
  <c r="AE221" i="6" s="1"/>
  <c r="AE189" i="6"/>
  <c r="AE399" i="5"/>
  <c r="L466" i="5"/>
  <c r="AE466" i="5" s="1"/>
  <c r="L468" i="5"/>
  <c r="AE468" i="5" s="1"/>
  <c r="AE401" i="5"/>
  <c r="L453" i="5"/>
  <c r="AE453" i="5" s="1"/>
  <c r="AE386" i="5"/>
  <c r="L448" i="5"/>
  <c r="AE448" i="5" s="1"/>
  <c r="AE381" i="5"/>
  <c r="AE209" i="6"/>
  <c r="AE119" i="4"/>
  <c r="L220" i="6"/>
  <c r="AE220" i="6" s="1"/>
  <c r="AE188" i="6"/>
  <c r="L214" i="6"/>
  <c r="AE214" i="6" s="1"/>
  <c r="AE182" i="6"/>
  <c r="L227" i="6"/>
  <c r="AE227" i="6" s="1"/>
  <c r="AE195" i="6"/>
  <c r="AE132" i="4"/>
  <c r="L154" i="4"/>
  <c r="AE154" i="4" s="1"/>
  <c r="AE133" i="4"/>
  <c r="AE141" i="4" s="1"/>
  <c r="L155" i="4"/>
  <c r="AE155" i="4" s="1"/>
  <c r="AE380" i="5"/>
  <c r="L447" i="5"/>
  <c r="AE447" i="5" s="1"/>
  <c r="AE369" i="5"/>
  <c r="L436" i="5"/>
  <c r="AE436" i="5" s="1"/>
  <c r="L449" i="5"/>
  <c r="AE449" i="5" s="1"/>
  <c r="AE382" i="5"/>
  <c r="AE376" i="5"/>
  <c r="L443" i="5"/>
  <c r="AE443" i="5" s="1"/>
  <c r="L457" i="5"/>
  <c r="AE457" i="5" s="1"/>
  <c r="AE390" i="5"/>
  <c r="L429" i="5"/>
  <c r="AE429" i="5" s="1"/>
  <c r="AE362" i="5"/>
  <c r="L141" i="4"/>
  <c r="L340" i="5"/>
  <c r="L420" i="5" l="1"/>
  <c r="AE353" i="5"/>
  <c r="L407" i="5"/>
  <c r="L229" i="6"/>
  <c r="L163" i="4"/>
  <c r="AE229" i="6"/>
  <c r="AE354" i="5"/>
  <c r="L421" i="5"/>
  <c r="AE421" i="5" s="1"/>
  <c r="AE197" i="6"/>
  <c r="AE163" i="4"/>
  <c r="H30" i="7"/>
  <c r="I30" i="7"/>
  <c r="K30" i="7"/>
  <c r="L51" i="3"/>
  <c r="M153" i="3" s="1"/>
  <c r="J67" i="16" s="1"/>
  <c r="K51" i="3"/>
  <c r="J51" i="3"/>
  <c r="I51" i="3"/>
  <c r="H51" i="3"/>
  <c r="I153" i="3" s="1"/>
  <c r="J153" i="3" l="1"/>
  <c r="AE420" i="5"/>
  <c r="L474" i="5"/>
  <c r="F67" i="16"/>
  <c r="J30" i="7"/>
  <c r="G67" i="16" s="1"/>
  <c r="L30" i="7"/>
  <c r="F38" i="12"/>
  <c r="F42" i="12" s="1"/>
  <c r="F55" i="12"/>
  <c r="F46" i="12"/>
  <c r="F23" i="12"/>
  <c r="F51" i="11"/>
  <c r="Z18" i="4" l="1"/>
  <c r="Z16" i="4"/>
  <c r="Z216" i="5"/>
  <c r="Z79" i="6"/>
  <c r="Z130" i="6"/>
  <c r="Z126" i="6"/>
  <c r="Z122" i="6"/>
  <c r="Z118" i="6"/>
  <c r="Z114" i="6"/>
  <c r="Z98" i="6"/>
  <c r="Z94" i="6"/>
  <c r="Z90" i="6"/>
  <c r="Z86" i="6"/>
  <c r="Z82" i="6"/>
  <c r="Z66" i="6"/>
  <c r="Z62" i="6"/>
  <c r="Z58" i="6"/>
  <c r="Z54" i="6"/>
  <c r="Z50" i="6"/>
  <c r="Z33" i="6"/>
  <c r="Z29" i="6"/>
  <c r="Z25" i="6"/>
  <c r="Z21" i="6"/>
  <c r="Z17" i="6"/>
  <c r="Z271" i="5"/>
  <c r="Z267" i="5"/>
  <c r="Z263" i="5"/>
  <c r="Z259" i="5"/>
  <c r="Z255" i="5"/>
  <c r="Z251" i="5"/>
  <c r="Z247" i="5"/>
  <c r="Z243" i="5"/>
  <c r="Z239" i="5"/>
  <c r="Z235" i="5"/>
  <c r="Z231" i="5"/>
  <c r="Z227" i="5"/>
  <c r="Z223" i="5"/>
  <c r="Z219" i="5"/>
  <c r="Z203" i="5"/>
  <c r="Z199" i="5"/>
  <c r="Z195" i="5"/>
  <c r="Z191" i="5"/>
  <c r="Z187" i="5"/>
  <c r="Z183" i="5"/>
  <c r="Z179" i="5"/>
  <c r="Z175" i="5"/>
  <c r="Z171" i="5"/>
  <c r="Z167" i="5"/>
  <c r="Z163" i="5"/>
  <c r="Z159" i="5"/>
  <c r="Z155" i="5"/>
  <c r="Z151" i="5"/>
  <c r="Z135" i="5"/>
  <c r="Z131" i="5"/>
  <c r="Z127" i="5"/>
  <c r="Z123" i="5"/>
  <c r="Z119" i="5"/>
  <c r="Z115" i="5"/>
  <c r="Z111" i="5"/>
  <c r="Z107" i="5"/>
  <c r="Z103" i="5"/>
  <c r="Z99" i="5"/>
  <c r="Z95" i="5"/>
  <c r="Z91" i="5"/>
  <c r="Z87" i="5"/>
  <c r="Z70" i="5"/>
  <c r="Z66" i="5"/>
  <c r="Z62" i="5"/>
  <c r="Z58" i="5"/>
  <c r="Z54" i="5"/>
  <c r="Z50" i="5"/>
  <c r="Z46" i="5"/>
  <c r="Z42" i="5"/>
  <c r="Z38" i="5"/>
  <c r="Z34" i="5"/>
  <c r="Z30" i="5"/>
  <c r="Z26" i="5"/>
  <c r="Z22" i="5"/>
  <c r="Z18" i="5"/>
  <c r="Z95" i="4"/>
  <c r="Z91" i="4"/>
  <c r="Z87" i="4"/>
  <c r="Z71" i="4"/>
  <c r="Z67" i="4"/>
  <c r="Z50" i="4"/>
  <c r="Z46" i="4"/>
  <c r="Z40" i="4"/>
  <c r="Z149" i="5"/>
  <c r="Z111" i="6"/>
  <c r="Z129" i="6"/>
  <c r="Z125" i="6"/>
  <c r="Z121" i="6"/>
  <c r="Z117" i="6"/>
  <c r="Z113" i="6"/>
  <c r="Z97" i="6"/>
  <c r="Z93" i="6"/>
  <c r="Z89" i="6"/>
  <c r="Z85" i="6"/>
  <c r="Z81" i="6"/>
  <c r="Z65" i="6"/>
  <c r="Z61" i="6"/>
  <c r="Z57" i="6"/>
  <c r="Z53" i="6"/>
  <c r="Z49" i="6"/>
  <c r="Z32" i="6"/>
  <c r="Z28" i="6"/>
  <c r="Z24" i="6"/>
  <c r="Z20" i="6"/>
  <c r="Z16" i="6"/>
  <c r="Z270" i="5"/>
  <c r="Z266" i="5"/>
  <c r="Z262" i="5"/>
  <c r="Z258" i="5"/>
  <c r="Z254" i="5"/>
  <c r="Z250" i="5"/>
  <c r="Z246" i="5"/>
  <c r="Z242" i="5"/>
  <c r="Z238" i="5"/>
  <c r="Z234" i="5"/>
  <c r="Z230" i="5"/>
  <c r="Z226" i="5"/>
  <c r="Z222" i="5"/>
  <c r="Z218" i="5"/>
  <c r="Z202" i="5"/>
  <c r="Z198" i="5"/>
  <c r="Z194" i="5"/>
  <c r="Z190" i="5"/>
  <c r="Z186" i="5"/>
  <c r="Z182" i="5"/>
  <c r="Z178" i="5"/>
  <c r="Z174" i="5"/>
  <c r="Z170" i="5"/>
  <c r="Z166" i="5"/>
  <c r="Z162" i="5"/>
  <c r="Z158" i="5"/>
  <c r="Z154" i="5"/>
  <c r="Z138" i="5"/>
  <c r="Z134" i="5"/>
  <c r="Z130" i="5"/>
  <c r="Z126" i="5"/>
  <c r="Z122" i="5"/>
  <c r="Z118" i="5"/>
  <c r="Z114" i="5"/>
  <c r="Z110" i="5"/>
  <c r="Z106" i="5"/>
  <c r="Z102" i="5"/>
  <c r="Z98" i="5"/>
  <c r="Z94" i="5"/>
  <c r="Z90" i="5"/>
  <c r="Z86" i="5"/>
  <c r="Z69" i="5"/>
  <c r="Z65" i="5"/>
  <c r="Z61" i="5"/>
  <c r="Z57" i="5"/>
  <c r="Z53" i="5"/>
  <c r="Z49" i="5"/>
  <c r="Z45" i="5"/>
  <c r="Z41" i="5"/>
  <c r="Z37" i="5"/>
  <c r="Z33" i="5"/>
  <c r="Z29" i="5"/>
  <c r="Z25" i="5"/>
  <c r="Z21" i="5"/>
  <c r="Z17" i="5"/>
  <c r="Z94" i="4"/>
  <c r="Z90" i="4"/>
  <c r="Z74" i="4"/>
  <c r="Z70" i="4"/>
  <c r="Z66" i="4"/>
  <c r="Z49" i="4"/>
  <c r="Z45" i="4"/>
  <c r="Z63" i="4"/>
  <c r="Z132" i="6"/>
  <c r="Z124" i="6"/>
  <c r="Z116" i="6"/>
  <c r="Z96" i="6"/>
  <c r="Z88" i="6"/>
  <c r="Z68" i="6"/>
  <c r="Z60" i="6"/>
  <c r="Z52" i="6"/>
  <c r="Z31" i="6"/>
  <c r="Z23" i="6"/>
  <c r="Z14" i="6"/>
  <c r="Z265" i="5"/>
  <c r="Z257" i="5"/>
  <c r="Z249" i="5"/>
  <c r="Z241" i="5"/>
  <c r="Z233" i="5"/>
  <c r="Z225" i="5"/>
  <c r="Z205" i="5"/>
  <c r="Z197" i="5"/>
  <c r="Z189" i="5"/>
  <c r="Z181" i="5"/>
  <c r="Z173" i="5"/>
  <c r="Z165" i="5"/>
  <c r="Z157" i="5"/>
  <c r="Z137" i="5"/>
  <c r="Z129" i="5"/>
  <c r="Z121" i="5"/>
  <c r="Z113" i="5"/>
  <c r="Z105" i="5"/>
  <c r="Z97" i="5"/>
  <c r="Z89" i="5"/>
  <c r="Z68" i="5"/>
  <c r="Z60" i="5"/>
  <c r="Z52" i="5"/>
  <c r="Z44" i="5"/>
  <c r="Z36" i="5"/>
  <c r="Z28" i="5"/>
  <c r="Z20" i="5"/>
  <c r="Z93" i="4"/>
  <c r="Z73" i="4"/>
  <c r="Z65" i="4"/>
  <c r="Z44" i="4"/>
  <c r="Z26" i="4"/>
  <c r="Z22" i="4"/>
  <c r="Z72" i="4"/>
  <c r="Z43" i="4"/>
  <c r="Z21" i="4"/>
  <c r="Z82" i="5"/>
  <c r="Z100" i="6"/>
  <c r="Z84" i="6"/>
  <c r="Z64" i="6"/>
  <c r="Z35" i="6"/>
  <c r="Z19" i="6"/>
  <c r="Z261" i="5"/>
  <c r="Z245" i="5"/>
  <c r="Z229" i="5"/>
  <c r="Z201" i="5"/>
  <c r="Z185" i="5"/>
  <c r="Z169" i="5"/>
  <c r="Z153" i="5"/>
  <c r="Z125" i="5"/>
  <c r="Z109" i="5"/>
  <c r="Z93" i="5"/>
  <c r="Z64" i="5"/>
  <c r="Z48" i="5"/>
  <c r="Z32" i="5"/>
  <c r="Z16" i="5"/>
  <c r="Z69" i="4"/>
  <c r="Z42" i="4"/>
  <c r="Z24" i="4"/>
  <c r="Z47" i="6"/>
  <c r="Z99" i="6"/>
  <c r="Z83" i="6"/>
  <c r="Z55" i="6"/>
  <c r="Z26" i="6"/>
  <c r="Z268" i="5"/>
  <c r="Z252" i="5"/>
  <c r="Z236" i="5"/>
  <c r="Z220" i="5"/>
  <c r="Z192" i="5"/>
  <c r="Z176" i="5"/>
  <c r="Z160" i="5"/>
  <c r="Z132" i="5"/>
  <c r="Z116" i="5"/>
  <c r="Z100" i="5"/>
  <c r="Z84" i="5"/>
  <c r="Z55" i="5"/>
  <c r="Z39" i="5"/>
  <c r="Z23" i="5"/>
  <c r="Z96" i="4"/>
  <c r="Z68" i="4"/>
  <c r="Z85" i="4"/>
  <c r="Z131" i="6"/>
  <c r="Z123" i="6"/>
  <c r="Z115" i="6"/>
  <c r="Z95" i="6"/>
  <c r="Z87" i="6"/>
  <c r="Z67" i="6"/>
  <c r="Z59" i="6"/>
  <c r="Z51" i="6"/>
  <c r="Z30" i="6"/>
  <c r="Z22" i="6"/>
  <c r="Z272" i="5"/>
  <c r="Z264" i="5"/>
  <c r="Z256" i="5"/>
  <c r="Z248" i="5"/>
  <c r="Z240" i="5"/>
  <c r="Z232" i="5"/>
  <c r="Z224" i="5"/>
  <c r="Z204" i="5"/>
  <c r="Z196" i="5"/>
  <c r="Z188" i="5"/>
  <c r="Z180" i="5"/>
  <c r="Z172" i="5"/>
  <c r="Z164" i="5"/>
  <c r="Z156" i="5"/>
  <c r="Z136" i="5"/>
  <c r="Z128" i="5"/>
  <c r="Z120" i="5"/>
  <c r="Z112" i="5"/>
  <c r="Z104" i="5"/>
  <c r="Z96" i="5"/>
  <c r="Z88" i="5"/>
  <c r="Z67" i="5"/>
  <c r="Z59" i="5"/>
  <c r="Z51" i="5"/>
  <c r="Z43" i="5"/>
  <c r="Z35" i="5"/>
  <c r="Z27" i="5"/>
  <c r="Z19" i="5"/>
  <c r="Z92" i="4"/>
  <c r="Z51" i="4"/>
  <c r="Z25" i="4"/>
  <c r="Z128" i="6"/>
  <c r="Z120" i="6"/>
  <c r="Z92" i="6"/>
  <c r="Z56" i="6"/>
  <c r="Z27" i="6"/>
  <c r="Z269" i="5"/>
  <c r="Z253" i="5"/>
  <c r="Z237" i="5"/>
  <c r="Z221" i="5"/>
  <c r="Z193" i="5"/>
  <c r="Z177" i="5"/>
  <c r="Z161" i="5"/>
  <c r="Z133" i="5"/>
  <c r="Z117" i="5"/>
  <c r="Z101" i="5"/>
  <c r="Z85" i="5"/>
  <c r="Z56" i="5"/>
  <c r="Z40" i="5"/>
  <c r="Z24" i="5"/>
  <c r="Z89" i="4"/>
  <c r="Z48" i="4"/>
  <c r="Z20" i="4"/>
  <c r="Z127" i="6"/>
  <c r="Z119" i="6"/>
  <c r="Z91" i="6"/>
  <c r="Z63" i="6"/>
  <c r="Z34" i="6"/>
  <c r="Z18" i="6"/>
  <c r="Z260" i="5"/>
  <c r="Z244" i="5"/>
  <c r="Z228" i="5"/>
  <c r="Z200" i="5"/>
  <c r="Z184" i="5"/>
  <c r="Z168" i="5"/>
  <c r="Z152" i="5"/>
  <c r="Z124" i="5"/>
  <c r="Z108" i="5"/>
  <c r="Z92" i="5"/>
  <c r="Z63" i="5"/>
  <c r="Z47" i="5"/>
  <c r="Z31" i="5"/>
  <c r="Z14" i="5"/>
  <c r="Z88" i="4"/>
  <c r="Z27" i="4"/>
  <c r="Z23" i="4"/>
  <c r="Z19" i="4"/>
  <c r="Z47" i="4"/>
  <c r="H66" i="3"/>
  <c r="L153" i="3" l="1"/>
  <c r="K153" i="3"/>
  <c r="I98" i="3"/>
  <c r="J98" i="3" s="1"/>
  <c r="K98" i="3" s="1"/>
  <c r="L98" i="3" s="1"/>
  <c r="M98" i="3" s="1"/>
  <c r="H67" i="16" l="1"/>
  <c r="I67" i="16"/>
  <c r="N198" i="9"/>
  <c r="M198" i="9"/>
  <c r="L198" i="9"/>
  <c r="O198" i="9" s="1"/>
  <c r="N197" i="9"/>
  <c r="M197" i="9"/>
  <c r="L197" i="9"/>
  <c r="O197" i="9" s="1"/>
  <c r="N196" i="9"/>
  <c r="M196" i="9"/>
  <c r="L196" i="9"/>
  <c r="O196" i="9" s="1"/>
  <c r="N195" i="9"/>
  <c r="M195" i="9"/>
  <c r="L195" i="9"/>
  <c r="O195" i="9" s="1"/>
  <c r="N194" i="9"/>
  <c r="M194" i="9"/>
  <c r="L194" i="9"/>
  <c r="O194" i="9" s="1"/>
  <c r="N193" i="9"/>
  <c r="M193" i="9"/>
  <c r="L193" i="9"/>
  <c r="O193" i="9" s="1"/>
  <c r="N192" i="9"/>
  <c r="M192" i="9"/>
  <c r="L192" i="9"/>
  <c r="O192" i="9" s="1"/>
  <c r="N191" i="9"/>
  <c r="M191" i="9"/>
  <c r="L191" i="9"/>
  <c r="O191" i="9" s="1"/>
  <c r="N190" i="9"/>
  <c r="M190" i="9"/>
  <c r="L190" i="9"/>
  <c r="O190" i="9" s="1"/>
  <c r="N189" i="9"/>
  <c r="M189" i="9"/>
  <c r="L189" i="9"/>
  <c r="O189" i="9" s="1"/>
  <c r="N188" i="9"/>
  <c r="M188" i="9"/>
  <c r="L188" i="9"/>
  <c r="O188" i="9" s="1"/>
  <c r="N187" i="9"/>
  <c r="M187" i="9"/>
  <c r="L187" i="9"/>
  <c r="O187" i="9" s="1"/>
  <c r="N186" i="9"/>
  <c r="M186" i="9"/>
  <c r="L186" i="9"/>
  <c r="O186" i="9" s="1"/>
  <c r="N185" i="9"/>
  <c r="M185" i="9"/>
  <c r="L185" i="9"/>
  <c r="O185" i="9" s="1"/>
  <c r="N184" i="9"/>
  <c r="M184" i="9"/>
  <c r="L184" i="9"/>
  <c r="O184" i="9" s="1"/>
  <c r="N183" i="9"/>
  <c r="M183" i="9"/>
  <c r="L183" i="9"/>
  <c r="O183" i="9" s="1"/>
  <c r="N182" i="9"/>
  <c r="M182" i="9"/>
  <c r="L182" i="9"/>
  <c r="O182" i="9" s="1"/>
  <c r="N181" i="9"/>
  <c r="M181" i="9"/>
  <c r="L181" i="9"/>
  <c r="O181" i="9" s="1"/>
  <c r="N180" i="9"/>
  <c r="M180" i="9"/>
  <c r="L180" i="9"/>
  <c r="O180" i="9" s="1"/>
  <c r="N179" i="9"/>
  <c r="M179" i="9"/>
  <c r="L179" i="9"/>
  <c r="O179" i="9" s="1"/>
  <c r="N178" i="9"/>
  <c r="M178" i="9"/>
  <c r="L178" i="9"/>
  <c r="O178" i="9" s="1"/>
  <c r="N177" i="9"/>
  <c r="M177" i="9"/>
  <c r="L177" i="9"/>
  <c r="O177" i="9" s="1"/>
  <c r="N176" i="9"/>
  <c r="M176" i="9"/>
  <c r="L176" i="9"/>
  <c r="O176" i="9" s="1"/>
  <c r="N175" i="9"/>
  <c r="M175" i="9"/>
  <c r="L175" i="9"/>
  <c r="O175" i="9" s="1"/>
  <c r="N174" i="9"/>
  <c r="M174" i="9"/>
  <c r="L174" i="9"/>
  <c r="O174" i="9" s="1"/>
  <c r="N173" i="9"/>
  <c r="M173" i="9"/>
  <c r="L173" i="9"/>
  <c r="O173" i="9" s="1"/>
  <c r="N172" i="9"/>
  <c r="M172" i="9"/>
  <c r="L172" i="9"/>
  <c r="O172" i="9" s="1"/>
  <c r="N171" i="9"/>
  <c r="M171" i="9"/>
  <c r="L171" i="9"/>
  <c r="O171" i="9" s="1"/>
  <c r="N170" i="9"/>
  <c r="M170" i="9"/>
  <c r="L170" i="9"/>
  <c r="O170" i="9" s="1"/>
  <c r="N169" i="9"/>
  <c r="M169" i="9"/>
  <c r="L169" i="9"/>
  <c r="O169" i="9" s="1"/>
  <c r="N168" i="9"/>
  <c r="M168" i="9"/>
  <c r="L168" i="9"/>
  <c r="O168" i="9" s="1"/>
  <c r="N167" i="9"/>
  <c r="M167" i="9"/>
  <c r="L167" i="9"/>
  <c r="O167" i="9" s="1"/>
  <c r="N166" i="9"/>
  <c r="M166" i="9"/>
  <c r="L166" i="9"/>
  <c r="O166" i="9" s="1"/>
  <c r="N165" i="9"/>
  <c r="M165" i="9"/>
  <c r="L165" i="9"/>
  <c r="O165" i="9" s="1"/>
  <c r="N164" i="9"/>
  <c r="M164" i="9"/>
  <c r="L164" i="9"/>
  <c r="O164" i="9" s="1"/>
  <c r="N163" i="9"/>
  <c r="M163" i="9"/>
  <c r="L163" i="9"/>
  <c r="O163" i="9" s="1"/>
  <c r="N162" i="9"/>
  <c r="M162" i="9"/>
  <c r="L162" i="9"/>
  <c r="O162" i="9" s="1"/>
  <c r="N161" i="9"/>
  <c r="M161" i="9"/>
  <c r="L161" i="9"/>
  <c r="O161" i="9" s="1"/>
  <c r="N160" i="9"/>
  <c r="M160" i="9"/>
  <c r="L160" i="9"/>
  <c r="O160" i="9" s="1"/>
  <c r="N159" i="9"/>
  <c r="M159" i="9"/>
  <c r="L159" i="9"/>
  <c r="O159" i="9" s="1"/>
  <c r="N158" i="9"/>
  <c r="M158" i="9"/>
  <c r="L158" i="9"/>
  <c r="O158" i="9" s="1"/>
  <c r="N157" i="9"/>
  <c r="M157" i="9"/>
  <c r="L157" i="9"/>
  <c r="O157" i="9" s="1"/>
  <c r="N156" i="9"/>
  <c r="M156" i="9"/>
  <c r="L156" i="9"/>
  <c r="O156" i="9" s="1"/>
  <c r="N155" i="9"/>
  <c r="M155" i="9"/>
  <c r="L155" i="9"/>
  <c r="O155" i="9" s="1"/>
  <c r="N154" i="9"/>
  <c r="M154" i="9"/>
  <c r="L154" i="9"/>
  <c r="O154" i="9" s="1"/>
  <c r="N153" i="9"/>
  <c r="M153" i="9"/>
  <c r="L153" i="9"/>
  <c r="O153" i="9" s="1"/>
  <c r="N152" i="9"/>
  <c r="M152" i="9"/>
  <c r="L152" i="9"/>
  <c r="O152" i="9" s="1"/>
  <c r="N151" i="9"/>
  <c r="M151" i="9"/>
  <c r="L151" i="9"/>
  <c r="O151" i="9" s="1"/>
  <c r="N150" i="9"/>
  <c r="M150" i="9"/>
  <c r="L150" i="9"/>
  <c r="O150" i="9" s="1"/>
  <c r="N149" i="9"/>
  <c r="M149" i="9"/>
  <c r="L149" i="9"/>
  <c r="O149" i="9" s="1"/>
  <c r="N148" i="9"/>
  <c r="M148" i="9"/>
  <c r="L148" i="9"/>
  <c r="O148" i="9" s="1"/>
  <c r="N147" i="9"/>
  <c r="M147" i="9"/>
  <c r="L147" i="9"/>
  <c r="O147" i="9" s="1"/>
  <c r="N146" i="9"/>
  <c r="M146" i="9"/>
  <c r="L146" i="9"/>
  <c r="O146" i="9" s="1"/>
  <c r="N145" i="9"/>
  <c r="M145" i="9"/>
  <c r="L145" i="9"/>
  <c r="O145" i="9" s="1"/>
  <c r="N144" i="9"/>
  <c r="M144" i="9"/>
  <c r="L144" i="9"/>
  <c r="O144" i="9" s="1"/>
  <c r="N143" i="9"/>
  <c r="M143" i="9"/>
  <c r="L143" i="9"/>
  <c r="O143" i="9" s="1"/>
  <c r="N142" i="9"/>
  <c r="M142" i="9"/>
  <c r="L142" i="9"/>
  <c r="O142" i="9" s="1"/>
  <c r="N141" i="9"/>
  <c r="M141" i="9"/>
  <c r="L141" i="9"/>
  <c r="O141" i="9" s="1"/>
  <c r="N140" i="9"/>
  <c r="M140" i="9"/>
  <c r="L140" i="9"/>
  <c r="O140" i="9" s="1"/>
  <c r="N139" i="9"/>
  <c r="M139" i="9"/>
  <c r="L139" i="9"/>
  <c r="O139" i="9" s="1"/>
  <c r="N138" i="9"/>
  <c r="M138" i="9"/>
  <c r="L138" i="9"/>
  <c r="O138" i="9" s="1"/>
  <c r="N137" i="9"/>
  <c r="M137" i="9"/>
  <c r="L137" i="9"/>
  <c r="O137" i="9" s="1"/>
  <c r="N136" i="9"/>
  <c r="M136" i="9"/>
  <c r="L136" i="9"/>
  <c r="O136" i="9" s="1"/>
  <c r="N135" i="9"/>
  <c r="M135" i="9"/>
  <c r="L135" i="9"/>
  <c r="O135" i="9" s="1"/>
  <c r="N134" i="9"/>
  <c r="M134" i="9"/>
  <c r="L134" i="9"/>
  <c r="O134" i="9" s="1"/>
  <c r="N133" i="9"/>
  <c r="M133" i="9"/>
  <c r="L133" i="9"/>
  <c r="O133" i="9" s="1"/>
  <c r="N132" i="9"/>
  <c r="M132" i="9"/>
  <c r="L132" i="9"/>
  <c r="O132" i="9" s="1"/>
  <c r="N131" i="9"/>
  <c r="M131" i="9"/>
  <c r="L131" i="9"/>
  <c r="O131" i="9" s="1"/>
  <c r="N130" i="9"/>
  <c r="M130" i="9"/>
  <c r="L130" i="9"/>
  <c r="O130" i="9" s="1"/>
  <c r="N129" i="9"/>
  <c r="M129" i="9"/>
  <c r="L129" i="9"/>
  <c r="O129" i="9" s="1"/>
  <c r="N128" i="9"/>
  <c r="M128" i="9"/>
  <c r="L128" i="9"/>
  <c r="O128" i="9" s="1"/>
  <c r="N127" i="9"/>
  <c r="M127" i="9"/>
  <c r="L127" i="9"/>
  <c r="O127" i="9" s="1"/>
  <c r="D27" i="19" l="1"/>
  <c r="E27" i="19" s="1"/>
  <c r="K86" i="19"/>
  <c r="H83" i="3" l="1"/>
  <c r="L65" i="21" l="1"/>
  <c r="L64" i="21"/>
  <c r="L63" i="21"/>
  <c r="L62" i="21"/>
  <c r="L61" i="21"/>
  <c r="L60" i="21"/>
  <c r="L53" i="21"/>
  <c r="L52" i="21"/>
  <c r="L51" i="21"/>
  <c r="L50" i="21"/>
  <c r="L49" i="21"/>
  <c r="L48" i="21"/>
  <c r="L37" i="21"/>
  <c r="L38" i="21"/>
  <c r="L39" i="21"/>
  <c r="L40" i="21"/>
  <c r="L41" i="21"/>
  <c r="L36" i="21"/>
  <c r="L25" i="21"/>
  <c r="L26" i="21"/>
  <c r="L27" i="21"/>
  <c r="L28" i="21"/>
  <c r="L29" i="21"/>
  <c r="L24" i="21"/>
  <c r="L15" i="21"/>
  <c r="L16" i="21"/>
  <c r="L17" i="21"/>
  <c r="L14" i="21"/>
  <c r="L13" i="21"/>
  <c r="L12" i="21"/>
  <c r="F38" i="11" l="1"/>
  <c r="F22" i="11"/>
  <c r="F21" i="11"/>
  <c r="F19" i="11"/>
  <c r="R66" i="21"/>
  <c r="O66" i="21"/>
  <c r="T65" i="21"/>
  <c r="T64" i="21"/>
  <c r="T63" i="21"/>
  <c r="T62" i="21"/>
  <c r="T61" i="21"/>
  <c r="L66" i="21"/>
  <c r="T66" i="21" l="1"/>
  <c r="T60" i="21"/>
  <c r="F8" i="13" l="1"/>
  <c r="R54" i="21" l="1"/>
  <c r="O54" i="21"/>
  <c r="T53" i="21"/>
  <c r="T52" i="21"/>
  <c r="T51" i="21"/>
  <c r="T50" i="21"/>
  <c r="T49" i="21"/>
  <c r="L54" i="21" l="1"/>
  <c r="T54" i="21" s="1"/>
  <c r="T48" i="21"/>
  <c r="T40" i="21" l="1"/>
  <c r="T37" i="21"/>
  <c r="T28" i="21"/>
  <c r="T26" i="21"/>
  <c r="T16" i="21"/>
  <c r="T15" i="21"/>
  <c r="T41" i="21"/>
  <c r="T39" i="21"/>
  <c r="T38" i="21"/>
  <c r="T36" i="21"/>
  <c r="T29" i="21"/>
  <c r="T27" i="21"/>
  <c r="T25" i="21"/>
  <c r="T24" i="21"/>
  <c r="T17" i="21"/>
  <c r="T14" i="21"/>
  <c r="T13" i="21"/>
  <c r="O42" i="21" l="1"/>
  <c r="O30" i="21"/>
  <c r="O18" i="21"/>
  <c r="L30" i="21" l="1"/>
  <c r="H158" i="7"/>
  <c r="F26" i="11" s="1"/>
  <c r="R42" i="21" l="1"/>
  <c r="L42" i="21"/>
  <c r="R30" i="21"/>
  <c r="T30" i="21" s="1"/>
  <c r="R18" i="21"/>
  <c r="T42" i="21" l="1"/>
  <c r="C5" i="21"/>
  <c r="H62" i="7" l="1"/>
  <c r="I100" i="3" l="1"/>
  <c r="J100" i="3" s="1"/>
  <c r="K100" i="3" s="1"/>
  <c r="L100" i="3" s="1"/>
  <c r="M100" i="3" s="1"/>
  <c r="H27" i="2"/>
  <c r="G84" i="5"/>
  <c r="G85" i="5"/>
  <c r="G86" i="5"/>
  <c r="G88" i="5"/>
  <c r="G155" i="5" s="1"/>
  <c r="G89" i="5"/>
  <c r="G156" i="5" s="1"/>
  <c r="G223" i="5" s="1"/>
  <c r="G90" i="5"/>
  <c r="G92" i="5"/>
  <c r="G93" i="5"/>
  <c r="G160" i="5" s="1"/>
  <c r="G227" i="5" s="1"/>
  <c r="G95" i="5"/>
  <c r="G96" i="5"/>
  <c r="G97" i="5"/>
  <c r="G164" i="5" s="1"/>
  <c r="G231" i="5" s="1"/>
  <c r="G98" i="5"/>
  <c r="G33" i="2"/>
  <c r="AI18" i="5"/>
  <c r="AI22" i="5"/>
  <c r="G27" i="2"/>
  <c r="H50" i="2"/>
  <c r="I17" i="7" s="1"/>
  <c r="G34" i="2"/>
  <c r="I71" i="7"/>
  <c r="J71" i="7" s="1"/>
  <c r="K71" i="7" s="1"/>
  <c r="L71" i="7" s="1"/>
  <c r="M71" i="7" s="1"/>
  <c r="E99" i="5"/>
  <c r="E119" i="5"/>
  <c r="E49" i="6"/>
  <c r="F19" i="8"/>
  <c r="H45" i="7"/>
  <c r="B117" i="19"/>
  <c r="B118" i="19" s="1"/>
  <c r="B119" i="19" s="1"/>
  <c r="B120" i="19" s="1"/>
  <c r="B121" i="19" s="1"/>
  <c r="B122" i="19" s="1"/>
  <c r="B123" i="19" s="1"/>
  <c r="B124" i="19" s="1"/>
  <c r="B125" i="19" s="1"/>
  <c r="B126" i="19" s="1"/>
  <c r="B127" i="19" s="1"/>
  <c r="B128" i="19" s="1"/>
  <c r="B129" i="19" s="1"/>
  <c r="B130" i="19" s="1"/>
  <c r="B131" i="19" s="1"/>
  <c r="B132" i="19" s="1"/>
  <c r="I56" i="7"/>
  <c r="I57" i="7"/>
  <c r="J57" i="7" s="1"/>
  <c r="K57" i="7" s="1"/>
  <c r="L57" i="7" s="1"/>
  <c r="M57" i="7" s="1"/>
  <c r="I58" i="7"/>
  <c r="J58" i="7" s="1"/>
  <c r="K58" i="7" s="1"/>
  <c r="L58" i="7" s="1"/>
  <c r="M58" i="7" s="1"/>
  <c r="I59" i="7"/>
  <c r="J59" i="7" s="1"/>
  <c r="K59" i="7" s="1"/>
  <c r="L59" i="7" s="1"/>
  <c r="M59" i="7" s="1"/>
  <c r="I60" i="7"/>
  <c r="J60" i="7" s="1"/>
  <c r="K60" i="7" s="1"/>
  <c r="L60" i="7" s="1"/>
  <c r="M60" i="7" s="1"/>
  <c r="I68" i="7"/>
  <c r="J68" i="7" s="1"/>
  <c r="I69" i="7"/>
  <c r="I70" i="7"/>
  <c r="J70" i="7" s="1"/>
  <c r="K70" i="7" s="1"/>
  <c r="L70" i="7" s="1"/>
  <c r="M70" i="7" s="1"/>
  <c r="I72" i="7"/>
  <c r="J72" i="7" s="1"/>
  <c r="K72" i="7" s="1"/>
  <c r="L72" i="7" s="1"/>
  <c r="M72" i="7" s="1"/>
  <c r="I73" i="7"/>
  <c r="J73" i="7" s="1"/>
  <c r="K73" i="7" s="1"/>
  <c r="L73" i="7" s="1"/>
  <c r="M73" i="7" s="1"/>
  <c r="I74" i="7"/>
  <c r="J74" i="7" s="1"/>
  <c r="K74" i="7" s="1"/>
  <c r="L74" i="7" s="1"/>
  <c r="M74" i="7" s="1"/>
  <c r="I75" i="7"/>
  <c r="J75" i="7" s="1"/>
  <c r="K75" i="7" s="1"/>
  <c r="L75" i="7" s="1"/>
  <c r="M75" i="7" s="1"/>
  <c r="I106" i="7"/>
  <c r="J106" i="7" s="1"/>
  <c r="K106" i="7" s="1"/>
  <c r="L106" i="7" s="1"/>
  <c r="M106" i="7" s="1"/>
  <c r="I107" i="7"/>
  <c r="J107" i="7" s="1"/>
  <c r="K107" i="7" s="1"/>
  <c r="L107" i="7" s="1"/>
  <c r="M107" i="7" s="1"/>
  <c r="I108" i="7"/>
  <c r="J108" i="7" s="1"/>
  <c r="K108" i="7" s="1"/>
  <c r="L108" i="7" s="1"/>
  <c r="M108" i="7" s="1"/>
  <c r="I109" i="7"/>
  <c r="J109" i="7" s="1"/>
  <c r="K109" i="7" s="1"/>
  <c r="L109" i="7" s="1"/>
  <c r="M109" i="7" s="1"/>
  <c r="I110" i="7"/>
  <c r="J110" i="7" s="1"/>
  <c r="K110" i="7" s="1"/>
  <c r="L110" i="7" s="1"/>
  <c r="M110" i="7" s="1"/>
  <c r="I111" i="7"/>
  <c r="J111" i="7" s="1"/>
  <c r="K111" i="7" s="1"/>
  <c r="L111" i="7" s="1"/>
  <c r="M111" i="7" s="1"/>
  <c r="I112" i="7"/>
  <c r="J112" i="7" s="1"/>
  <c r="K112" i="7" s="1"/>
  <c r="L112" i="7" s="1"/>
  <c r="M112" i="7" s="1"/>
  <c r="I113" i="7"/>
  <c r="J113" i="7" s="1"/>
  <c r="K113" i="7" s="1"/>
  <c r="L113" i="7" s="1"/>
  <c r="M113" i="7" s="1"/>
  <c r="I114" i="7"/>
  <c r="J114" i="7" s="1"/>
  <c r="K114" i="7" s="1"/>
  <c r="L114" i="7" s="1"/>
  <c r="M114" i="7" s="1"/>
  <c r="I122" i="7"/>
  <c r="J122" i="7" s="1"/>
  <c r="K122" i="7" s="1"/>
  <c r="L122" i="7" s="1"/>
  <c r="M122" i="7" s="1"/>
  <c r="I123" i="7"/>
  <c r="J123" i="7" s="1"/>
  <c r="K123" i="7" s="1"/>
  <c r="L123" i="7" s="1"/>
  <c r="M123" i="7" s="1"/>
  <c r="I124" i="7"/>
  <c r="J124" i="7" s="1"/>
  <c r="K124" i="7" s="1"/>
  <c r="L124" i="7" s="1"/>
  <c r="M124" i="7" s="1"/>
  <c r="I125" i="7"/>
  <c r="J125" i="7" s="1"/>
  <c r="K125" i="7" s="1"/>
  <c r="L125" i="7" s="1"/>
  <c r="M125" i="7" s="1"/>
  <c r="I126" i="7"/>
  <c r="J126" i="7" s="1"/>
  <c r="K126" i="7" s="1"/>
  <c r="L126" i="7" s="1"/>
  <c r="M126" i="7" s="1"/>
  <c r="I127" i="7"/>
  <c r="J127" i="7" s="1"/>
  <c r="K127" i="7" s="1"/>
  <c r="L127" i="7" s="1"/>
  <c r="M127" i="7" s="1"/>
  <c r="I128" i="7"/>
  <c r="J128" i="7" s="1"/>
  <c r="K128" i="7" s="1"/>
  <c r="L128" i="7" s="1"/>
  <c r="M128" i="7" s="1"/>
  <c r="I129" i="7"/>
  <c r="J129" i="7" s="1"/>
  <c r="K129" i="7" s="1"/>
  <c r="L129" i="7" s="1"/>
  <c r="M129" i="7" s="1"/>
  <c r="I130" i="7"/>
  <c r="I131" i="7"/>
  <c r="J131" i="7" s="1"/>
  <c r="K131" i="7" s="1"/>
  <c r="L131" i="7" s="1"/>
  <c r="M131" i="7" s="1"/>
  <c r="I132" i="7"/>
  <c r="J132" i="7" s="1"/>
  <c r="K132" i="7" s="1"/>
  <c r="L132" i="7" s="1"/>
  <c r="M132" i="7" s="1"/>
  <c r="I133" i="7"/>
  <c r="I134" i="7"/>
  <c r="I135" i="7"/>
  <c r="J135" i="7" s="1"/>
  <c r="K135" i="7" s="1"/>
  <c r="I136" i="7"/>
  <c r="J136" i="7" s="1"/>
  <c r="K136" i="7" s="1"/>
  <c r="L136" i="7" s="1"/>
  <c r="M136" i="7" s="1"/>
  <c r="I137" i="7"/>
  <c r="J137" i="7" s="1"/>
  <c r="K137" i="7" s="1"/>
  <c r="L137" i="7" s="1"/>
  <c r="M137" i="7" s="1"/>
  <c r="I138" i="7"/>
  <c r="J138" i="7" s="1"/>
  <c r="K138" i="7" s="1"/>
  <c r="L138" i="7" s="1"/>
  <c r="M138" i="7" s="1"/>
  <c r="I139" i="7"/>
  <c r="J139" i="7" s="1"/>
  <c r="K139" i="7" s="1"/>
  <c r="L139" i="7" s="1"/>
  <c r="M139" i="7" s="1"/>
  <c r="I140" i="7"/>
  <c r="J140" i="7" s="1"/>
  <c r="K140" i="7" s="1"/>
  <c r="L140" i="7" s="1"/>
  <c r="M140" i="7" s="1"/>
  <c r="I141" i="7"/>
  <c r="J141" i="7" s="1"/>
  <c r="K141" i="7" s="1"/>
  <c r="L141" i="7" s="1"/>
  <c r="M141" i="7" s="1"/>
  <c r="I142" i="7"/>
  <c r="J142" i="7" s="1"/>
  <c r="K142" i="7" s="1"/>
  <c r="L142" i="7" s="1"/>
  <c r="M142" i="7" s="1"/>
  <c r="I143" i="7"/>
  <c r="J143" i="7" s="1"/>
  <c r="K143" i="7" s="1"/>
  <c r="L143" i="7" s="1"/>
  <c r="M143" i="7" s="1"/>
  <c r="I144" i="7"/>
  <c r="J144" i="7" s="1"/>
  <c r="K144" i="7" s="1"/>
  <c r="L144" i="7" s="1"/>
  <c r="M144" i="7" s="1"/>
  <c r="I145" i="7"/>
  <c r="J145" i="7" s="1"/>
  <c r="K145" i="7" s="1"/>
  <c r="L145" i="7" s="1"/>
  <c r="M145" i="7" s="1"/>
  <c r="I146" i="7"/>
  <c r="J146" i="7" s="1"/>
  <c r="K146" i="7" s="1"/>
  <c r="L146" i="7" s="1"/>
  <c r="M146" i="7" s="1"/>
  <c r="I147" i="7"/>
  <c r="J147" i="7" s="1"/>
  <c r="K147" i="7" s="1"/>
  <c r="L147" i="7" s="1"/>
  <c r="M147" i="7" s="1"/>
  <c r="I148" i="7"/>
  <c r="J148" i="7" s="1"/>
  <c r="K148" i="7" s="1"/>
  <c r="L148" i="7" s="1"/>
  <c r="M148" i="7" s="1"/>
  <c r="I149" i="7"/>
  <c r="J149" i="7" s="1"/>
  <c r="K149" i="7" s="1"/>
  <c r="L149" i="7" s="1"/>
  <c r="M149" i="7" s="1"/>
  <c r="I150" i="7"/>
  <c r="J150" i="7" s="1"/>
  <c r="K150" i="7" s="1"/>
  <c r="L150" i="7" s="1"/>
  <c r="M150" i="7" s="1"/>
  <c r="I151" i="7"/>
  <c r="J151" i="7" s="1"/>
  <c r="K151" i="7" s="1"/>
  <c r="L151" i="7" s="1"/>
  <c r="M151" i="7" s="1"/>
  <c r="I152" i="7"/>
  <c r="J152" i="7" s="1"/>
  <c r="K152" i="7" s="1"/>
  <c r="L152" i="7" s="1"/>
  <c r="M152" i="7" s="1"/>
  <c r="I153" i="7"/>
  <c r="J153" i="7" s="1"/>
  <c r="K153" i="7" s="1"/>
  <c r="L153" i="7" s="1"/>
  <c r="M153" i="7" s="1"/>
  <c r="I154" i="7"/>
  <c r="J154" i="7" s="1"/>
  <c r="K154" i="7" s="1"/>
  <c r="L154" i="7" s="1"/>
  <c r="M154" i="7" s="1"/>
  <c r="I155" i="7"/>
  <c r="J155" i="7" s="1"/>
  <c r="K155" i="7" s="1"/>
  <c r="L155" i="7" s="1"/>
  <c r="M155" i="7" s="1"/>
  <c r="I156" i="7"/>
  <c r="J156" i="7" s="1"/>
  <c r="K156" i="7" s="1"/>
  <c r="L156" i="7" s="1"/>
  <c r="M156" i="7" s="1"/>
  <c r="J89" i="19"/>
  <c r="K89" i="19" s="1"/>
  <c r="H77" i="7"/>
  <c r="E9" i="5"/>
  <c r="G99" i="5"/>
  <c r="AI32" i="5"/>
  <c r="G101" i="5"/>
  <c r="G168" i="5" s="1"/>
  <c r="G102" i="5"/>
  <c r="AI102" i="5" s="1"/>
  <c r="G103" i="5"/>
  <c r="G104" i="5"/>
  <c r="G105" i="5"/>
  <c r="G106" i="5"/>
  <c r="AI106" i="5" s="1"/>
  <c r="G107" i="5"/>
  <c r="G109" i="5"/>
  <c r="G110" i="5"/>
  <c r="G111" i="5"/>
  <c r="G112" i="5"/>
  <c r="AI45" i="5"/>
  <c r="G114" i="5"/>
  <c r="AI114" i="5" s="1"/>
  <c r="G115" i="5"/>
  <c r="G182" i="5" s="1"/>
  <c r="G249" i="5" s="1"/>
  <c r="G316" i="5" s="1"/>
  <c r="G383" i="5" s="1"/>
  <c r="AI48" i="5"/>
  <c r="G117" i="5"/>
  <c r="G118" i="5"/>
  <c r="G119" i="5"/>
  <c r="G120" i="5"/>
  <c r="G122" i="5"/>
  <c r="G123" i="5"/>
  <c r="AI56" i="5"/>
  <c r="G125" i="5"/>
  <c r="AI125" i="5" s="1"/>
  <c r="G126" i="5"/>
  <c r="G127" i="5"/>
  <c r="G129" i="5"/>
  <c r="G196" i="5" s="1"/>
  <c r="AI196" i="5" s="1"/>
  <c r="G130" i="5"/>
  <c r="G131" i="5"/>
  <c r="G133" i="5"/>
  <c r="AI133" i="5" s="1"/>
  <c r="G134" i="5"/>
  <c r="G135" i="5"/>
  <c r="G202" i="5" s="1"/>
  <c r="AI202" i="5" s="1"/>
  <c r="G136" i="5"/>
  <c r="G138" i="5"/>
  <c r="E77" i="5"/>
  <c r="E144" i="5"/>
  <c r="L14" i="9"/>
  <c r="N14" i="9" s="1"/>
  <c r="AG16" i="5"/>
  <c r="F85" i="5"/>
  <c r="AG85" i="5" s="1"/>
  <c r="AH85" i="5" s="1"/>
  <c r="AG18" i="5"/>
  <c r="AH18" i="5" s="1"/>
  <c r="AG19" i="5"/>
  <c r="AH19" i="5" s="1"/>
  <c r="AG20" i="5"/>
  <c r="AH20" i="5" s="1"/>
  <c r="AG22" i="5"/>
  <c r="AH22" i="5" s="1"/>
  <c r="F91" i="5"/>
  <c r="AG24" i="5"/>
  <c r="AH24" i="5" s="1"/>
  <c r="AG25" i="5"/>
  <c r="AH25" i="5" s="1"/>
  <c r="F95" i="5"/>
  <c r="AG95" i="5" s="1"/>
  <c r="AH95" i="5" s="1"/>
  <c r="F96" i="5"/>
  <c r="AG96" i="5" s="1"/>
  <c r="AH96" i="5" s="1"/>
  <c r="AG30" i="5"/>
  <c r="AH30" i="5" s="1"/>
  <c r="AG31" i="5"/>
  <c r="AH31" i="5" s="1"/>
  <c r="F100" i="5"/>
  <c r="AG100" i="5" s="1"/>
  <c r="AH100" i="5" s="1"/>
  <c r="AG33" i="5"/>
  <c r="AH33" i="5" s="1"/>
  <c r="AG34" i="5"/>
  <c r="AH34" i="5" s="1"/>
  <c r="AG35" i="5"/>
  <c r="AH35" i="5" s="1"/>
  <c r="F104" i="5"/>
  <c r="AG104" i="5" s="1"/>
  <c r="AH104" i="5" s="1"/>
  <c r="AG37" i="5"/>
  <c r="AH37" i="5" s="1"/>
  <c r="F107" i="5"/>
  <c r="AG107" i="5" s="1"/>
  <c r="AH107" i="5" s="1"/>
  <c r="AG40" i="5"/>
  <c r="AH40" i="5" s="1"/>
  <c r="AG42" i="5"/>
  <c r="AH42" i="5" s="1"/>
  <c r="AG43" i="5"/>
  <c r="AH43" i="5" s="1"/>
  <c r="AG44" i="5"/>
  <c r="AH44" i="5" s="1"/>
  <c r="AG46" i="5"/>
  <c r="AH46" i="5" s="1"/>
  <c r="AG47" i="5"/>
  <c r="AH47" i="5" s="1"/>
  <c r="F116" i="5"/>
  <c r="AG116" i="5" s="1"/>
  <c r="AH116" i="5" s="1"/>
  <c r="F118" i="5"/>
  <c r="AG51" i="5"/>
  <c r="AH51" i="5" s="1"/>
  <c r="AG52" i="5"/>
  <c r="AH52" i="5" s="1"/>
  <c r="F121" i="5"/>
  <c r="AG121" i="5" s="1"/>
  <c r="AH121" i="5" s="1"/>
  <c r="AG54" i="5"/>
  <c r="AH54" i="5" s="1"/>
  <c r="F123" i="5"/>
  <c r="AG123" i="5" s="1"/>
  <c r="AH123" i="5" s="1"/>
  <c r="F125" i="5"/>
  <c r="AG125" i="5" s="1"/>
  <c r="AH125" i="5" s="1"/>
  <c r="AG58" i="5"/>
  <c r="AH58" i="5" s="1"/>
  <c r="AG59" i="5"/>
  <c r="AH59" i="5" s="1"/>
  <c r="AG60" i="5"/>
  <c r="AH60" i="5" s="1"/>
  <c r="AG61" i="5"/>
  <c r="AH61" i="5" s="1"/>
  <c r="AG62" i="5"/>
  <c r="AH62" i="5" s="1"/>
  <c r="F131" i="5"/>
  <c r="AG131" i="5" s="1"/>
  <c r="AH131" i="5" s="1"/>
  <c r="F132" i="5"/>
  <c r="AG132" i="5" s="1"/>
  <c r="AH132" i="5" s="1"/>
  <c r="AG66" i="5"/>
  <c r="AH66" i="5" s="1"/>
  <c r="AG67" i="5"/>
  <c r="AH67" i="5" s="1"/>
  <c r="AG68" i="5"/>
  <c r="AH68" i="5" s="1"/>
  <c r="AG69" i="5"/>
  <c r="AH69" i="5" s="1"/>
  <c r="AG70" i="5"/>
  <c r="AH70" i="5" s="1"/>
  <c r="AG16" i="6"/>
  <c r="AG17" i="6"/>
  <c r="AH17" i="6" s="1"/>
  <c r="AG18" i="6"/>
  <c r="AH18" i="6" s="1"/>
  <c r="AG19" i="6"/>
  <c r="AH19" i="6" s="1"/>
  <c r="AG20" i="6"/>
  <c r="AH20" i="6" s="1"/>
  <c r="F54" i="6"/>
  <c r="F86" i="6" s="1"/>
  <c r="AG86" i="6" s="1"/>
  <c r="AH86" i="6" s="1"/>
  <c r="F55" i="6"/>
  <c r="AG55" i="6" s="1"/>
  <c r="AH55" i="6" s="1"/>
  <c r="AG23" i="6"/>
  <c r="AH23" i="6" s="1"/>
  <c r="F57" i="6"/>
  <c r="F89" i="6" s="1"/>
  <c r="AG27" i="6"/>
  <c r="AH27" i="6" s="1"/>
  <c r="AG28" i="6"/>
  <c r="AH28" i="6" s="1"/>
  <c r="AG29" i="6"/>
  <c r="AH29" i="6" s="1"/>
  <c r="F64" i="6"/>
  <c r="AG32" i="6"/>
  <c r="AH32" i="6" s="1"/>
  <c r="F66" i="6"/>
  <c r="F67" i="6"/>
  <c r="AG35" i="6"/>
  <c r="AH35" i="6" s="1"/>
  <c r="AG19" i="4"/>
  <c r="AH19" i="4" s="1"/>
  <c r="AG20" i="4"/>
  <c r="AH20" i="4" s="1"/>
  <c r="AG23" i="4"/>
  <c r="AH23" i="4" s="1"/>
  <c r="AG25" i="4"/>
  <c r="AH25" i="4" s="1"/>
  <c r="M14" i="9"/>
  <c r="I99" i="3"/>
  <c r="J99" i="3" s="1"/>
  <c r="K99" i="3" s="1"/>
  <c r="L99" i="3" s="1"/>
  <c r="M99" i="3" s="1"/>
  <c r="C5" i="13"/>
  <c r="D49" i="6"/>
  <c r="D81" i="6" s="1"/>
  <c r="D113" i="6" s="1"/>
  <c r="D145" i="6" s="1"/>
  <c r="D177" i="6" s="1"/>
  <c r="D209" i="6" s="1"/>
  <c r="G49" i="6"/>
  <c r="G81" i="6" s="1"/>
  <c r="G113" i="6" s="1"/>
  <c r="G145" i="6" s="1"/>
  <c r="G177" i="6" s="1"/>
  <c r="G209" i="6" s="1"/>
  <c r="D50" i="6"/>
  <c r="D82" i="6" s="1"/>
  <c r="D114" i="6" s="1"/>
  <c r="D146" i="6" s="1"/>
  <c r="D178" i="6" s="1"/>
  <c r="D210" i="6" s="1"/>
  <c r="G50" i="6"/>
  <c r="G82" i="6" s="1"/>
  <c r="G114" i="6" s="1"/>
  <c r="G146" i="6" s="1"/>
  <c r="G178" i="6" s="1"/>
  <c r="G210" i="6" s="1"/>
  <c r="D51" i="6"/>
  <c r="D83" i="6" s="1"/>
  <c r="D115" i="6" s="1"/>
  <c r="D147" i="6" s="1"/>
  <c r="D179" i="6" s="1"/>
  <c r="D211" i="6" s="1"/>
  <c r="G51" i="6"/>
  <c r="G83" i="6" s="1"/>
  <c r="G115" i="6" s="1"/>
  <c r="G147" i="6" s="1"/>
  <c r="G179" i="6" s="1"/>
  <c r="G211" i="6" s="1"/>
  <c r="D52" i="6"/>
  <c r="D84" i="6" s="1"/>
  <c r="D116" i="6" s="1"/>
  <c r="D148" i="6" s="1"/>
  <c r="D180" i="6" s="1"/>
  <c r="D212" i="6" s="1"/>
  <c r="G52" i="6"/>
  <c r="G84" i="6" s="1"/>
  <c r="G116" i="6" s="1"/>
  <c r="G148" i="6" s="1"/>
  <c r="G180" i="6" s="1"/>
  <c r="G212" i="6" s="1"/>
  <c r="D53" i="6"/>
  <c r="D85" i="6" s="1"/>
  <c r="D117" i="6" s="1"/>
  <c r="D149" i="6" s="1"/>
  <c r="D181" i="6" s="1"/>
  <c r="D213" i="6" s="1"/>
  <c r="G53" i="6"/>
  <c r="G85" i="6" s="1"/>
  <c r="G117" i="6" s="1"/>
  <c r="G149" i="6" s="1"/>
  <c r="G181" i="6" s="1"/>
  <c r="G213" i="6" s="1"/>
  <c r="D54" i="6"/>
  <c r="D86" i="6" s="1"/>
  <c r="D118" i="6" s="1"/>
  <c r="D150" i="6" s="1"/>
  <c r="D182" i="6" s="1"/>
  <c r="D214" i="6" s="1"/>
  <c r="G54" i="6"/>
  <c r="G86" i="6" s="1"/>
  <c r="G118" i="6" s="1"/>
  <c r="G150" i="6" s="1"/>
  <c r="G182" i="6" s="1"/>
  <c r="G214" i="6" s="1"/>
  <c r="D55" i="6"/>
  <c r="D87" i="6" s="1"/>
  <c r="D119" i="6" s="1"/>
  <c r="D151" i="6" s="1"/>
  <c r="D183" i="6" s="1"/>
  <c r="D215" i="6" s="1"/>
  <c r="G55" i="6"/>
  <c r="G87" i="6" s="1"/>
  <c r="G119" i="6" s="1"/>
  <c r="G151" i="6" s="1"/>
  <c r="G183" i="6" s="1"/>
  <c r="G215" i="6" s="1"/>
  <c r="D56" i="6"/>
  <c r="D88" i="6" s="1"/>
  <c r="D120" i="6" s="1"/>
  <c r="D152" i="6" s="1"/>
  <c r="D184" i="6" s="1"/>
  <c r="D216" i="6" s="1"/>
  <c r="G56" i="6"/>
  <c r="G88" i="6" s="1"/>
  <c r="G120" i="6" s="1"/>
  <c r="G152" i="6" s="1"/>
  <c r="G184" i="6" s="1"/>
  <c r="G216" i="6" s="1"/>
  <c r="D57" i="6"/>
  <c r="D89" i="6" s="1"/>
  <c r="D121" i="6" s="1"/>
  <c r="D153" i="6" s="1"/>
  <c r="D185" i="6" s="1"/>
  <c r="D217" i="6" s="1"/>
  <c r="G57" i="6"/>
  <c r="G89" i="6" s="1"/>
  <c r="G121" i="6" s="1"/>
  <c r="G153" i="6" s="1"/>
  <c r="G185" i="6" s="1"/>
  <c r="G217" i="6" s="1"/>
  <c r="D58" i="6"/>
  <c r="D90" i="6" s="1"/>
  <c r="D122" i="6" s="1"/>
  <c r="D154" i="6" s="1"/>
  <c r="D186" i="6" s="1"/>
  <c r="D218" i="6" s="1"/>
  <c r="G58" i="6"/>
  <c r="G90" i="6" s="1"/>
  <c r="G122" i="6" s="1"/>
  <c r="G154" i="6" s="1"/>
  <c r="G186" i="6" s="1"/>
  <c r="G218" i="6" s="1"/>
  <c r="D59" i="6"/>
  <c r="D91" i="6" s="1"/>
  <c r="D123" i="6" s="1"/>
  <c r="D155" i="6" s="1"/>
  <c r="D187" i="6" s="1"/>
  <c r="D219" i="6" s="1"/>
  <c r="G59" i="6"/>
  <c r="G91" i="6" s="1"/>
  <c r="G123" i="6" s="1"/>
  <c r="G155" i="6" s="1"/>
  <c r="G187" i="6" s="1"/>
  <c r="G219" i="6" s="1"/>
  <c r="D60" i="6"/>
  <c r="D92" i="6" s="1"/>
  <c r="D124" i="6" s="1"/>
  <c r="D156" i="6" s="1"/>
  <c r="D188" i="6" s="1"/>
  <c r="D220" i="6" s="1"/>
  <c r="G60" i="6"/>
  <c r="G92" i="6" s="1"/>
  <c r="G124" i="6" s="1"/>
  <c r="G156" i="6" s="1"/>
  <c r="G188" i="6" s="1"/>
  <c r="G220" i="6" s="1"/>
  <c r="D61" i="6"/>
  <c r="D93" i="6" s="1"/>
  <c r="D125" i="6" s="1"/>
  <c r="D157" i="6" s="1"/>
  <c r="D189" i="6" s="1"/>
  <c r="D221" i="6" s="1"/>
  <c r="G61" i="6"/>
  <c r="G93" i="6" s="1"/>
  <c r="G125" i="6" s="1"/>
  <c r="G157" i="6" s="1"/>
  <c r="G189" i="6" s="1"/>
  <c r="G221" i="6" s="1"/>
  <c r="D62" i="6"/>
  <c r="D94" i="6" s="1"/>
  <c r="D126" i="6" s="1"/>
  <c r="D158" i="6" s="1"/>
  <c r="D190" i="6" s="1"/>
  <c r="D222" i="6" s="1"/>
  <c r="G62" i="6"/>
  <c r="G94" i="6" s="1"/>
  <c r="G126" i="6" s="1"/>
  <c r="G158" i="6" s="1"/>
  <c r="G190" i="6" s="1"/>
  <c r="G222" i="6" s="1"/>
  <c r="D63" i="6"/>
  <c r="D95" i="6" s="1"/>
  <c r="D127" i="6" s="1"/>
  <c r="D159" i="6" s="1"/>
  <c r="D191" i="6" s="1"/>
  <c r="D223" i="6" s="1"/>
  <c r="G63" i="6"/>
  <c r="G95" i="6" s="1"/>
  <c r="G127" i="6" s="1"/>
  <c r="G159" i="6" s="1"/>
  <c r="G191" i="6" s="1"/>
  <c r="G223" i="6" s="1"/>
  <c r="D64" i="6"/>
  <c r="D96" i="6" s="1"/>
  <c r="D128" i="6" s="1"/>
  <c r="D160" i="6" s="1"/>
  <c r="D192" i="6" s="1"/>
  <c r="D224" i="6" s="1"/>
  <c r="G64" i="6"/>
  <c r="G96" i="6" s="1"/>
  <c r="G128" i="6" s="1"/>
  <c r="G160" i="6" s="1"/>
  <c r="G192" i="6" s="1"/>
  <c r="G224" i="6" s="1"/>
  <c r="D65" i="6"/>
  <c r="D97" i="6" s="1"/>
  <c r="D129" i="6" s="1"/>
  <c r="D161" i="6" s="1"/>
  <c r="D193" i="6" s="1"/>
  <c r="D225" i="6" s="1"/>
  <c r="G65" i="6"/>
  <c r="G97" i="6" s="1"/>
  <c r="G129" i="6" s="1"/>
  <c r="G161" i="6" s="1"/>
  <c r="G193" i="6" s="1"/>
  <c r="G225" i="6" s="1"/>
  <c r="D66" i="6"/>
  <c r="D98" i="6" s="1"/>
  <c r="D130" i="6" s="1"/>
  <c r="D162" i="6" s="1"/>
  <c r="D194" i="6" s="1"/>
  <c r="D226" i="6" s="1"/>
  <c r="G66" i="6"/>
  <c r="G98" i="6" s="1"/>
  <c r="G130" i="6" s="1"/>
  <c r="G162" i="6" s="1"/>
  <c r="G194" i="6" s="1"/>
  <c r="G226" i="6" s="1"/>
  <c r="D67" i="6"/>
  <c r="D99" i="6" s="1"/>
  <c r="D131" i="6" s="1"/>
  <c r="D163" i="6" s="1"/>
  <c r="D195" i="6" s="1"/>
  <c r="D227" i="6" s="1"/>
  <c r="G67" i="6"/>
  <c r="G99" i="6" s="1"/>
  <c r="G131" i="6" s="1"/>
  <c r="G163" i="6" s="1"/>
  <c r="G195" i="6" s="1"/>
  <c r="G227" i="6" s="1"/>
  <c r="D68" i="6"/>
  <c r="D100" i="6" s="1"/>
  <c r="D132" i="6" s="1"/>
  <c r="D164" i="6" s="1"/>
  <c r="D196" i="6" s="1"/>
  <c r="D228" i="6" s="1"/>
  <c r="G68" i="6"/>
  <c r="G100" i="6" s="1"/>
  <c r="G132" i="6" s="1"/>
  <c r="G164" i="6" s="1"/>
  <c r="G196" i="6" s="1"/>
  <c r="G228" i="6" s="1"/>
  <c r="C5" i="6"/>
  <c r="C5" i="5"/>
  <c r="C5" i="4"/>
  <c r="H14" i="12"/>
  <c r="I14" i="12" s="1"/>
  <c r="C5" i="16"/>
  <c r="C5" i="14"/>
  <c r="C5" i="15"/>
  <c r="H54" i="12"/>
  <c r="I54" i="12" s="1"/>
  <c r="J54" i="12" s="1"/>
  <c r="K54" i="12" s="1"/>
  <c r="L54" i="12" s="1"/>
  <c r="H53" i="12"/>
  <c r="I53" i="12" s="1"/>
  <c r="J53" i="12" s="1"/>
  <c r="K53" i="12" s="1"/>
  <c r="L53" i="12" s="1"/>
  <c r="H52" i="12"/>
  <c r="I52" i="12" s="1"/>
  <c r="J52" i="12" s="1"/>
  <c r="K52" i="12" s="1"/>
  <c r="L52" i="12" s="1"/>
  <c r="H51" i="12"/>
  <c r="I51" i="12" s="1"/>
  <c r="J51" i="12" s="1"/>
  <c r="K51" i="12" s="1"/>
  <c r="L51" i="12" s="1"/>
  <c r="H50" i="12"/>
  <c r="I50" i="12" s="1"/>
  <c r="J50" i="12" s="1"/>
  <c r="K50" i="12" s="1"/>
  <c r="L50" i="12" s="1"/>
  <c r="H49" i="12"/>
  <c r="I49" i="12" s="1"/>
  <c r="H48" i="12"/>
  <c r="H45" i="12"/>
  <c r="I45" i="12" s="1"/>
  <c r="J45" i="12" s="1"/>
  <c r="K45" i="12" s="1"/>
  <c r="L45" i="12" s="1"/>
  <c r="H44" i="12"/>
  <c r="H41" i="12"/>
  <c r="I41" i="12" s="1"/>
  <c r="H35" i="12"/>
  <c r="I35" i="12" s="1"/>
  <c r="J35" i="12" s="1"/>
  <c r="K35" i="12" s="1"/>
  <c r="L35" i="12" s="1"/>
  <c r="H34" i="12"/>
  <c r="I34" i="12" s="1"/>
  <c r="J34" i="12" s="1"/>
  <c r="K34" i="12" s="1"/>
  <c r="L34" i="12" s="1"/>
  <c r="H33" i="12"/>
  <c r="I33" i="12" s="1"/>
  <c r="J33" i="12" s="1"/>
  <c r="K33" i="12" s="1"/>
  <c r="L33" i="12" s="1"/>
  <c r="C5" i="12"/>
  <c r="C5" i="11"/>
  <c r="C5" i="10"/>
  <c r="C5" i="9"/>
  <c r="C5" i="8"/>
  <c r="C5" i="7"/>
  <c r="C5" i="3"/>
  <c r="I105" i="7"/>
  <c r="J105" i="7"/>
  <c r="K105" i="7"/>
  <c r="L105" i="7"/>
  <c r="I123" i="3"/>
  <c r="J123" i="3" s="1"/>
  <c r="K123" i="3" s="1"/>
  <c r="L123" i="3" s="1"/>
  <c r="M123" i="3" s="1"/>
  <c r="I124" i="3"/>
  <c r="J124" i="3" s="1"/>
  <c r="K124" i="3" s="1"/>
  <c r="L124" i="3" s="1"/>
  <c r="M124" i="3" s="1"/>
  <c r="I125" i="3"/>
  <c r="J125" i="3" s="1"/>
  <c r="K125" i="3" s="1"/>
  <c r="L125" i="3" s="1"/>
  <c r="M125" i="3" s="1"/>
  <c r="I126" i="3"/>
  <c r="J126" i="3" s="1"/>
  <c r="K126" i="3" s="1"/>
  <c r="L126" i="3" s="1"/>
  <c r="M126" i="3" s="1"/>
  <c r="I127" i="3"/>
  <c r="J127" i="3" s="1"/>
  <c r="K127" i="3" s="1"/>
  <c r="L127" i="3" s="1"/>
  <c r="M127" i="3" s="1"/>
  <c r="I128" i="3"/>
  <c r="J128" i="3" s="1"/>
  <c r="K128" i="3" s="1"/>
  <c r="L128" i="3" s="1"/>
  <c r="M128" i="3" s="1"/>
  <c r="I129" i="3"/>
  <c r="J129" i="3" s="1"/>
  <c r="K129" i="3" s="1"/>
  <c r="L129" i="3" s="1"/>
  <c r="M129" i="3" s="1"/>
  <c r="I130" i="3"/>
  <c r="J130" i="3" s="1"/>
  <c r="K130" i="3" s="1"/>
  <c r="L130" i="3" s="1"/>
  <c r="M130" i="3" s="1"/>
  <c r="I131" i="3"/>
  <c r="J131" i="3" s="1"/>
  <c r="K131" i="3" s="1"/>
  <c r="L131" i="3" s="1"/>
  <c r="M131" i="3" s="1"/>
  <c r="I132" i="3"/>
  <c r="J132" i="3" s="1"/>
  <c r="K132" i="3" s="1"/>
  <c r="L132" i="3" s="1"/>
  <c r="M132" i="3" s="1"/>
  <c r="I133" i="3"/>
  <c r="J133" i="3" s="1"/>
  <c r="K133" i="3" s="1"/>
  <c r="L133" i="3" s="1"/>
  <c r="M133" i="3" s="1"/>
  <c r="L15" i="9"/>
  <c r="N15" i="9" s="1"/>
  <c r="H48" i="10"/>
  <c r="J130" i="7"/>
  <c r="K130" i="7" s="1"/>
  <c r="L130" i="7" s="1"/>
  <c r="M130" i="7" s="1"/>
  <c r="J133" i="7"/>
  <c r="K133" i="7" s="1"/>
  <c r="L133" i="7" s="1"/>
  <c r="M133" i="7" s="1"/>
  <c r="J134" i="7"/>
  <c r="K134" i="7" s="1"/>
  <c r="L134" i="7" s="1"/>
  <c r="M134" i="7" s="1"/>
  <c r="H36" i="11"/>
  <c r="I48" i="10"/>
  <c r="J48" i="10"/>
  <c r="G48" i="10"/>
  <c r="L90" i="19"/>
  <c r="L91" i="19" s="1"/>
  <c r="L92" i="19" s="1"/>
  <c r="J45" i="7"/>
  <c r="I66" i="3"/>
  <c r="J66" i="3"/>
  <c r="I77" i="3"/>
  <c r="I78" i="3"/>
  <c r="J78" i="3" s="1"/>
  <c r="I79" i="3"/>
  <c r="J79" i="3" s="1"/>
  <c r="K79" i="3" s="1"/>
  <c r="L79" i="3" s="1"/>
  <c r="M79" i="3" s="1"/>
  <c r="I80" i="3"/>
  <c r="J80" i="3" s="1"/>
  <c r="K80" i="3" s="1"/>
  <c r="L80" i="3" s="1"/>
  <c r="M80" i="3" s="1"/>
  <c r="I81" i="3"/>
  <c r="J81" i="3" s="1"/>
  <c r="K81" i="3" s="1"/>
  <c r="L81" i="3" s="1"/>
  <c r="M81" i="3" s="1"/>
  <c r="I94" i="3"/>
  <c r="I95" i="3"/>
  <c r="I156" i="3" s="1"/>
  <c r="I96" i="3"/>
  <c r="J96" i="3" s="1"/>
  <c r="K96" i="3" s="1"/>
  <c r="L96" i="3" s="1"/>
  <c r="I97" i="3"/>
  <c r="I101" i="3"/>
  <c r="J101" i="3" s="1"/>
  <c r="K101" i="3" s="1"/>
  <c r="L101" i="3" s="1"/>
  <c r="M101" i="3" s="1"/>
  <c r="H35" i="11"/>
  <c r="K45" i="7"/>
  <c r="K66" i="3"/>
  <c r="L45" i="7"/>
  <c r="L66" i="3"/>
  <c r="I45" i="7"/>
  <c r="H103" i="3"/>
  <c r="H105" i="7"/>
  <c r="H116" i="7" s="1"/>
  <c r="F25" i="11" s="1"/>
  <c r="G50" i="2"/>
  <c r="H17" i="7" s="1"/>
  <c r="G38" i="11"/>
  <c r="H19" i="12"/>
  <c r="H20" i="12"/>
  <c r="G23" i="13" s="1"/>
  <c r="H21" i="12"/>
  <c r="G24" i="13" s="1"/>
  <c r="G55" i="12"/>
  <c r="F25" i="13" s="1"/>
  <c r="F26" i="13" s="1"/>
  <c r="H16" i="12"/>
  <c r="I16" i="12" s="1"/>
  <c r="J16" i="12" s="1"/>
  <c r="K16" i="12" s="1"/>
  <c r="L16" i="12" s="1"/>
  <c r="G46" i="12"/>
  <c r="F44" i="13" s="1"/>
  <c r="F48" i="10"/>
  <c r="K88" i="19"/>
  <c r="K87" i="19"/>
  <c r="K85" i="19"/>
  <c r="F18" i="10"/>
  <c r="F15" i="12" s="1"/>
  <c r="F17" i="12" s="1"/>
  <c r="F25" i="12" s="1"/>
  <c r="G51" i="4"/>
  <c r="G74" i="4" s="1"/>
  <c r="G96" i="4" s="1"/>
  <c r="G118" i="4" s="1"/>
  <c r="G140" i="4" s="1"/>
  <c r="G162" i="4" s="1"/>
  <c r="D51" i="4"/>
  <c r="D74" i="4" s="1"/>
  <c r="D96" i="4" s="1"/>
  <c r="D118" i="4" s="1"/>
  <c r="D140" i="4" s="1"/>
  <c r="D162" i="4" s="1"/>
  <c r="G50" i="4"/>
  <c r="G73" i="4" s="1"/>
  <c r="G95" i="4" s="1"/>
  <c r="G117" i="4" s="1"/>
  <c r="G139" i="4" s="1"/>
  <c r="G161" i="4" s="1"/>
  <c r="D50" i="4"/>
  <c r="D73" i="4" s="1"/>
  <c r="D95" i="4" s="1"/>
  <c r="D117" i="4" s="1"/>
  <c r="D139" i="4" s="1"/>
  <c r="D161" i="4" s="1"/>
  <c r="G49" i="4"/>
  <c r="G72" i="4" s="1"/>
  <c r="G94" i="4" s="1"/>
  <c r="G116" i="4" s="1"/>
  <c r="G138" i="4" s="1"/>
  <c r="G160" i="4" s="1"/>
  <c r="D49" i="4"/>
  <c r="D72" i="4" s="1"/>
  <c r="D94" i="4" s="1"/>
  <c r="D116" i="4" s="1"/>
  <c r="D138" i="4" s="1"/>
  <c r="D160" i="4" s="1"/>
  <c r="G48" i="4"/>
  <c r="G71" i="4" s="1"/>
  <c r="G93" i="4" s="1"/>
  <c r="G115" i="4" s="1"/>
  <c r="G137" i="4" s="1"/>
  <c r="G159" i="4" s="1"/>
  <c r="D48" i="4"/>
  <c r="D71" i="4" s="1"/>
  <c r="D93" i="4" s="1"/>
  <c r="D115" i="4" s="1"/>
  <c r="D137" i="4" s="1"/>
  <c r="D159" i="4" s="1"/>
  <c r="G47" i="4"/>
  <c r="G70" i="4" s="1"/>
  <c r="G92" i="4" s="1"/>
  <c r="G114" i="4" s="1"/>
  <c r="G136" i="4" s="1"/>
  <c r="G158" i="4" s="1"/>
  <c r="D47" i="4"/>
  <c r="D70" i="4" s="1"/>
  <c r="D92" i="4" s="1"/>
  <c r="D114" i="4" s="1"/>
  <c r="D136" i="4" s="1"/>
  <c r="D158" i="4" s="1"/>
  <c r="G46" i="4"/>
  <c r="G69" i="4" s="1"/>
  <c r="G91" i="4" s="1"/>
  <c r="G113" i="4" s="1"/>
  <c r="G135" i="4" s="1"/>
  <c r="G157" i="4" s="1"/>
  <c r="D46" i="4"/>
  <c r="D69" i="4" s="1"/>
  <c r="D91" i="4" s="1"/>
  <c r="D113" i="4" s="1"/>
  <c r="D135" i="4" s="1"/>
  <c r="D157" i="4" s="1"/>
  <c r="G45" i="4"/>
  <c r="G68" i="4" s="1"/>
  <c r="G90" i="4" s="1"/>
  <c r="G112" i="4" s="1"/>
  <c r="G134" i="4" s="1"/>
  <c r="G156" i="4" s="1"/>
  <c r="D45" i="4"/>
  <c r="D68" i="4" s="1"/>
  <c r="D90" i="4" s="1"/>
  <c r="D112" i="4" s="1"/>
  <c r="D134" i="4" s="1"/>
  <c r="D156" i="4" s="1"/>
  <c r="G44" i="4"/>
  <c r="G67" i="4" s="1"/>
  <c r="G89" i="4" s="1"/>
  <c r="G111" i="4" s="1"/>
  <c r="G133" i="4" s="1"/>
  <c r="G155" i="4" s="1"/>
  <c r="D44" i="4"/>
  <c r="D67" i="4" s="1"/>
  <c r="D89" i="4" s="1"/>
  <c r="D111" i="4" s="1"/>
  <c r="D133" i="4" s="1"/>
  <c r="D155" i="4" s="1"/>
  <c r="G43" i="4"/>
  <c r="G66" i="4" s="1"/>
  <c r="G88" i="4" s="1"/>
  <c r="G110" i="4" s="1"/>
  <c r="G132" i="4" s="1"/>
  <c r="G154" i="4" s="1"/>
  <c r="D43" i="4"/>
  <c r="D66" i="4" s="1"/>
  <c r="D88" i="4" s="1"/>
  <c r="D110" i="4" s="1"/>
  <c r="D132" i="4" s="1"/>
  <c r="D154" i="4" s="1"/>
  <c r="G42" i="4"/>
  <c r="G65" i="4" s="1"/>
  <c r="G87" i="4" s="1"/>
  <c r="G109" i="4" s="1"/>
  <c r="G131" i="4" s="1"/>
  <c r="G153" i="4" s="1"/>
  <c r="D42" i="4"/>
  <c r="D65" i="4" s="1"/>
  <c r="D87" i="4" s="1"/>
  <c r="D109" i="4" s="1"/>
  <c r="D131" i="4" s="1"/>
  <c r="D153" i="4" s="1"/>
  <c r="E105" i="6"/>
  <c r="E41" i="6"/>
  <c r="E8" i="6"/>
  <c r="L87" i="9"/>
  <c r="O87" i="9" s="1"/>
  <c r="N87" i="9"/>
  <c r="M87" i="9"/>
  <c r="L16" i="9"/>
  <c r="O16" i="9" s="1"/>
  <c r="L17" i="9"/>
  <c r="O17" i="9" s="1"/>
  <c r="L18" i="9"/>
  <c r="O18" i="9" s="1"/>
  <c r="L19" i="9"/>
  <c r="O19" i="9" s="1"/>
  <c r="L20" i="9"/>
  <c r="O20" i="9" s="1"/>
  <c r="L21" i="9"/>
  <c r="O21" i="9" s="1"/>
  <c r="N21" i="9"/>
  <c r="L22" i="9"/>
  <c r="O22" i="9" s="1"/>
  <c r="N22" i="9"/>
  <c r="L23" i="9"/>
  <c r="O23" i="9" s="1"/>
  <c r="N23" i="9"/>
  <c r="L24" i="9"/>
  <c r="O24" i="9" s="1"/>
  <c r="N24" i="9"/>
  <c r="L25" i="9"/>
  <c r="O25" i="9" s="1"/>
  <c r="N25" i="9"/>
  <c r="L26" i="9"/>
  <c r="O26" i="9" s="1"/>
  <c r="N26" i="9"/>
  <c r="L27" i="9"/>
  <c r="O27" i="9" s="1"/>
  <c r="N27" i="9"/>
  <c r="L28" i="9"/>
  <c r="O28" i="9" s="1"/>
  <c r="N28" i="9"/>
  <c r="L29" i="9"/>
  <c r="O29" i="9" s="1"/>
  <c r="N29" i="9"/>
  <c r="L30" i="9"/>
  <c r="O30" i="9" s="1"/>
  <c r="N30" i="9"/>
  <c r="L31" i="9"/>
  <c r="O31" i="9" s="1"/>
  <c r="N31" i="9"/>
  <c r="L32" i="9"/>
  <c r="O32" i="9" s="1"/>
  <c r="N32" i="9"/>
  <c r="L33" i="9"/>
  <c r="O33" i="9" s="1"/>
  <c r="N33" i="9"/>
  <c r="L34" i="9"/>
  <c r="O34" i="9" s="1"/>
  <c r="N34" i="9"/>
  <c r="L35" i="9"/>
  <c r="O35" i="9" s="1"/>
  <c r="N35" i="9"/>
  <c r="L36" i="9"/>
  <c r="O36" i="9" s="1"/>
  <c r="N36" i="9"/>
  <c r="L37" i="9"/>
  <c r="O37" i="9" s="1"/>
  <c r="N37" i="9"/>
  <c r="L38" i="9"/>
  <c r="O38" i="9" s="1"/>
  <c r="N38" i="9"/>
  <c r="L39" i="9"/>
  <c r="O39" i="9" s="1"/>
  <c r="N39" i="9"/>
  <c r="L40" i="9"/>
  <c r="O40" i="9" s="1"/>
  <c r="N40" i="9"/>
  <c r="L41" i="9"/>
  <c r="O41" i="9" s="1"/>
  <c r="N41" i="9"/>
  <c r="L42" i="9"/>
  <c r="O42" i="9" s="1"/>
  <c r="N42" i="9"/>
  <c r="L43" i="9"/>
  <c r="O43" i="9" s="1"/>
  <c r="N43" i="9"/>
  <c r="L44" i="9"/>
  <c r="O44" i="9" s="1"/>
  <c r="N44" i="9"/>
  <c r="L45" i="9"/>
  <c r="O45" i="9" s="1"/>
  <c r="N45" i="9"/>
  <c r="L46" i="9"/>
  <c r="O46" i="9" s="1"/>
  <c r="N46" i="9"/>
  <c r="L47" i="9"/>
  <c r="O47" i="9" s="1"/>
  <c r="N47" i="9"/>
  <c r="L48" i="9"/>
  <c r="O48" i="9" s="1"/>
  <c r="N48" i="9"/>
  <c r="L49" i="9"/>
  <c r="O49" i="9" s="1"/>
  <c r="N49" i="9"/>
  <c r="L50" i="9"/>
  <c r="O50" i="9" s="1"/>
  <c r="N50" i="9"/>
  <c r="L51" i="9"/>
  <c r="O51" i="9" s="1"/>
  <c r="N51" i="9"/>
  <c r="L52" i="9"/>
  <c r="O52" i="9" s="1"/>
  <c r="N52" i="9"/>
  <c r="L53" i="9"/>
  <c r="O53" i="9" s="1"/>
  <c r="N53" i="9"/>
  <c r="L54" i="9"/>
  <c r="O54" i="9" s="1"/>
  <c r="N54" i="9"/>
  <c r="L55" i="9"/>
  <c r="O55" i="9" s="1"/>
  <c r="N55" i="9"/>
  <c r="L56" i="9"/>
  <c r="O56" i="9" s="1"/>
  <c r="N56" i="9"/>
  <c r="L57" i="9"/>
  <c r="O57" i="9" s="1"/>
  <c r="N57" i="9"/>
  <c r="L58" i="9"/>
  <c r="O58" i="9" s="1"/>
  <c r="N58" i="9"/>
  <c r="L59" i="9"/>
  <c r="O59" i="9" s="1"/>
  <c r="N59" i="9"/>
  <c r="L60" i="9"/>
  <c r="O60" i="9" s="1"/>
  <c r="N60" i="9"/>
  <c r="L61" i="9"/>
  <c r="O61" i="9" s="1"/>
  <c r="N61" i="9"/>
  <c r="L62" i="9"/>
  <c r="O62" i="9" s="1"/>
  <c r="N62" i="9"/>
  <c r="L63" i="9"/>
  <c r="O63" i="9" s="1"/>
  <c r="N63" i="9"/>
  <c r="L64" i="9"/>
  <c r="O64" i="9" s="1"/>
  <c r="N64" i="9"/>
  <c r="L65" i="9"/>
  <c r="O65" i="9" s="1"/>
  <c r="N65" i="9"/>
  <c r="L66" i="9"/>
  <c r="O66" i="9" s="1"/>
  <c r="N66" i="9"/>
  <c r="L67" i="9"/>
  <c r="O67" i="9" s="1"/>
  <c r="N67" i="9"/>
  <c r="L68" i="9"/>
  <c r="O68" i="9" s="1"/>
  <c r="N68" i="9"/>
  <c r="L69" i="9"/>
  <c r="O69" i="9" s="1"/>
  <c r="N69" i="9"/>
  <c r="L70" i="9"/>
  <c r="O70" i="9" s="1"/>
  <c r="N70" i="9"/>
  <c r="L71" i="9"/>
  <c r="O71" i="9" s="1"/>
  <c r="N71" i="9"/>
  <c r="L72" i="9"/>
  <c r="O72" i="9" s="1"/>
  <c r="N72" i="9"/>
  <c r="L73" i="9"/>
  <c r="O73" i="9" s="1"/>
  <c r="N73" i="9"/>
  <c r="L74" i="9"/>
  <c r="O74" i="9" s="1"/>
  <c r="N74" i="9"/>
  <c r="L75" i="9"/>
  <c r="O75" i="9" s="1"/>
  <c r="N75" i="9"/>
  <c r="L76" i="9"/>
  <c r="O76" i="9" s="1"/>
  <c r="N76" i="9"/>
  <c r="L77" i="9"/>
  <c r="O77" i="9" s="1"/>
  <c r="N77" i="9"/>
  <c r="L78" i="9"/>
  <c r="O78" i="9" s="1"/>
  <c r="N78" i="9"/>
  <c r="L79" i="9"/>
  <c r="O79" i="9" s="1"/>
  <c r="N79" i="9"/>
  <c r="L80" i="9"/>
  <c r="O80" i="9" s="1"/>
  <c r="N80" i="9"/>
  <c r="L81" i="9"/>
  <c r="O81" i="9" s="1"/>
  <c r="N81" i="9"/>
  <c r="L82" i="9"/>
  <c r="O82" i="9" s="1"/>
  <c r="N82" i="9"/>
  <c r="L83" i="9"/>
  <c r="O83" i="9" s="1"/>
  <c r="N83" i="9"/>
  <c r="L84" i="9"/>
  <c r="O84" i="9"/>
  <c r="N84" i="9"/>
  <c r="L85" i="9"/>
  <c r="O85" i="9" s="1"/>
  <c r="N85" i="9"/>
  <c r="L86" i="9"/>
  <c r="O86" i="9" s="1"/>
  <c r="N86" i="9"/>
  <c r="L88" i="9"/>
  <c r="O88" i="9" s="1"/>
  <c r="N88" i="9"/>
  <c r="L89" i="9"/>
  <c r="O89" i="9" s="1"/>
  <c r="N89" i="9"/>
  <c r="L90" i="9"/>
  <c r="O90" i="9" s="1"/>
  <c r="N90" i="9"/>
  <c r="L91" i="9"/>
  <c r="O91" i="9" s="1"/>
  <c r="N91" i="9"/>
  <c r="L92" i="9"/>
  <c r="O92" i="9" s="1"/>
  <c r="N92" i="9"/>
  <c r="L93" i="9"/>
  <c r="O93" i="9" s="1"/>
  <c r="N93" i="9"/>
  <c r="L94" i="9"/>
  <c r="O94" i="9" s="1"/>
  <c r="N94" i="9"/>
  <c r="L95" i="9"/>
  <c r="O95" i="9" s="1"/>
  <c r="N95" i="9"/>
  <c r="L96" i="9"/>
  <c r="O96" i="9" s="1"/>
  <c r="N96" i="9"/>
  <c r="L97" i="9"/>
  <c r="O97" i="9" s="1"/>
  <c r="N97" i="9"/>
  <c r="L98" i="9"/>
  <c r="O98" i="9" s="1"/>
  <c r="N98" i="9"/>
  <c r="L99" i="9"/>
  <c r="O99" i="9" s="1"/>
  <c r="N99" i="9"/>
  <c r="L100" i="9"/>
  <c r="O100" i="9" s="1"/>
  <c r="N100" i="9"/>
  <c r="L101" i="9"/>
  <c r="O101" i="9" s="1"/>
  <c r="N101" i="9"/>
  <c r="L102" i="9"/>
  <c r="O102" i="9" s="1"/>
  <c r="N102" i="9"/>
  <c r="L103" i="9"/>
  <c r="O103" i="9" s="1"/>
  <c r="N103" i="9"/>
  <c r="L104" i="9"/>
  <c r="O104" i="9" s="1"/>
  <c r="N104" i="9"/>
  <c r="L105" i="9"/>
  <c r="O105" i="9" s="1"/>
  <c r="N105" i="9"/>
  <c r="L106" i="9"/>
  <c r="O106" i="9" s="1"/>
  <c r="N106" i="9"/>
  <c r="L107" i="9"/>
  <c r="O107" i="9" s="1"/>
  <c r="N107" i="9"/>
  <c r="L108" i="9"/>
  <c r="O108" i="9" s="1"/>
  <c r="N108" i="9"/>
  <c r="L109" i="9"/>
  <c r="O109" i="9" s="1"/>
  <c r="N109" i="9"/>
  <c r="L110" i="9"/>
  <c r="O110" i="9" s="1"/>
  <c r="N110" i="9"/>
  <c r="L111" i="9"/>
  <c r="O111" i="9" s="1"/>
  <c r="N111" i="9"/>
  <c r="L112" i="9"/>
  <c r="O112" i="9" s="1"/>
  <c r="N112" i="9"/>
  <c r="L113" i="9"/>
  <c r="O113" i="9" s="1"/>
  <c r="N113" i="9"/>
  <c r="L114" i="9"/>
  <c r="O114" i="9" s="1"/>
  <c r="N114" i="9"/>
  <c r="L115" i="9"/>
  <c r="O115" i="9" s="1"/>
  <c r="N115" i="9"/>
  <c r="L116" i="9"/>
  <c r="O116" i="9" s="1"/>
  <c r="N116" i="9"/>
  <c r="L117" i="9"/>
  <c r="O117" i="9" s="1"/>
  <c r="N117" i="9"/>
  <c r="L118" i="9"/>
  <c r="O118" i="9" s="1"/>
  <c r="N118" i="9"/>
  <c r="L119" i="9"/>
  <c r="O119" i="9" s="1"/>
  <c r="N119" i="9"/>
  <c r="L120" i="9"/>
  <c r="O120" i="9" s="1"/>
  <c r="N120" i="9"/>
  <c r="L121" i="9"/>
  <c r="O121" i="9" s="1"/>
  <c r="N121" i="9"/>
  <c r="L122" i="9"/>
  <c r="O122" i="9" s="1"/>
  <c r="N122" i="9"/>
  <c r="L123" i="9"/>
  <c r="O123" i="9" s="1"/>
  <c r="N123" i="9"/>
  <c r="L124" i="9"/>
  <c r="O124" i="9" s="1"/>
  <c r="N124" i="9"/>
  <c r="L125" i="9"/>
  <c r="O125" i="9" s="1"/>
  <c r="N125" i="9"/>
  <c r="L126" i="9"/>
  <c r="O126" i="9" s="1"/>
  <c r="N126" i="9"/>
  <c r="L199" i="9"/>
  <c r="O199" i="9" s="1"/>
  <c r="N199" i="9"/>
  <c r="L200" i="9"/>
  <c r="O200" i="9" s="1"/>
  <c r="N200" i="9"/>
  <c r="L201" i="9"/>
  <c r="O201" i="9" s="1"/>
  <c r="N201" i="9"/>
  <c r="L202" i="9"/>
  <c r="O202" i="9" s="1"/>
  <c r="N202" i="9"/>
  <c r="L203" i="9"/>
  <c r="O203" i="9" s="1"/>
  <c r="N203" i="9"/>
  <c r="L204" i="9"/>
  <c r="O204" i="9" s="1"/>
  <c r="N204" i="9"/>
  <c r="L205" i="9"/>
  <c r="O205" i="9" s="1"/>
  <c r="N205" i="9"/>
  <c r="L206" i="9"/>
  <c r="O206" i="9" s="1"/>
  <c r="N206" i="9"/>
  <c r="L207" i="9"/>
  <c r="O207" i="9" s="1"/>
  <c r="N207" i="9"/>
  <c r="L208" i="9"/>
  <c r="O208" i="9" s="1"/>
  <c r="N208" i="9"/>
  <c r="L209" i="9"/>
  <c r="O209" i="9" s="1"/>
  <c r="N209" i="9"/>
  <c r="L210" i="9"/>
  <c r="O210" i="9" s="1"/>
  <c r="N210" i="9"/>
  <c r="L211" i="9"/>
  <c r="O211" i="9" s="1"/>
  <c r="N211" i="9"/>
  <c r="L212" i="9"/>
  <c r="O212" i="9" s="1"/>
  <c r="N212" i="9"/>
  <c r="L213" i="9"/>
  <c r="O213" i="9" s="1"/>
  <c r="N213" i="9"/>
  <c r="M86" i="9"/>
  <c r="M92" i="9"/>
  <c r="M85" i="9"/>
  <c r="M84" i="9"/>
  <c r="M83" i="9"/>
  <c r="M82" i="9"/>
  <c r="M81" i="9"/>
  <c r="M213" i="9"/>
  <c r="M212" i="9"/>
  <c r="M211" i="9"/>
  <c r="M210" i="9"/>
  <c r="M209" i="9"/>
  <c r="M208" i="9"/>
  <c r="M207" i="9"/>
  <c r="M206" i="9"/>
  <c r="M205" i="9"/>
  <c r="M204" i="9"/>
  <c r="M203" i="9"/>
  <c r="M202" i="9"/>
  <c r="M201" i="9"/>
  <c r="M200" i="9"/>
  <c r="M199" i="9"/>
  <c r="M126" i="9"/>
  <c r="M125" i="9"/>
  <c r="M124" i="9"/>
  <c r="M123" i="9"/>
  <c r="M122" i="9"/>
  <c r="M121" i="9"/>
  <c r="M120" i="9"/>
  <c r="M119" i="9"/>
  <c r="M118" i="9"/>
  <c r="M117" i="9"/>
  <c r="M116" i="9"/>
  <c r="M115" i="9"/>
  <c r="M114" i="9"/>
  <c r="M113" i="9"/>
  <c r="M112" i="9"/>
  <c r="M111" i="9"/>
  <c r="M110" i="9"/>
  <c r="M109" i="9"/>
  <c r="M108" i="9"/>
  <c r="M107" i="9"/>
  <c r="M106" i="9"/>
  <c r="M105" i="9"/>
  <c r="M104" i="9"/>
  <c r="M103" i="9"/>
  <c r="M102" i="9"/>
  <c r="M101" i="9"/>
  <c r="M100" i="9"/>
  <c r="M99" i="9"/>
  <c r="M98" i="9"/>
  <c r="M97" i="9"/>
  <c r="M96" i="9"/>
  <c r="M95" i="9"/>
  <c r="M66" i="9"/>
  <c r="M94" i="9"/>
  <c r="M93" i="9"/>
  <c r="M91" i="9"/>
  <c r="M90" i="9"/>
  <c r="M89" i="9"/>
  <c r="M88" i="9"/>
  <c r="M80" i="9"/>
  <c r="M79" i="9"/>
  <c r="M78" i="9"/>
  <c r="M77" i="9"/>
  <c r="M76" i="9"/>
  <c r="M75" i="9"/>
  <c r="M74" i="9"/>
  <c r="M73" i="9"/>
  <c r="M72" i="9"/>
  <c r="M71" i="9"/>
  <c r="M70" i="9"/>
  <c r="M69" i="9"/>
  <c r="M68" i="9"/>
  <c r="M67"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6" i="9"/>
  <c r="M25" i="9"/>
  <c r="M24" i="9"/>
  <c r="M23" i="9"/>
  <c r="M22" i="9"/>
  <c r="M21" i="9"/>
  <c r="M20" i="9"/>
  <c r="M19" i="9"/>
  <c r="M18" i="9"/>
  <c r="M17" i="9"/>
  <c r="M16" i="9"/>
  <c r="M15" i="9"/>
  <c r="D138" i="5"/>
  <c r="D205" i="5" s="1"/>
  <c r="D272" i="5" s="1"/>
  <c r="D339" i="5" s="1"/>
  <c r="D406" i="5" s="1"/>
  <c r="D473" i="5" s="1"/>
  <c r="D137" i="5"/>
  <c r="D204" i="5" s="1"/>
  <c r="D271" i="5" s="1"/>
  <c r="D338" i="5" s="1"/>
  <c r="D405" i="5" s="1"/>
  <c r="D472" i="5" s="1"/>
  <c r="D136" i="5"/>
  <c r="D203" i="5" s="1"/>
  <c r="D270" i="5" s="1"/>
  <c r="D337" i="5" s="1"/>
  <c r="D404" i="5" s="1"/>
  <c r="D471" i="5" s="1"/>
  <c r="D135" i="5"/>
  <c r="D202" i="5" s="1"/>
  <c r="D269" i="5" s="1"/>
  <c r="D336" i="5" s="1"/>
  <c r="D403" i="5" s="1"/>
  <c r="D470" i="5" s="1"/>
  <c r="D134" i="5"/>
  <c r="D201" i="5" s="1"/>
  <c r="D268" i="5" s="1"/>
  <c r="D335" i="5" s="1"/>
  <c r="D402" i="5" s="1"/>
  <c r="D469" i="5" s="1"/>
  <c r="D133" i="5"/>
  <c r="D200" i="5" s="1"/>
  <c r="D267" i="5" s="1"/>
  <c r="D334" i="5" s="1"/>
  <c r="D401" i="5" s="1"/>
  <c r="D468" i="5" s="1"/>
  <c r="D132" i="5"/>
  <c r="D199" i="5" s="1"/>
  <c r="D266" i="5" s="1"/>
  <c r="D333" i="5" s="1"/>
  <c r="D400" i="5" s="1"/>
  <c r="D467" i="5" s="1"/>
  <c r="D131" i="5"/>
  <c r="D198" i="5" s="1"/>
  <c r="D265" i="5" s="1"/>
  <c r="D332" i="5" s="1"/>
  <c r="D399" i="5" s="1"/>
  <c r="D466" i="5" s="1"/>
  <c r="D130" i="5"/>
  <c r="D197" i="5" s="1"/>
  <c r="D264" i="5" s="1"/>
  <c r="D331" i="5" s="1"/>
  <c r="D398" i="5" s="1"/>
  <c r="D465" i="5" s="1"/>
  <c r="D129" i="5"/>
  <c r="D196" i="5" s="1"/>
  <c r="D263" i="5" s="1"/>
  <c r="D330" i="5" s="1"/>
  <c r="D397" i="5" s="1"/>
  <c r="D464" i="5" s="1"/>
  <c r="D128" i="5"/>
  <c r="D195" i="5" s="1"/>
  <c r="D262" i="5" s="1"/>
  <c r="D329" i="5" s="1"/>
  <c r="D396" i="5" s="1"/>
  <c r="D463" i="5" s="1"/>
  <c r="D127" i="5"/>
  <c r="D194" i="5" s="1"/>
  <c r="D261" i="5" s="1"/>
  <c r="D328" i="5" s="1"/>
  <c r="D395" i="5" s="1"/>
  <c r="D462" i="5" s="1"/>
  <c r="D126" i="5"/>
  <c r="D193" i="5" s="1"/>
  <c r="D260" i="5" s="1"/>
  <c r="D327" i="5" s="1"/>
  <c r="D394" i="5" s="1"/>
  <c r="D461" i="5" s="1"/>
  <c r="D125" i="5"/>
  <c r="D192" i="5" s="1"/>
  <c r="D259" i="5" s="1"/>
  <c r="D326" i="5" s="1"/>
  <c r="D393" i="5" s="1"/>
  <c r="D460" i="5" s="1"/>
  <c r="D124" i="5"/>
  <c r="D191" i="5" s="1"/>
  <c r="D258" i="5" s="1"/>
  <c r="D325" i="5" s="1"/>
  <c r="D392" i="5" s="1"/>
  <c r="D459" i="5" s="1"/>
  <c r="D123" i="5"/>
  <c r="D190" i="5" s="1"/>
  <c r="D257" i="5" s="1"/>
  <c r="D324" i="5" s="1"/>
  <c r="D391" i="5" s="1"/>
  <c r="D458" i="5" s="1"/>
  <c r="D122" i="5"/>
  <c r="D189" i="5" s="1"/>
  <c r="D256" i="5" s="1"/>
  <c r="D323" i="5" s="1"/>
  <c r="D390" i="5" s="1"/>
  <c r="D457" i="5" s="1"/>
  <c r="D121" i="5"/>
  <c r="D188" i="5" s="1"/>
  <c r="D255" i="5" s="1"/>
  <c r="D322" i="5" s="1"/>
  <c r="D389" i="5" s="1"/>
  <c r="D456" i="5" s="1"/>
  <c r="D120" i="5"/>
  <c r="D187" i="5" s="1"/>
  <c r="D254" i="5" s="1"/>
  <c r="D321" i="5" s="1"/>
  <c r="D388" i="5" s="1"/>
  <c r="D455" i="5" s="1"/>
  <c r="D119" i="5"/>
  <c r="D186" i="5" s="1"/>
  <c r="D253" i="5" s="1"/>
  <c r="D320" i="5" s="1"/>
  <c r="D387" i="5" s="1"/>
  <c r="D454" i="5" s="1"/>
  <c r="D118" i="5"/>
  <c r="D185" i="5" s="1"/>
  <c r="D252" i="5" s="1"/>
  <c r="D319" i="5" s="1"/>
  <c r="D386" i="5" s="1"/>
  <c r="D453" i="5" s="1"/>
  <c r="D117" i="5"/>
  <c r="D184" i="5" s="1"/>
  <c r="D251" i="5" s="1"/>
  <c r="D318" i="5" s="1"/>
  <c r="D385" i="5" s="1"/>
  <c r="D452" i="5" s="1"/>
  <c r="D116" i="5"/>
  <c r="D183" i="5" s="1"/>
  <c r="D250" i="5" s="1"/>
  <c r="D317" i="5" s="1"/>
  <c r="D384" i="5" s="1"/>
  <c r="D451" i="5" s="1"/>
  <c r="D115" i="5"/>
  <c r="D182" i="5" s="1"/>
  <c r="D249" i="5" s="1"/>
  <c r="D316" i="5" s="1"/>
  <c r="D383" i="5" s="1"/>
  <c r="D450" i="5" s="1"/>
  <c r="D114" i="5"/>
  <c r="D181" i="5" s="1"/>
  <c r="D248" i="5" s="1"/>
  <c r="D315" i="5" s="1"/>
  <c r="D382" i="5" s="1"/>
  <c r="D449" i="5" s="1"/>
  <c r="D113" i="5"/>
  <c r="D180" i="5" s="1"/>
  <c r="D247" i="5" s="1"/>
  <c r="D314" i="5" s="1"/>
  <c r="D381" i="5" s="1"/>
  <c r="D448" i="5" s="1"/>
  <c r="D112" i="5"/>
  <c r="D179" i="5" s="1"/>
  <c r="D246" i="5" s="1"/>
  <c r="D313" i="5" s="1"/>
  <c r="D380" i="5" s="1"/>
  <c r="D447" i="5" s="1"/>
  <c r="D111" i="5"/>
  <c r="D178" i="5" s="1"/>
  <c r="D245" i="5" s="1"/>
  <c r="D312" i="5" s="1"/>
  <c r="D379" i="5" s="1"/>
  <c r="D446" i="5" s="1"/>
  <c r="D110" i="5"/>
  <c r="D177" i="5" s="1"/>
  <c r="D244" i="5" s="1"/>
  <c r="D311" i="5" s="1"/>
  <c r="D378" i="5" s="1"/>
  <c r="D445" i="5" s="1"/>
  <c r="D109" i="5"/>
  <c r="D176" i="5" s="1"/>
  <c r="D243" i="5" s="1"/>
  <c r="D310" i="5" s="1"/>
  <c r="D377" i="5" s="1"/>
  <c r="D444" i="5" s="1"/>
  <c r="D108" i="5"/>
  <c r="D175" i="5" s="1"/>
  <c r="D242" i="5" s="1"/>
  <c r="D309" i="5" s="1"/>
  <c r="D376" i="5" s="1"/>
  <c r="D443" i="5" s="1"/>
  <c r="D107" i="5"/>
  <c r="D174" i="5" s="1"/>
  <c r="D241" i="5" s="1"/>
  <c r="D308" i="5" s="1"/>
  <c r="D375" i="5" s="1"/>
  <c r="D442" i="5" s="1"/>
  <c r="D106" i="5"/>
  <c r="D173" i="5" s="1"/>
  <c r="D240" i="5" s="1"/>
  <c r="D307" i="5" s="1"/>
  <c r="D374" i="5" s="1"/>
  <c r="D441" i="5" s="1"/>
  <c r="D105" i="5"/>
  <c r="D172" i="5" s="1"/>
  <c r="D239" i="5" s="1"/>
  <c r="D306" i="5" s="1"/>
  <c r="D373" i="5" s="1"/>
  <c r="D440" i="5" s="1"/>
  <c r="D104" i="5"/>
  <c r="D171" i="5" s="1"/>
  <c r="D238" i="5" s="1"/>
  <c r="D305" i="5" s="1"/>
  <c r="D372" i="5" s="1"/>
  <c r="D439" i="5" s="1"/>
  <c r="D103" i="5"/>
  <c r="D170" i="5" s="1"/>
  <c r="D237" i="5" s="1"/>
  <c r="D304" i="5" s="1"/>
  <c r="D371" i="5" s="1"/>
  <c r="D438" i="5" s="1"/>
  <c r="D102" i="5"/>
  <c r="D169" i="5" s="1"/>
  <c r="D236" i="5" s="1"/>
  <c r="D303" i="5" s="1"/>
  <c r="D370" i="5" s="1"/>
  <c r="D437" i="5" s="1"/>
  <c r="D101" i="5"/>
  <c r="D168" i="5" s="1"/>
  <c r="D235" i="5" s="1"/>
  <c r="D302" i="5" s="1"/>
  <c r="D369" i="5" s="1"/>
  <c r="D436" i="5" s="1"/>
  <c r="D100" i="5"/>
  <c r="D167" i="5" s="1"/>
  <c r="D234" i="5" s="1"/>
  <c r="D301" i="5" s="1"/>
  <c r="D368" i="5" s="1"/>
  <c r="D435" i="5" s="1"/>
  <c r="D99" i="5"/>
  <c r="D166" i="5" s="1"/>
  <c r="D233" i="5" s="1"/>
  <c r="D300" i="5" s="1"/>
  <c r="D367" i="5" s="1"/>
  <c r="D434" i="5" s="1"/>
  <c r="D98" i="5"/>
  <c r="D165" i="5" s="1"/>
  <c r="D232" i="5" s="1"/>
  <c r="D299" i="5" s="1"/>
  <c r="D366" i="5" s="1"/>
  <c r="D433" i="5" s="1"/>
  <c r="D97" i="5"/>
  <c r="D164" i="5" s="1"/>
  <c r="D231" i="5" s="1"/>
  <c r="D298" i="5" s="1"/>
  <c r="D365" i="5" s="1"/>
  <c r="D432" i="5" s="1"/>
  <c r="D96" i="5"/>
  <c r="D163" i="5" s="1"/>
  <c r="D230" i="5" s="1"/>
  <c r="D297" i="5" s="1"/>
  <c r="D364" i="5" s="1"/>
  <c r="D431" i="5" s="1"/>
  <c r="D95" i="5"/>
  <c r="D162" i="5" s="1"/>
  <c r="D229" i="5" s="1"/>
  <c r="D296" i="5" s="1"/>
  <c r="D363" i="5" s="1"/>
  <c r="D430" i="5" s="1"/>
  <c r="D94" i="5"/>
  <c r="D161" i="5" s="1"/>
  <c r="D228" i="5" s="1"/>
  <c r="D295" i="5" s="1"/>
  <c r="D362" i="5" s="1"/>
  <c r="D429" i="5" s="1"/>
  <c r="D93" i="5"/>
  <c r="D160" i="5" s="1"/>
  <c r="D227" i="5" s="1"/>
  <c r="D294" i="5" s="1"/>
  <c r="D361" i="5" s="1"/>
  <c r="D428" i="5" s="1"/>
  <c r="D92" i="5"/>
  <c r="D159" i="5" s="1"/>
  <c r="D226" i="5" s="1"/>
  <c r="D293" i="5" s="1"/>
  <c r="D360" i="5" s="1"/>
  <c r="D427" i="5" s="1"/>
  <c r="D91" i="5"/>
  <c r="D158" i="5" s="1"/>
  <c r="D225" i="5" s="1"/>
  <c r="D292" i="5" s="1"/>
  <c r="D359" i="5" s="1"/>
  <c r="D426" i="5" s="1"/>
  <c r="D90" i="5"/>
  <c r="D157" i="5" s="1"/>
  <c r="D224" i="5" s="1"/>
  <c r="D291" i="5" s="1"/>
  <c r="D358" i="5" s="1"/>
  <c r="D425" i="5" s="1"/>
  <c r="D89" i="5"/>
  <c r="D156" i="5" s="1"/>
  <c r="D223" i="5" s="1"/>
  <c r="D290" i="5" s="1"/>
  <c r="D357" i="5" s="1"/>
  <c r="D424" i="5" s="1"/>
  <c r="D88" i="5"/>
  <c r="D155" i="5" s="1"/>
  <c r="D222" i="5" s="1"/>
  <c r="D289" i="5" s="1"/>
  <c r="D356" i="5" s="1"/>
  <c r="D423" i="5" s="1"/>
  <c r="D87" i="5"/>
  <c r="D154" i="5" s="1"/>
  <c r="D221" i="5" s="1"/>
  <c r="D288" i="5" s="1"/>
  <c r="D355" i="5" s="1"/>
  <c r="D422" i="5" s="1"/>
  <c r="D86" i="5"/>
  <c r="D153" i="5" s="1"/>
  <c r="D220" i="5" s="1"/>
  <c r="D287" i="5" s="1"/>
  <c r="D354" i="5" s="1"/>
  <c r="D421" i="5" s="1"/>
  <c r="D85" i="5"/>
  <c r="D152" i="5" s="1"/>
  <c r="D219" i="5" s="1"/>
  <c r="D286" i="5" s="1"/>
  <c r="D353" i="5" s="1"/>
  <c r="D420" i="5" s="1"/>
  <c r="D84" i="5"/>
  <c r="D151" i="5" s="1"/>
  <c r="D218" i="5" s="1"/>
  <c r="D285" i="5" s="1"/>
  <c r="D352" i="5" s="1"/>
  <c r="D419" i="5" s="1"/>
  <c r="L89" i="3"/>
  <c r="K89" i="3"/>
  <c r="J89" i="3"/>
  <c r="I89" i="3"/>
  <c r="H89" i="3"/>
  <c r="I65" i="16"/>
  <c r="H65" i="16"/>
  <c r="G65" i="16"/>
  <c r="F65" i="16"/>
  <c r="F32" i="16"/>
  <c r="I24" i="16"/>
  <c r="H24" i="16"/>
  <c r="G24" i="16"/>
  <c r="F24" i="16"/>
  <c r="F42" i="16"/>
  <c r="F41" i="16"/>
  <c r="F21" i="16"/>
  <c r="F19" i="16"/>
  <c r="F20" i="16"/>
  <c r="F33" i="16"/>
  <c r="G41" i="16"/>
  <c r="N19" i="9"/>
  <c r="N17" i="9"/>
  <c r="N20" i="9"/>
  <c r="N18" i="9"/>
  <c r="N16" i="9"/>
  <c r="G8" i="10"/>
  <c r="H8" i="10" s="1"/>
  <c r="I8" i="10" s="1"/>
  <c r="J8" i="10" s="1"/>
  <c r="K8" i="10" s="1"/>
  <c r="R8" i="9"/>
  <c r="G13" i="8"/>
  <c r="H13" i="8" s="1"/>
  <c r="I13" i="8" s="1"/>
  <c r="J13" i="8" s="1"/>
  <c r="K13" i="8" s="1"/>
  <c r="L13" i="8" s="1"/>
  <c r="M13" i="8" s="1"/>
  <c r="N13" i="8" s="1"/>
  <c r="O13" i="8" s="1"/>
  <c r="F23" i="8" s="1"/>
  <c r="G23" i="8" s="1"/>
  <c r="H23" i="8" s="1"/>
  <c r="I23" i="8" s="1"/>
  <c r="J23" i="8" s="1"/>
  <c r="K23" i="8" s="1"/>
  <c r="L23" i="8" s="1"/>
  <c r="M23" i="8" s="1"/>
  <c r="N23" i="8" s="1"/>
  <c r="O23" i="8" s="1"/>
  <c r="F34" i="10"/>
  <c r="H92" i="7" s="1"/>
  <c r="F39" i="10"/>
  <c r="H97" i="7" s="1"/>
  <c r="F35" i="10"/>
  <c r="H93" i="7" s="1"/>
  <c r="F28" i="10"/>
  <c r="F23" i="10"/>
  <c r="F24" i="10"/>
  <c r="I34" i="10"/>
  <c r="K92" i="7" s="1"/>
  <c r="I39" i="10"/>
  <c r="K97" i="7" s="1"/>
  <c r="I35" i="10"/>
  <c r="K93" i="7" s="1"/>
  <c r="G35" i="10"/>
  <c r="I93" i="7" s="1"/>
  <c r="G34" i="10"/>
  <c r="I92" i="7" s="1"/>
  <c r="G39" i="10"/>
  <c r="I97" i="7" s="1"/>
  <c r="H34" i="10"/>
  <c r="J92" i="7" s="1"/>
  <c r="H39" i="10"/>
  <c r="J97" i="7" s="1"/>
  <c r="H35" i="10"/>
  <c r="J93" i="7" s="1"/>
  <c r="J35" i="10"/>
  <c r="L93" i="7" s="1"/>
  <c r="J39" i="10"/>
  <c r="L97" i="7" s="1"/>
  <c r="J34" i="10"/>
  <c r="L92" i="7" s="1"/>
  <c r="G28" i="10"/>
  <c r="G23" i="10"/>
  <c r="G24" i="10"/>
  <c r="H28" i="10"/>
  <c r="H23" i="10"/>
  <c r="H24" i="10"/>
  <c r="I24" i="10"/>
  <c r="I28" i="10"/>
  <c r="I23" i="10"/>
  <c r="J28" i="10"/>
  <c r="J24" i="10"/>
  <c r="J23" i="10"/>
  <c r="G165" i="5"/>
  <c r="G232" i="5" s="1"/>
  <c r="AI98" i="5"/>
  <c r="G162" i="5"/>
  <c r="G229" i="5" s="1"/>
  <c r="AI95" i="5"/>
  <c r="J41" i="12"/>
  <c r="K41" i="12" s="1"/>
  <c r="J49" i="12"/>
  <c r="K49" i="12" s="1"/>
  <c r="L49" i="12" s="1"/>
  <c r="K68" i="7"/>
  <c r="H181" i="7"/>
  <c r="F62" i="11" s="1"/>
  <c r="G94" i="5"/>
  <c r="AI94" i="5" s="1"/>
  <c r="AI26" i="5"/>
  <c r="AI23" i="5"/>
  <c r="G91" i="5"/>
  <c r="AI91" i="5" s="1"/>
  <c r="AI86" i="5"/>
  <c r="G153" i="5"/>
  <c r="AI153" i="5" s="1"/>
  <c r="AI19" i="5"/>
  <c r="G87" i="5"/>
  <c r="AI87" i="5" s="1"/>
  <c r="J77" i="3"/>
  <c r="K77" i="3" s="1"/>
  <c r="L77" i="3" s="1"/>
  <c r="M77" i="3" s="1"/>
  <c r="H37" i="10"/>
  <c r="J95" i="7" s="1"/>
  <c r="Q26" i="3" l="1"/>
  <c r="H19" i="3"/>
  <c r="G57" i="2"/>
  <c r="S26" i="3" s="1"/>
  <c r="I36" i="3"/>
  <c r="I33" i="3"/>
  <c r="I35" i="3"/>
  <c r="I20" i="3"/>
  <c r="I34" i="3"/>
  <c r="I39" i="3"/>
  <c r="I44" i="3" s="1"/>
  <c r="H36" i="3"/>
  <c r="H33" i="3"/>
  <c r="H39" i="3"/>
  <c r="H44" i="3" s="1"/>
  <c r="H35" i="3"/>
  <c r="H34" i="3"/>
  <c r="H20" i="3"/>
  <c r="I38" i="13"/>
  <c r="K42" i="12"/>
  <c r="L41" i="12"/>
  <c r="L42" i="12" s="1"/>
  <c r="G37" i="13"/>
  <c r="G30" i="2"/>
  <c r="G32" i="2" s="1"/>
  <c r="G53" i="2" s="1"/>
  <c r="R26" i="3" s="1"/>
  <c r="S27" i="3" s="1"/>
  <c r="I27" i="2"/>
  <c r="M116" i="7"/>
  <c r="L157" i="3"/>
  <c r="M96" i="3"/>
  <c r="M157" i="3" s="1"/>
  <c r="J38" i="13"/>
  <c r="K38" i="13"/>
  <c r="AI383" i="5"/>
  <c r="G450" i="5"/>
  <c r="AK383" i="5"/>
  <c r="AL383" i="5" s="1"/>
  <c r="M24" i="7"/>
  <c r="F67" i="14"/>
  <c r="F34" i="14"/>
  <c r="F32" i="12"/>
  <c r="F36" i="12" s="1"/>
  <c r="F57" i="12" s="1"/>
  <c r="R31" i="6"/>
  <c r="N31" i="6"/>
  <c r="AD31" i="6" s="1"/>
  <c r="T31" i="6"/>
  <c r="S31" i="6"/>
  <c r="P31" i="6"/>
  <c r="R23" i="6"/>
  <c r="N23" i="6"/>
  <c r="AD23" i="6" s="1"/>
  <c r="T23" i="6"/>
  <c r="S23" i="6"/>
  <c r="P23" i="6"/>
  <c r="R32" i="6"/>
  <c r="N32" i="6"/>
  <c r="AD32" i="6" s="1"/>
  <c r="T32" i="6"/>
  <c r="S32" i="6"/>
  <c r="P32" i="6"/>
  <c r="R28" i="6"/>
  <c r="N28" i="6"/>
  <c r="AD28" i="6" s="1"/>
  <c r="T28" i="6"/>
  <c r="P28" i="6"/>
  <c r="S28" i="6"/>
  <c r="R24" i="6"/>
  <c r="N24" i="6"/>
  <c r="AD24" i="6" s="1"/>
  <c r="T24" i="6"/>
  <c r="P24" i="6"/>
  <c r="S24" i="6"/>
  <c r="R20" i="6"/>
  <c r="N20" i="6"/>
  <c r="AD20" i="6" s="1"/>
  <c r="T20" i="6"/>
  <c r="S20" i="6"/>
  <c r="P20" i="6"/>
  <c r="R33" i="6"/>
  <c r="N33" i="6"/>
  <c r="AD33" i="6" s="1"/>
  <c r="P33" i="6"/>
  <c r="T33" i="6"/>
  <c r="S33" i="6"/>
  <c r="R29" i="6"/>
  <c r="N29" i="6"/>
  <c r="AD29" i="6" s="1"/>
  <c r="P29" i="6"/>
  <c r="T29" i="6"/>
  <c r="S29" i="6"/>
  <c r="R25" i="6"/>
  <c r="N25" i="6"/>
  <c r="AD25" i="6" s="1"/>
  <c r="P25" i="6"/>
  <c r="S25" i="6"/>
  <c r="T25" i="6"/>
  <c r="R21" i="6"/>
  <c r="N21" i="6"/>
  <c r="AD21" i="6" s="1"/>
  <c r="P21" i="6"/>
  <c r="T21" i="6"/>
  <c r="S21" i="6"/>
  <c r="R17" i="6"/>
  <c r="N17" i="6"/>
  <c r="AD17" i="6" s="1"/>
  <c r="P17" i="6"/>
  <c r="S17" i="6"/>
  <c r="T17" i="6"/>
  <c r="R34" i="6"/>
  <c r="N34" i="6"/>
  <c r="AD34" i="6" s="1"/>
  <c r="S34" i="6"/>
  <c r="P34" i="6"/>
  <c r="T34" i="6"/>
  <c r="R27" i="6"/>
  <c r="N27" i="6"/>
  <c r="AD27" i="6" s="1"/>
  <c r="T27" i="6"/>
  <c r="S27" i="6"/>
  <c r="P27" i="6"/>
  <c r="R19" i="6"/>
  <c r="N19" i="6"/>
  <c r="AD19" i="6" s="1"/>
  <c r="T19" i="6"/>
  <c r="S19" i="6"/>
  <c r="P19" i="6"/>
  <c r="R35" i="6"/>
  <c r="N35" i="6"/>
  <c r="AD35" i="6" s="1"/>
  <c r="T35" i="6"/>
  <c r="S35" i="6"/>
  <c r="P35" i="6"/>
  <c r="R30" i="6"/>
  <c r="N30" i="6"/>
  <c r="AD30" i="6" s="1"/>
  <c r="S30" i="6"/>
  <c r="P30" i="6"/>
  <c r="T30" i="6"/>
  <c r="R26" i="6"/>
  <c r="N26" i="6"/>
  <c r="AD26" i="6" s="1"/>
  <c r="S26" i="6"/>
  <c r="P26" i="6"/>
  <c r="T26" i="6"/>
  <c r="R22" i="6"/>
  <c r="N22" i="6"/>
  <c r="AD22" i="6" s="1"/>
  <c r="S22" i="6"/>
  <c r="P22" i="6"/>
  <c r="T22" i="6"/>
  <c r="R18" i="6"/>
  <c r="N18" i="6"/>
  <c r="AD18" i="6" s="1"/>
  <c r="S18" i="6"/>
  <c r="T18" i="6"/>
  <c r="P18" i="6"/>
  <c r="AI232" i="5"/>
  <c r="G299" i="5"/>
  <c r="G366" i="5" s="1"/>
  <c r="R69" i="5"/>
  <c r="N69" i="5"/>
  <c r="O69" i="5"/>
  <c r="T69" i="5"/>
  <c r="S69" i="5"/>
  <c r="P69" i="5"/>
  <c r="R57" i="5"/>
  <c r="N57" i="5"/>
  <c r="O57" i="5"/>
  <c r="P57" i="5"/>
  <c r="T57" i="5"/>
  <c r="S57" i="5"/>
  <c r="R45" i="5"/>
  <c r="O45" i="5"/>
  <c r="N45" i="5"/>
  <c r="P45" i="5"/>
  <c r="S45" i="5"/>
  <c r="T45" i="5"/>
  <c r="R37" i="5"/>
  <c r="N37" i="5"/>
  <c r="O37" i="5"/>
  <c r="T37" i="5"/>
  <c r="S37" i="5"/>
  <c r="P37" i="5"/>
  <c r="R27" i="5"/>
  <c r="O27" i="5"/>
  <c r="N27" i="5"/>
  <c r="T27" i="5"/>
  <c r="S27" i="5"/>
  <c r="P27" i="5"/>
  <c r="R19" i="5"/>
  <c r="N19" i="5"/>
  <c r="O19" i="5"/>
  <c r="S19" i="5"/>
  <c r="P19" i="5"/>
  <c r="T19" i="5"/>
  <c r="AI231" i="5"/>
  <c r="G298" i="5"/>
  <c r="G365" i="5" s="1"/>
  <c r="AK316" i="5"/>
  <c r="AL316" i="5" s="1"/>
  <c r="AI316" i="5"/>
  <c r="R68" i="5"/>
  <c r="O68" i="5"/>
  <c r="N68" i="5"/>
  <c r="P68" i="5"/>
  <c r="T68" i="5"/>
  <c r="S68" i="5"/>
  <c r="R64" i="5"/>
  <c r="O64" i="5"/>
  <c r="N64" i="5"/>
  <c r="P64" i="5"/>
  <c r="T64" i="5"/>
  <c r="S64" i="5"/>
  <c r="R60" i="5"/>
  <c r="N60" i="5"/>
  <c r="O60" i="5"/>
  <c r="T60" i="5"/>
  <c r="P60" i="5"/>
  <c r="S60" i="5"/>
  <c r="R56" i="5"/>
  <c r="O56" i="5"/>
  <c r="N56" i="5"/>
  <c r="S56" i="5"/>
  <c r="P56" i="5"/>
  <c r="T56" i="5"/>
  <c r="R52" i="5"/>
  <c r="O52" i="5"/>
  <c r="N52" i="5"/>
  <c r="P52" i="5"/>
  <c r="S52" i="5"/>
  <c r="T52" i="5"/>
  <c r="R48" i="5"/>
  <c r="O48" i="5"/>
  <c r="N48" i="5"/>
  <c r="T48" i="5"/>
  <c r="P48" i="5"/>
  <c r="S48" i="5"/>
  <c r="R44" i="5"/>
  <c r="O44" i="5"/>
  <c r="N44" i="5"/>
  <c r="T44" i="5"/>
  <c r="S44" i="5"/>
  <c r="P44" i="5"/>
  <c r="R40" i="5"/>
  <c r="O40" i="5"/>
  <c r="N40" i="5"/>
  <c r="S40" i="5"/>
  <c r="P40" i="5"/>
  <c r="T40" i="5"/>
  <c r="R36" i="5"/>
  <c r="O36" i="5"/>
  <c r="N36" i="5"/>
  <c r="P36" i="5"/>
  <c r="S36" i="5"/>
  <c r="T36" i="5"/>
  <c r="R32" i="5"/>
  <c r="O32" i="5"/>
  <c r="N32" i="5"/>
  <c r="T32" i="5"/>
  <c r="S32" i="5"/>
  <c r="P32" i="5"/>
  <c r="R28" i="5"/>
  <c r="O28" i="5"/>
  <c r="N28" i="5"/>
  <c r="T28" i="5"/>
  <c r="S28" i="5"/>
  <c r="P28" i="5"/>
  <c r="R24" i="5"/>
  <c r="O24" i="5"/>
  <c r="N24" i="5"/>
  <c r="S24" i="5"/>
  <c r="T24" i="5"/>
  <c r="P24" i="5"/>
  <c r="R20" i="5"/>
  <c r="O20" i="5"/>
  <c r="N20" i="5"/>
  <c r="P20" i="5"/>
  <c r="S20" i="5"/>
  <c r="T20" i="5"/>
  <c r="R65" i="5"/>
  <c r="N65" i="5"/>
  <c r="O65" i="5"/>
  <c r="S65" i="5"/>
  <c r="P65" i="5"/>
  <c r="T65" i="5"/>
  <c r="R49" i="5"/>
  <c r="N49" i="5"/>
  <c r="O49" i="5"/>
  <c r="S49" i="5"/>
  <c r="T49" i="5"/>
  <c r="P49" i="5"/>
  <c r="R33" i="5"/>
  <c r="O33" i="5"/>
  <c r="N33" i="5"/>
  <c r="S33" i="5"/>
  <c r="T33" i="5"/>
  <c r="P33" i="5"/>
  <c r="AI223" i="5"/>
  <c r="G290" i="5"/>
  <c r="G357" i="5" s="1"/>
  <c r="AI229" i="5"/>
  <c r="G296" i="5"/>
  <c r="G363" i="5" s="1"/>
  <c r="R67" i="5"/>
  <c r="N67" i="5"/>
  <c r="O67" i="5"/>
  <c r="S67" i="5"/>
  <c r="T67" i="5"/>
  <c r="P67" i="5"/>
  <c r="R63" i="5"/>
  <c r="N63" i="5"/>
  <c r="O63" i="5"/>
  <c r="P63" i="5"/>
  <c r="S63" i="5"/>
  <c r="T63" i="5"/>
  <c r="R59" i="5"/>
  <c r="N59" i="5"/>
  <c r="O59" i="5"/>
  <c r="T59" i="5"/>
  <c r="P59" i="5"/>
  <c r="S59" i="5"/>
  <c r="R55" i="5"/>
  <c r="N55" i="5"/>
  <c r="O55" i="5"/>
  <c r="T55" i="5"/>
  <c r="S55" i="5"/>
  <c r="P55" i="5"/>
  <c r="R51" i="5"/>
  <c r="O51" i="5"/>
  <c r="N51" i="5"/>
  <c r="S51" i="5"/>
  <c r="P51" i="5"/>
  <c r="T51" i="5"/>
  <c r="R47" i="5"/>
  <c r="N47" i="5"/>
  <c r="O47" i="5"/>
  <c r="P47" i="5"/>
  <c r="S47" i="5"/>
  <c r="T47" i="5"/>
  <c r="R43" i="5"/>
  <c r="N43" i="5"/>
  <c r="O43" i="5"/>
  <c r="P43" i="5"/>
  <c r="T43" i="5"/>
  <c r="S43" i="5"/>
  <c r="R39" i="5"/>
  <c r="N39" i="5"/>
  <c r="O39" i="5"/>
  <c r="T39" i="5"/>
  <c r="S39" i="5"/>
  <c r="P39" i="5"/>
  <c r="R35" i="5"/>
  <c r="N35" i="5"/>
  <c r="O35" i="5"/>
  <c r="S35" i="5"/>
  <c r="P35" i="5"/>
  <c r="T35" i="5"/>
  <c r="R31" i="5"/>
  <c r="N31" i="5"/>
  <c r="O31" i="5"/>
  <c r="P31" i="5"/>
  <c r="S31" i="5"/>
  <c r="T31" i="5"/>
  <c r="R29" i="5"/>
  <c r="N29" i="5"/>
  <c r="AD29" i="5" s="1"/>
  <c r="O29" i="5"/>
  <c r="P29" i="5"/>
  <c r="S29" i="5"/>
  <c r="T29" i="5"/>
  <c r="R25" i="5"/>
  <c r="N25" i="5"/>
  <c r="O25" i="5"/>
  <c r="T25" i="5"/>
  <c r="S25" i="5"/>
  <c r="P25" i="5"/>
  <c r="R21" i="5"/>
  <c r="O21" i="5"/>
  <c r="N21" i="5"/>
  <c r="T21" i="5"/>
  <c r="S21" i="5"/>
  <c r="P21" i="5"/>
  <c r="R61" i="5"/>
  <c r="N61" i="5"/>
  <c r="O61" i="5"/>
  <c r="P61" i="5"/>
  <c r="T61" i="5"/>
  <c r="S61" i="5"/>
  <c r="R53" i="5"/>
  <c r="N53" i="5"/>
  <c r="O53" i="5"/>
  <c r="T53" i="5"/>
  <c r="S53" i="5"/>
  <c r="P53" i="5"/>
  <c r="R41" i="5"/>
  <c r="O41" i="5"/>
  <c r="N41" i="5"/>
  <c r="T41" i="5"/>
  <c r="S41" i="5"/>
  <c r="P41" i="5"/>
  <c r="R23" i="5"/>
  <c r="N23" i="5"/>
  <c r="O23" i="5"/>
  <c r="T23" i="5"/>
  <c r="S23" i="5"/>
  <c r="P23" i="5"/>
  <c r="AI227" i="5"/>
  <c r="G294" i="5"/>
  <c r="G361" i="5" s="1"/>
  <c r="R70" i="5"/>
  <c r="O70" i="5"/>
  <c r="N70" i="5"/>
  <c r="S70" i="5"/>
  <c r="P70" i="5"/>
  <c r="T70" i="5"/>
  <c r="R66" i="5"/>
  <c r="O66" i="5"/>
  <c r="N66" i="5"/>
  <c r="T66" i="5"/>
  <c r="S66" i="5"/>
  <c r="P66" i="5"/>
  <c r="R62" i="5"/>
  <c r="O62" i="5"/>
  <c r="N62" i="5"/>
  <c r="T62" i="5"/>
  <c r="S62" i="5"/>
  <c r="P62" i="5"/>
  <c r="R58" i="5"/>
  <c r="N58" i="5"/>
  <c r="O58" i="5"/>
  <c r="S58" i="5"/>
  <c r="T58" i="5"/>
  <c r="P58" i="5"/>
  <c r="R54" i="5"/>
  <c r="O54" i="5"/>
  <c r="N54" i="5"/>
  <c r="P54" i="5"/>
  <c r="S54" i="5"/>
  <c r="T54" i="5"/>
  <c r="R50" i="5"/>
  <c r="O50" i="5"/>
  <c r="N50" i="5"/>
  <c r="T50" i="5"/>
  <c r="S50" i="5"/>
  <c r="P50" i="5"/>
  <c r="R46" i="5"/>
  <c r="O46" i="5"/>
  <c r="N46" i="5"/>
  <c r="T46" i="5"/>
  <c r="S46" i="5"/>
  <c r="P46" i="5"/>
  <c r="R42" i="5"/>
  <c r="O42" i="5"/>
  <c r="N42" i="5"/>
  <c r="S42" i="5"/>
  <c r="P42" i="5"/>
  <c r="T42" i="5"/>
  <c r="R38" i="5"/>
  <c r="O38" i="5"/>
  <c r="N38" i="5"/>
  <c r="P38" i="5"/>
  <c r="S38" i="5"/>
  <c r="T38" i="5"/>
  <c r="R34" i="5"/>
  <c r="O34" i="5"/>
  <c r="N34" i="5"/>
  <c r="T34" i="5"/>
  <c r="S34" i="5"/>
  <c r="P34" i="5"/>
  <c r="R30" i="5"/>
  <c r="O30" i="5"/>
  <c r="N30" i="5"/>
  <c r="T30" i="5"/>
  <c r="S30" i="5"/>
  <c r="P30" i="5"/>
  <c r="R26" i="5"/>
  <c r="O26" i="5"/>
  <c r="N26" i="5"/>
  <c r="S26" i="5"/>
  <c r="P26" i="5"/>
  <c r="T26" i="5"/>
  <c r="R22" i="5"/>
  <c r="O22" i="5"/>
  <c r="N22" i="5"/>
  <c r="P22" i="5"/>
  <c r="S22" i="5"/>
  <c r="T22" i="5"/>
  <c r="O16" i="5"/>
  <c r="G151" i="5"/>
  <c r="G218" i="5" s="1"/>
  <c r="AI84" i="5"/>
  <c r="AJ84" i="5" s="1"/>
  <c r="AK84" i="5" s="1"/>
  <c r="AL84" i="5" s="1"/>
  <c r="H51" i="4"/>
  <c r="H49" i="4"/>
  <c r="H42" i="4"/>
  <c r="H50" i="4"/>
  <c r="R26" i="4"/>
  <c r="N26" i="4"/>
  <c r="AD26" i="4" s="1"/>
  <c r="S26" i="4"/>
  <c r="P26" i="4"/>
  <c r="T26" i="4"/>
  <c r="R24" i="4"/>
  <c r="N24" i="4"/>
  <c r="AD24" i="4" s="1"/>
  <c r="P24" i="4"/>
  <c r="S24" i="4"/>
  <c r="T24" i="4"/>
  <c r="R22" i="4"/>
  <c r="N22" i="4"/>
  <c r="AD22" i="4" s="1"/>
  <c r="P22" i="4"/>
  <c r="S22" i="4"/>
  <c r="T22" i="4"/>
  <c r="R20" i="4"/>
  <c r="N20" i="4"/>
  <c r="AD20" i="4" s="1"/>
  <c r="P20" i="4"/>
  <c r="S20" i="4"/>
  <c r="T20" i="4"/>
  <c r="R27" i="4"/>
  <c r="N27" i="4"/>
  <c r="AD27" i="4" s="1"/>
  <c r="S27" i="4"/>
  <c r="T27" i="4"/>
  <c r="P27" i="4"/>
  <c r="R25" i="4"/>
  <c r="N25" i="4"/>
  <c r="AD25" i="4" s="1"/>
  <c r="S25" i="4"/>
  <c r="P25" i="4"/>
  <c r="T25" i="4"/>
  <c r="R23" i="4"/>
  <c r="N23" i="4"/>
  <c r="AD23" i="4" s="1"/>
  <c r="T23" i="4"/>
  <c r="S23" i="4"/>
  <c r="P23" i="4"/>
  <c r="R21" i="4"/>
  <c r="N21" i="4"/>
  <c r="AD21" i="4" s="1"/>
  <c r="T21" i="4"/>
  <c r="S21" i="4"/>
  <c r="P21" i="4"/>
  <c r="R19" i="4"/>
  <c r="N19" i="4"/>
  <c r="AD19" i="4" s="1"/>
  <c r="T19" i="4"/>
  <c r="P19" i="4"/>
  <c r="S19" i="4"/>
  <c r="G152" i="5"/>
  <c r="G219" i="5" s="1"/>
  <c r="AK85" i="5"/>
  <c r="AL85" i="5" s="1"/>
  <c r="AI85" i="5"/>
  <c r="AJ85" i="5" s="1"/>
  <c r="O17" i="5"/>
  <c r="N17" i="5"/>
  <c r="O18" i="5"/>
  <c r="N18" i="5"/>
  <c r="P18" i="5"/>
  <c r="S18" i="5"/>
  <c r="R18" i="5"/>
  <c r="T18" i="5"/>
  <c r="AH16" i="6"/>
  <c r="N16" i="6"/>
  <c r="AD16" i="6" s="1"/>
  <c r="N18" i="4"/>
  <c r="AD18" i="4" s="1"/>
  <c r="N16" i="5"/>
  <c r="J67" i="6"/>
  <c r="AG31" i="6"/>
  <c r="AH31" i="6" s="1"/>
  <c r="J56" i="6"/>
  <c r="F60" i="6"/>
  <c r="F92" i="6" s="1"/>
  <c r="F124" i="6" s="1"/>
  <c r="F52" i="6"/>
  <c r="F84" i="6" s="1"/>
  <c r="F116" i="6" s="1"/>
  <c r="J68" i="6"/>
  <c r="J100" i="6" s="1"/>
  <c r="J138" i="5"/>
  <c r="I138" i="5" s="1"/>
  <c r="J134" i="5"/>
  <c r="I134" i="5" s="1"/>
  <c r="J130" i="5"/>
  <c r="I130" i="5" s="1"/>
  <c r="J126" i="5"/>
  <c r="I126" i="5" s="1"/>
  <c r="J122" i="5"/>
  <c r="I122" i="5" s="1"/>
  <c r="J118" i="5"/>
  <c r="I118" i="5" s="1"/>
  <c r="J114" i="5"/>
  <c r="I114" i="5" s="1"/>
  <c r="J110" i="5"/>
  <c r="I110" i="5" s="1"/>
  <c r="J106" i="5"/>
  <c r="I106" i="5" s="1"/>
  <c r="J98" i="5"/>
  <c r="I98" i="5" s="1"/>
  <c r="J94" i="5"/>
  <c r="I94" i="5" s="1"/>
  <c r="J90" i="5"/>
  <c r="I90" i="5" s="1"/>
  <c r="J86" i="5"/>
  <c r="I86" i="5" s="1"/>
  <c r="J137" i="5"/>
  <c r="I137" i="5" s="1"/>
  <c r="J133" i="5"/>
  <c r="I133" i="5" s="1"/>
  <c r="J129" i="5"/>
  <c r="I129" i="5" s="1"/>
  <c r="J125" i="5"/>
  <c r="I125" i="5" s="1"/>
  <c r="J121" i="5"/>
  <c r="I121" i="5" s="1"/>
  <c r="J117" i="5"/>
  <c r="I117" i="5" s="1"/>
  <c r="J113" i="5"/>
  <c r="I113" i="5" s="1"/>
  <c r="J109" i="5"/>
  <c r="I109" i="5" s="1"/>
  <c r="J105" i="5"/>
  <c r="I105" i="5" s="1"/>
  <c r="J101" i="5"/>
  <c r="I101" i="5" s="1"/>
  <c r="J95" i="5"/>
  <c r="I95" i="5" s="1"/>
  <c r="J91" i="5"/>
  <c r="I91" i="5" s="1"/>
  <c r="J87" i="5"/>
  <c r="I87" i="5" s="1"/>
  <c r="J136" i="5"/>
  <c r="I136" i="5" s="1"/>
  <c r="J132" i="5"/>
  <c r="I132" i="5" s="1"/>
  <c r="J128" i="5"/>
  <c r="I128" i="5" s="1"/>
  <c r="J124" i="5"/>
  <c r="J120" i="5"/>
  <c r="I120" i="5" s="1"/>
  <c r="J116" i="5"/>
  <c r="I116" i="5" s="1"/>
  <c r="J112" i="5"/>
  <c r="I112" i="5" s="1"/>
  <c r="J108" i="5"/>
  <c r="J100" i="5"/>
  <c r="I100" i="5" s="1"/>
  <c r="J96" i="5"/>
  <c r="I96" i="5" s="1"/>
  <c r="J92" i="5"/>
  <c r="I92" i="5" s="1"/>
  <c r="J88" i="5"/>
  <c r="I88" i="5" s="1"/>
  <c r="J84" i="5"/>
  <c r="J135" i="5"/>
  <c r="I135" i="5" s="1"/>
  <c r="J131" i="5"/>
  <c r="I131" i="5" s="1"/>
  <c r="J127" i="5"/>
  <c r="I127" i="5" s="1"/>
  <c r="J123" i="5"/>
  <c r="I123" i="5" s="1"/>
  <c r="J119" i="5"/>
  <c r="I119" i="5" s="1"/>
  <c r="J115" i="5"/>
  <c r="I115" i="5" s="1"/>
  <c r="J111" i="5"/>
  <c r="I111" i="5" s="1"/>
  <c r="J107" i="5"/>
  <c r="I107" i="5" s="1"/>
  <c r="J103" i="5"/>
  <c r="I103" i="5" s="1"/>
  <c r="J99" i="5"/>
  <c r="I99" i="5" s="1"/>
  <c r="J66" i="6"/>
  <c r="J64" i="6"/>
  <c r="J63" i="6"/>
  <c r="J62" i="6"/>
  <c r="J61" i="6"/>
  <c r="J60" i="6"/>
  <c r="J92" i="6" s="1"/>
  <c r="J59" i="6"/>
  <c r="J58" i="6"/>
  <c r="J57" i="6"/>
  <c r="J55" i="6"/>
  <c r="J54" i="6"/>
  <c r="J53" i="6"/>
  <c r="J52" i="6"/>
  <c r="J51" i="6"/>
  <c r="J50" i="6"/>
  <c r="J97" i="5"/>
  <c r="I97" i="5" s="1"/>
  <c r="J93" i="5"/>
  <c r="I93" i="5" s="1"/>
  <c r="J89" i="5"/>
  <c r="I89" i="5" s="1"/>
  <c r="J85" i="5"/>
  <c r="I85" i="5" s="1"/>
  <c r="E84" i="5"/>
  <c r="E151" i="5" s="1"/>
  <c r="J49" i="6"/>
  <c r="E81" i="6"/>
  <c r="E113" i="6" s="1"/>
  <c r="E145" i="6" s="1"/>
  <c r="E177" i="6" s="1"/>
  <c r="E209" i="6" s="1"/>
  <c r="E68" i="6"/>
  <c r="AG34" i="6"/>
  <c r="AH34" i="6" s="1"/>
  <c r="E63" i="6"/>
  <c r="E62" i="6"/>
  <c r="E59" i="6"/>
  <c r="E57" i="6"/>
  <c r="E55" i="6"/>
  <c r="E87" i="6" s="1"/>
  <c r="E54" i="6"/>
  <c r="E50" i="6"/>
  <c r="H67" i="6"/>
  <c r="AG22" i="6"/>
  <c r="AH22" i="6" s="1"/>
  <c r="H49" i="6"/>
  <c r="F65" i="6"/>
  <c r="AG65" i="6" s="1"/>
  <c r="AH65" i="6" s="1"/>
  <c r="F62" i="6"/>
  <c r="F50" i="6"/>
  <c r="F82" i="6" s="1"/>
  <c r="AG82" i="6" s="1"/>
  <c r="AH82" i="6" s="1"/>
  <c r="AG24" i="6"/>
  <c r="AH24" i="6" s="1"/>
  <c r="F53" i="6"/>
  <c r="F49" i="6"/>
  <c r="H52" i="6"/>
  <c r="E64" i="6"/>
  <c r="F61" i="6"/>
  <c r="AG61" i="6" s="1"/>
  <c r="AH61" i="6" s="1"/>
  <c r="E98" i="5"/>
  <c r="E94" i="5"/>
  <c r="E90" i="5"/>
  <c r="E86" i="5"/>
  <c r="E133" i="5"/>
  <c r="E125" i="5"/>
  <c r="E93" i="5"/>
  <c r="E135" i="5"/>
  <c r="E131" i="5"/>
  <c r="E123" i="5"/>
  <c r="E115" i="5"/>
  <c r="E111" i="5"/>
  <c r="E107" i="5"/>
  <c r="E103" i="5"/>
  <c r="E91" i="5"/>
  <c r="E137" i="5"/>
  <c r="E129" i="5"/>
  <c r="E121" i="5"/>
  <c r="E117" i="5"/>
  <c r="E113" i="5"/>
  <c r="E105" i="5"/>
  <c r="E101" i="5"/>
  <c r="E97" i="5"/>
  <c r="E89" i="5"/>
  <c r="E138" i="5"/>
  <c r="E134" i="5"/>
  <c r="E201" i="5" s="1"/>
  <c r="E130" i="5"/>
  <c r="E126" i="5"/>
  <c r="E122" i="5"/>
  <c r="E118" i="5"/>
  <c r="E114" i="5"/>
  <c r="E110" i="5"/>
  <c r="E106" i="5"/>
  <c r="E96" i="5"/>
  <c r="E92" i="5"/>
  <c r="E88" i="5"/>
  <c r="J48" i="4"/>
  <c r="J42" i="4"/>
  <c r="H45" i="4"/>
  <c r="AG26" i="4"/>
  <c r="AH26" i="4" s="1"/>
  <c r="AG22" i="4"/>
  <c r="AH22" i="4" s="1"/>
  <c r="AG42" i="4"/>
  <c r="AG18" i="4"/>
  <c r="H43" i="4"/>
  <c r="J51" i="4"/>
  <c r="E48" i="4"/>
  <c r="J44" i="4"/>
  <c r="H44" i="4"/>
  <c r="AG27" i="4"/>
  <c r="AH27" i="4" s="1"/>
  <c r="H65" i="4"/>
  <c r="H46" i="4"/>
  <c r="AG45" i="4"/>
  <c r="AH45" i="4" s="1"/>
  <c r="AG21" i="4"/>
  <c r="AH21" i="4" s="1"/>
  <c r="E51" i="4"/>
  <c r="J49" i="4"/>
  <c r="J47" i="4"/>
  <c r="E43" i="4"/>
  <c r="E42" i="4"/>
  <c r="J46" i="4"/>
  <c r="E45" i="4"/>
  <c r="J43" i="4"/>
  <c r="H74" i="4"/>
  <c r="H47" i="4"/>
  <c r="AG48" i="4"/>
  <c r="AH48" i="4" s="1"/>
  <c r="AG24" i="4"/>
  <c r="AH24" i="4" s="1"/>
  <c r="J50" i="4"/>
  <c r="E49" i="4"/>
  <c r="E47" i="4"/>
  <c r="J45" i="4"/>
  <c r="E44" i="4"/>
  <c r="E67" i="4" s="1"/>
  <c r="E85" i="5"/>
  <c r="AI70" i="5"/>
  <c r="AJ70" i="5" s="1"/>
  <c r="AK70" i="5" s="1"/>
  <c r="AL70" i="5" s="1"/>
  <c r="AM70" i="5" s="1"/>
  <c r="E9" i="6"/>
  <c r="AG43" i="4"/>
  <c r="AH43" i="4" s="1"/>
  <c r="F185" i="5"/>
  <c r="AG185" i="5" s="1"/>
  <c r="AH185" i="5" s="1"/>
  <c r="AG118" i="5"/>
  <c r="AH118" i="5" s="1"/>
  <c r="H89" i="5"/>
  <c r="H84" i="5"/>
  <c r="H105" i="5"/>
  <c r="H109" i="5"/>
  <c r="H113" i="5"/>
  <c r="H121" i="5"/>
  <c r="H125" i="5"/>
  <c r="H129" i="5"/>
  <c r="H133" i="5"/>
  <c r="H98" i="5"/>
  <c r="H94" i="5"/>
  <c r="H86" i="5"/>
  <c r="H100" i="5"/>
  <c r="H136" i="5"/>
  <c r="H97" i="5"/>
  <c r="H102" i="5"/>
  <c r="H106" i="5"/>
  <c r="H110" i="5"/>
  <c r="H114" i="5"/>
  <c r="H118" i="5"/>
  <c r="H122" i="5"/>
  <c r="H126" i="5"/>
  <c r="H134" i="5"/>
  <c r="H138" i="5"/>
  <c r="H95" i="5"/>
  <c r="H91" i="5"/>
  <c r="H87" i="5"/>
  <c r="E166" i="5"/>
  <c r="H93" i="5"/>
  <c r="H85" i="5"/>
  <c r="H99" i="5"/>
  <c r="H103" i="5"/>
  <c r="H107" i="5"/>
  <c r="H111" i="5"/>
  <c r="H115" i="5"/>
  <c r="H119" i="5"/>
  <c r="H131" i="5"/>
  <c r="H135" i="5"/>
  <c r="F158" i="5"/>
  <c r="AG158" i="5" s="1"/>
  <c r="AH158" i="5" s="1"/>
  <c r="AG91" i="5"/>
  <c r="AH91" i="5" s="1"/>
  <c r="H96" i="5"/>
  <c r="H92" i="5"/>
  <c r="H88" i="5"/>
  <c r="AI58" i="5"/>
  <c r="AJ58" i="5" s="1"/>
  <c r="AK58" i="5" s="1"/>
  <c r="AL58" i="5" s="1"/>
  <c r="AM58" i="5" s="1"/>
  <c r="E102" i="5"/>
  <c r="AI53" i="5"/>
  <c r="AJ53" i="5" s="1"/>
  <c r="AK53" i="5" s="1"/>
  <c r="AL53" i="5" s="1"/>
  <c r="AM53" i="5" s="1"/>
  <c r="E95" i="5"/>
  <c r="F122" i="5"/>
  <c r="AI30" i="5"/>
  <c r="AJ30" i="5" s="1"/>
  <c r="AK30" i="5" s="1"/>
  <c r="AL30" i="5" s="1"/>
  <c r="AM30" i="5" s="1"/>
  <c r="F152" i="5"/>
  <c r="F188" i="5"/>
  <c r="AI111" i="5"/>
  <c r="AJ111" i="5" s="1"/>
  <c r="AK111" i="5" s="1"/>
  <c r="AL111" i="5" s="1"/>
  <c r="AM111" i="5" s="1"/>
  <c r="F136" i="5"/>
  <c r="AG136" i="5" s="1"/>
  <c r="AH136" i="5" s="1"/>
  <c r="AG64" i="5"/>
  <c r="AH64" i="5" s="1"/>
  <c r="AJ19" i="5"/>
  <c r="AK19" i="5" s="1"/>
  <c r="AL19" i="5" s="1"/>
  <c r="AM19" i="5" s="1"/>
  <c r="F112" i="5"/>
  <c r="AG112" i="5" s="1"/>
  <c r="AH112" i="5" s="1"/>
  <c r="F183" i="5"/>
  <c r="AG183" i="5" s="1"/>
  <c r="AH183" i="5" s="1"/>
  <c r="AI50" i="5"/>
  <c r="AJ50" i="5" s="1"/>
  <c r="AK50" i="5" s="1"/>
  <c r="AL50" i="5" s="1"/>
  <c r="AM50" i="5" s="1"/>
  <c r="AJ23" i="5"/>
  <c r="AK23" i="5" s="1"/>
  <c r="AL23" i="5" s="1"/>
  <c r="AM23" i="5" s="1"/>
  <c r="F167" i="5"/>
  <c r="F128" i="5"/>
  <c r="AI34" i="5"/>
  <c r="AJ34" i="5" s="1"/>
  <c r="AK34" i="5" s="1"/>
  <c r="AL34" i="5" s="1"/>
  <c r="AM34" i="5" s="1"/>
  <c r="AI54" i="5"/>
  <c r="AJ54" i="5" s="1"/>
  <c r="AK54" i="5" s="1"/>
  <c r="AL54" i="5" s="1"/>
  <c r="AM54" i="5" s="1"/>
  <c r="AI42" i="5"/>
  <c r="AJ42" i="5" s="1"/>
  <c r="AK42" i="5" s="1"/>
  <c r="AL42" i="5" s="1"/>
  <c r="AM42" i="5" s="1"/>
  <c r="F88" i="5"/>
  <c r="AG88" i="5" s="1"/>
  <c r="AH88" i="5" s="1"/>
  <c r="AG36" i="5"/>
  <c r="AH36" i="5" s="1"/>
  <c r="F120" i="5"/>
  <c r="AI38" i="5"/>
  <c r="AJ38" i="5" s="1"/>
  <c r="AK38" i="5" s="1"/>
  <c r="AL38" i="5" s="1"/>
  <c r="AM38" i="5" s="1"/>
  <c r="AI62" i="5"/>
  <c r="AJ62" i="5" s="1"/>
  <c r="AK62" i="5" s="1"/>
  <c r="AL62" i="5" s="1"/>
  <c r="AM62" i="5" s="1"/>
  <c r="AJ26" i="5"/>
  <c r="AK26" i="5" s="1"/>
  <c r="AL26" i="5" s="1"/>
  <c r="AM26" i="5" s="1"/>
  <c r="AI46" i="5"/>
  <c r="AJ46" i="5" s="1"/>
  <c r="AK46" i="5" s="1"/>
  <c r="AL46" i="5" s="1"/>
  <c r="AM46" i="5" s="1"/>
  <c r="AI66" i="5"/>
  <c r="AJ66" i="5" s="1"/>
  <c r="AK66" i="5" s="1"/>
  <c r="AL66" i="5" s="1"/>
  <c r="AM66" i="5" s="1"/>
  <c r="H127" i="5"/>
  <c r="H123" i="5"/>
  <c r="J102" i="5"/>
  <c r="I102" i="5" s="1"/>
  <c r="E87" i="5"/>
  <c r="AG63" i="5"/>
  <c r="AH63" i="5" s="1"/>
  <c r="G192" i="5"/>
  <c r="AI192" i="5" s="1"/>
  <c r="AI135" i="5"/>
  <c r="AJ135" i="5" s="1"/>
  <c r="AK135" i="5" s="1"/>
  <c r="AL135" i="5" s="1"/>
  <c r="AI182" i="5"/>
  <c r="AJ182" i="5" s="1"/>
  <c r="AK182" i="5" s="1"/>
  <c r="AL182" i="5" s="1"/>
  <c r="AI35" i="5"/>
  <c r="AJ35" i="5" s="1"/>
  <c r="AK35" i="5" s="1"/>
  <c r="AL35" i="5" s="1"/>
  <c r="AM35" i="5" s="1"/>
  <c r="AI107" i="5"/>
  <c r="AJ107" i="5" s="1"/>
  <c r="AK107" i="5" s="1"/>
  <c r="AL107" i="5" s="1"/>
  <c r="AM107" i="5" s="1"/>
  <c r="AI67" i="5"/>
  <c r="AJ67" i="5" s="1"/>
  <c r="AK67" i="5" s="1"/>
  <c r="AL67" i="5" s="1"/>
  <c r="AM67" i="5" s="1"/>
  <c r="AI47" i="5"/>
  <c r="AJ47" i="5" s="1"/>
  <c r="AK47" i="5" s="1"/>
  <c r="AL47" i="5" s="1"/>
  <c r="AM47" i="5" s="1"/>
  <c r="AG48" i="5"/>
  <c r="AH48" i="5" s="1"/>
  <c r="G178" i="5"/>
  <c r="G245" i="5" s="1"/>
  <c r="G312" i="5" s="1"/>
  <c r="G379" i="5" s="1"/>
  <c r="AI59" i="5"/>
  <c r="AJ59" i="5" s="1"/>
  <c r="AK59" i="5" s="1"/>
  <c r="AL59" i="5" s="1"/>
  <c r="AM59" i="5" s="1"/>
  <c r="AI31" i="5"/>
  <c r="AJ31" i="5" s="1"/>
  <c r="AK31" i="5" s="1"/>
  <c r="AL31" i="5" s="1"/>
  <c r="AM31" i="5" s="1"/>
  <c r="G174" i="5"/>
  <c r="G241" i="5" s="1"/>
  <c r="G308" i="5" s="1"/>
  <c r="G375" i="5" s="1"/>
  <c r="AI115" i="5"/>
  <c r="AJ115" i="5" s="1"/>
  <c r="AK115" i="5" s="1"/>
  <c r="AL115" i="5" s="1"/>
  <c r="AM115" i="5" s="1"/>
  <c r="AI63" i="5"/>
  <c r="AJ63" i="5" s="1"/>
  <c r="AK63" i="5" s="1"/>
  <c r="AL63" i="5" s="1"/>
  <c r="AM63" i="5" s="1"/>
  <c r="G194" i="5"/>
  <c r="AI194" i="5" s="1"/>
  <c r="AG28" i="5"/>
  <c r="AH28" i="5" s="1"/>
  <c r="AI55" i="5"/>
  <c r="AJ55" i="5" s="1"/>
  <c r="AK55" i="5" s="1"/>
  <c r="AL55" i="5" s="1"/>
  <c r="AM55" i="5" s="1"/>
  <c r="AI43" i="5"/>
  <c r="AJ43" i="5" s="1"/>
  <c r="AK43" i="5" s="1"/>
  <c r="AL43" i="5" s="1"/>
  <c r="AM43" i="5" s="1"/>
  <c r="AI51" i="5"/>
  <c r="AJ51" i="5" s="1"/>
  <c r="AK51" i="5" s="1"/>
  <c r="AL51" i="5" s="1"/>
  <c r="AM51" i="5" s="1"/>
  <c r="AG32" i="5"/>
  <c r="AH32" i="5" s="1"/>
  <c r="AI39" i="5"/>
  <c r="AJ39" i="5" s="1"/>
  <c r="AK39" i="5" s="1"/>
  <c r="AL39" i="5" s="1"/>
  <c r="AM39" i="5" s="1"/>
  <c r="F108" i="5"/>
  <c r="AG108" i="5" s="1"/>
  <c r="AH108" i="5" s="1"/>
  <c r="F92" i="5"/>
  <c r="AI69" i="5"/>
  <c r="AJ69" i="5" s="1"/>
  <c r="AK69" i="5" s="1"/>
  <c r="AL69" i="5" s="1"/>
  <c r="AM69" i="5" s="1"/>
  <c r="F199" i="5"/>
  <c r="F114" i="5"/>
  <c r="AG114" i="5" s="1"/>
  <c r="AH114" i="5" s="1"/>
  <c r="G113" i="5"/>
  <c r="AI113" i="5" s="1"/>
  <c r="E109" i="5"/>
  <c r="AG50" i="5"/>
  <c r="AH50" i="5" s="1"/>
  <c r="H117" i="5"/>
  <c r="F90" i="5"/>
  <c r="AG90" i="5" s="1"/>
  <c r="AH90" i="5" s="1"/>
  <c r="F134" i="5"/>
  <c r="AG134" i="5" s="1"/>
  <c r="AH134" i="5" s="1"/>
  <c r="F138" i="5"/>
  <c r="AI41" i="5"/>
  <c r="AJ41" i="5" s="1"/>
  <c r="AK41" i="5" s="1"/>
  <c r="AL41" i="5" s="1"/>
  <c r="AM41" i="5" s="1"/>
  <c r="G121" i="5"/>
  <c r="F102" i="5"/>
  <c r="AG102" i="5" s="1"/>
  <c r="AH102" i="5" s="1"/>
  <c r="AI33" i="5"/>
  <c r="AJ33" i="5" s="1"/>
  <c r="AK33" i="5" s="1"/>
  <c r="AL33" i="5" s="1"/>
  <c r="AM33" i="5" s="1"/>
  <c r="F126" i="5"/>
  <c r="AG126" i="5" s="1"/>
  <c r="AH126" i="5" s="1"/>
  <c r="AI65" i="5"/>
  <c r="AJ65" i="5" s="1"/>
  <c r="AK65" i="5" s="1"/>
  <c r="AL65" i="5" s="1"/>
  <c r="AM65" i="5" s="1"/>
  <c r="H137" i="5"/>
  <c r="G137" i="5"/>
  <c r="AI137" i="5" s="1"/>
  <c r="H101" i="5"/>
  <c r="F110" i="5"/>
  <c r="F86" i="5"/>
  <c r="AG86" i="5" s="1"/>
  <c r="AH86" i="5" s="1"/>
  <c r="F130" i="5"/>
  <c r="AG130" i="5" s="1"/>
  <c r="AH130" i="5" s="1"/>
  <c r="AI101" i="5"/>
  <c r="AJ101" i="5" s="1"/>
  <c r="AK101" i="5" s="1"/>
  <c r="AL101" i="5" s="1"/>
  <c r="AM101" i="5" s="1"/>
  <c r="AI57" i="5"/>
  <c r="AJ57" i="5" s="1"/>
  <c r="AK57" i="5" s="1"/>
  <c r="AL57" i="5" s="1"/>
  <c r="AM57" i="5" s="1"/>
  <c r="J94" i="3"/>
  <c r="I36" i="11"/>
  <c r="G33" i="16"/>
  <c r="I181" i="7"/>
  <c r="G62" i="11" s="1"/>
  <c r="AI93" i="5"/>
  <c r="AJ93" i="5" s="1"/>
  <c r="AK93" i="5" s="1"/>
  <c r="AL93" i="5" s="1"/>
  <c r="AI126" i="5"/>
  <c r="AJ126" i="5" s="1"/>
  <c r="AK126" i="5" s="1"/>
  <c r="AL126" i="5" s="1"/>
  <c r="AM126" i="5" s="1"/>
  <c r="AI156" i="5"/>
  <c r="AJ156" i="5" s="1"/>
  <c r="AK156" i="5" s="1"/>
  <c r="AL156" i="5" s="1"/>
  <c r="G173" i="5"/>
  <c r="G240" i="5" s="1"/>
  <c r="G307" i="5" s="1"/>
  <c r="G374" i="5" s="1"/>
  <c r="G169" i="5"/>
  <c r="AI169" i="5" s="1"/>
  <c r="AI97" i="5"/>
  <c r="AJ97" i="5" s="1"/>
  <c r="AK97" i="5" s="1"/>
  <c r="AL97" i="5" s="1"/>
  <c r="AM97" i="5" s="1"/>
  <c r="AI152" i="5"/>
  <c r="AJ152" i="5" s="1"/>
  <c r="AK152" i="5" s="1"/>
  <c r="AL152" i="5" s="1"/>
  <c r="AI164" i="5"/>
  <c r="AJ164" i="5" s="1"/>
  <c r="AK164" i="5" s="1"/>
  <c r="AL164" i="5" s="1"/>
  <c r="AI160" i="5"/>
  <c r="AJ160" i="5" s="1"/>
  <c r="AK160" i="5" s="1"/>
  <c r="AL160" i="5" s="1"/>
  <c r="AI130" i="5"/>
  <c r="AJ130" i="5" s="1"/>
  <c r="AK130" i="5" s="1"/>
  <c r="AL130" i="5" s="1"/>
  <c r="AM130" i="5" s="1"/>
  <c r="G181" i="5"/>
  <c r="G193" i="5"/>
  <c r="G260" i="5" s="1"/>
  <c r="G327" i="5" s="1"/>
  <c r="G394" i="5" s="1"/>
  <c r="AI89" i="5"/>
  <c r="AJ89" i="5" s="1"/>
  <c r="AK89" i="5" s="1"/>
  <c r="AL89" i="5" s="1"/>
  <c r="AM89" i="5" s="1"/>
  <c r="G197" i="5"/>
  <c r="G264" i="5" s="1"/>
  <c r="G331" i="5" s="1"/>
  <c r="G398" i="5" s="1"/>
  <c r="H37" i="2"/>
  <c r="I16" i="7" s="1"/>
  <c r="G42" i="16"/>
  <c r="R62" i="9"/>
  <c r="R196" i="9"/>
  <c r="P187" i="9"/>
  <c r="P184" i="9"/>
  <c r="P171" i="9"/>
  <c r="P166" i="9"/>
  <c r="R164" i="9"/>
  <c r="P158" i="9"/>
  <c r="P155" i="9"/>
  <c r="P150" i="9"/>
  <c r="P196" i="9"/>
  <c r="P191" i="9"/>
  <c r="R188" i="9"/>
  <c r="P180" i="9"/>
  <c r="P174" i="9"/>
  <c r="P163" i="9"/>
  <c r="R160" i="9"/>
  <c r="R192" i="9"/>
  <c r="P188" i="9"/>
  <c r="P183" i="9"/>
  <c r="P179" i="9"/>
  <c r="R176" i="9"/>
  <c r="P170" i="9"/>
  <c r="R168" i="9"/>
  <c r="P162" i="9"/>
  <c r="P159" i="9"/>
  <c r="P154" i="9"/>
  <c r="R152" i="9"/>
  <c r="P195" i="9"/>
  <c r="R136" i="9"/>
  <c r="P127" i="9"/>
  <c r="P192" i="9"/>
  <c r="P143" i="9"/>
  <c r="R144" i="9"/>
  <c r="P142" i="9"/>
  <c r="P139" i="9"/>
  <c r="P130" i="9"/>
  <c r="R132" i="9"/>
  <c r="P178" i="9"/>
  <c r="P167" i="9"/>
  <c r="P151" i="9"/>
  <c r="P175" i="9"/>
  <c r="P147" i="9"/>
  <c r="P135" i="9"/>
  <c r="R184" i="9"/>
  <c r="P146" i="9"/>
  <c r="R140" i="9"/>
  <c r="P138" i="9"/>
  <c r="P134" i="9"/>
  <c r="P131" i="9"/>
  <c r="P144" i="9"/>
  <c r="P137" i="9"/>
  <c r="P132" i="9"/>
  <c r="P128" i="9"/>
  <c r="P169" i="9"/>
  <c r="P164" i="9"/>
  <c r="P193" i="9"/>
  <c r="P156" i="9"/>
  <c r="R134" i="9"/>
  <c r="R127" i="9"/>
  <c r="R142" i="9"/>
  <c r="R143" i="9"/>
  <c r="R156" i="9"/>
  <c r="R131" i="9"/>
  <c r="R138" i="9"/>
  <c r="R139" i="9"/>
  <c r="R179" i="9"/>
  <c r="R183" i="9"/>
  <c r="R181" i="9"/>
  <c r="R155" i="9"/>
  <c r="R186" i="9"/>
  <c r="R167" i="9"/>
  <c r="R182" i="9"/>
  <c r="R197" i="9"/>
  <c r="R133" i="9"/>
  <c r="R148" i="9"/>
  <c r="R195" i="9"/>
  <c r="P168" i="9"/>
  <c r="P140" i="9"/>
  <c r="P145" i="9"/>
  <c r="P129" i="9"/>
  <c r="P177" i="9"/>
  <c r="P198" i="9"/>
  <c r="P194" i="9"/>
  <c r="P165" i="9"/>
  <c r="P182" i="9"/>
  <c r="R135" i="9"/>
  <c r="R130" i="9"/>
  <c r="R170" i="9"/>
  <c r="R180" i="9"/>
  <c r="R150" i="9"/>
  <c r="P133" i="9"/>
  <c r="P176" i="9"/>
  <c r="P141" i="9"/>
  <c r="P148" i="9"/>
  <c r="P153" i="9"/>
  <c r="P185" i="9"/>
  <c r="P181" i="9"/>
  <c r="P172" i="9"/>
  <c r="P189" i="9"/>
  <c r="R146" i="9"/>
  <c r="R128" i="9"/>
  <c r="R171" i="9"/>
  <c r="R191" i="9"/>
  <c r="R178" i="9"/>
  <c r="R151" i="9"/>
  <c r="P136" i="9"/>
  <c r="R163" i="9"/>
  <c r="R194" i="9"/>
  <c r="R145" i="9"/>
  <c r="R174" i="9"/>
  <c r="R175" i="9"/>
  <c r="R189" i="9"/>
  <c r="R190" i="9"/>
  <c r="R165" i="9"/>
  <c r="R169" i="9"/>
  <c r="P190" i="9"/>
  <c r="R154" i="9"/>
  <c r="R198" i="9"/>
  <c r="R177" i="9"/>
  <c r="P197" i="9"/>
  <c r="P160" i="9"/>
  <c r="P149" i="9"/>
  <c r="P157" i="9"/>
  <c r="R166" i="9"/>
  <c r="R129" i="9"/>
  <c r="R153" i="9"/>
  <c r="R158" i="9"/>
  <c r="R161" i="9"/>
  <c r="P186" i="9"/>
  <c r="P173" i="9"/>
  <c r="R162" i="9"/>
  <c r="R149" i="9"/>
  <c r="R185" i="9"/>
  <c r="R187" i="9"/>
  <c r="R137" i="9"/>
  <c r="R172" i="9"/>
  <c r="R157" i="9"/>
  <c r="R173" i="9"/>
  <c r="P152" i="9"/>
  <c r="P161" i="9"/>
  <c r="R147" i="9"/>
  <c r="R193" i="9"/>
  <c r="R141" i="9"/>
  <c r="R159" i="9"/>
  <c r="P56" i="9"/>
  <c r="P40" i="9"/>
  <c r="R49" i="9"/>
  <c r="P72" i="9"/>
  <c r="R39" i="9"/>
  <c r="T8" i="9"/>
  <c r="R203" i="9"/>
  <c r="R43" i="9"/>
  <c r="R57" i="9"/>
  <c r="R112" i="9"/>
  <c r="P88" i="9"/>
  <c r="P47" i="9"/>
  <c r="P98" i="9"/>
  <c r="P205" i="9"/>
  <c r="P85" i="9"/>
  <c r="P42" i="9"/>
  <c r="P82" i="9"/>
  <c r="P62" i="9"/>
  <c r="R33" i="9"/>
  <c r="R90" i="9"/>
  <c r="P37" i="9"/>
  <c r="P104" i="9"/>
  <c r="P103" i="9"/>
  <c r="P203" i="9"/>
  <c r="P102" i="9"/>
  <c r="P31" i="9"/>
  <c r="R41" i="9"/>
  <c r="R106" i="9"/>
  <c r="P79" i="9"/>
  <c r="P53" i="9"/>
  <c r="P120" i="9"/>
  <c r="P78" i="9"/>
  <c r="P105" i="9"/>
  <c r="T199" i="9"/>
  <c r="R54" i="9"/>
  <c r="P28" i="9"/>
  <c r="R92" i="9"/>
  <c r="T90" i="9"/>
  <c r="R88" i="9"/>
  <c r="R85" i="9"/>
  <c r="R79" i="9"/>
  <c r="P75" i="9"/>
  <c r="P69" i="9"/>
  <c r="R65" i="9"/>
  <c r="P61" i="9"/>
  <c r="T66" i="9"/>
  <c r="P109" i="9"/>
  <c r="R103" i="9"/>
  <c r="P101" i="9"/>
  <c r="P212" i="9"/>
  <c r="R202" i="9"/>
  <c r="R200" i="9"/>
  <c r="P126" i="9"/>
  <c r="R27" i="9"/>
  <c r="R25" i="9"/>
  <c r="R87" i="9"/>
  <c r="J181" i="7"/>
  <c r="L68" i="7"/>
  <c r="H46" i="12"/>
  <c r="I44" i="12"/>
  <c r="G203" i="5"/>
  <c r="I77" i="7"/>
  <c r="H182" i="7" s="1"/>
  <c r="F63" i="11" s="1"/>
  <c r="E66" i="6"/>
  <c r="E65" i="6"/>
  <c r="E60" i="6"/>
  <c r="E58" i="6"/>
  <c r="E136" i="5"/>
  <c r="E132" i="5"/>
  <c r="E128" i="5"/>
  <c r="E124" i="5"/>
  <c r="E120" i="5"/>
  <c r="E116" i="5"/>
  <c r="E112" i="5"/>
  <c r="E108" i="5"/>
  <c r="E104" i="5"/>
  <c r="E100" i="5"/>
  <c r="H90" i="5"/>
  <c r="E50" i="4"/>
  <c r="E46" i="4"/>
  <c r="E51" i="6"/>
  <c r="E67" i="6"/>
  <c r="E52" i="6"/>
  <c r="E56" i="6"/>
  <c r="I157" i="3"/>
  <c r="J157" i="3"/>
  <c r="I103" i="3"/>
  <c r="G187" i="5"/>
  <c r="G254" i="5" s="1"/>
  <c r="G321" i="5" s="1"/>
  <c r="G388" i="5" s="1"/>
  <c r="AI120" i="5"/>
  <c r="AJ120" i="5" s="1"/>
  <c r="AK120" i="5" s="1"/>
  <c r="AL120" i="5" s="1"/>
  <c r="AM120" i="5" s="1"/>
  <c r="G179" i="5"/>
  <c r="AI40" i="5"/>
  <c r="AJ40" i="5" s="1"/>
  <c r="AK40" i="5" s="1"/>
  <c r="AL40" i="5" s="1"/>
  <c r="AM40" i="5" s="1"/>
  <c r="E53" i="6"/>
  <c r="G100" i="5"/>
  <c r="G167" i="5" s="1"/>
  <c r="R73" i="9"/>
  <c r="P73" i="9"/>
  <c r="P63" i="9"/>
  <c r="R63" i="9"/>
  <c r="J166" i="3"/>
  <c r="G58" i="16" s="1"/>
  <c r="I166" i="3"/>
  <c r="F58" i="16" s="1"/>
  <c r="AG44" i="4"/>
  <c r="AH44" i="4" s="1"/>
  <c r="AG30" i="6"/>
  <c r="AH30" i="6" s="1"/>
  <c r="F63" i="6"/>
  <c r="F95" i="6" s="1"/>
  <c r="F127" i="6" s="1"/>
  <c r="F59" i="6"/>
  <c r="AG59" i="6" s="1"/>
  <c r="AH59" i="6" s="1"/>
  <c r="AG26" i="6"/>
  <c r="AH26" i="6" s="1"/>
  <c r="F133" i="5"/>
  <c r="AG65" i="5"/>
  <c r="AH65" i="5" s="1"/>
  <c r="AG49" i="5"/>
  <c r="AH49" i="5" s="1"/>
  <c r="F117" i="5"/>
  <c r="AG45" i="5"/>
  <c r="AH45" i="5" s="1"/>
  <c r="F113" i="5"/>
  <c r="AG113" i="5" s="1"/>
  <c r="AH113" i="5" s="1"/>
  <c r="F109" i="5"/>
  <c r="AG41" i="5"/>
  <c r="AH41" i="5" s="1"/>
  <c r="AG29" i="5"/>
  <c r="AH29" i="5" s="1"/>
  <c r="F97" i="5"/>
  <c r="AG97" i="5" s="1"/>
  <c r="AH97" i="5" s="1"/>
  <c r="F89" i="5"/>
  <c r="AG21" i="5"/>
  <c r="AH21" i="5" s="1"/>
  <c r="AI64" i="5"/>
  <c r="AJ64" i="5" s="1"/>
  <c r="AK64" i="5" s="1"/>
  <c r="AL64" i="5" s="1"/>
  <c r="AM64" i="5" s="1"/>
  <c r="G132" i="5"/>
  <c r="G199" i="5" s="1"/>
  <c r="G266" i="5" s="1"/>
  <c r="G333" i="5" s="1"/>
  <c r="G400" i="5" s="1"/>
  <c r="AI60" i="5"/>
  <c r="AJ60" i="5" s="1"/>
  <c r="AK60" i="5" s="1"/>
  <c r="AL60" i="5" s="1"/>
  <c r="AM60" i="5" s="1"/>
  <c r="R123" i="9"/>
  <c r="J69" i="7"/>
  <c r="K69" i="7" s="1"/>
  <c r="K77" i="7" s="1"/>
  <c r="H48" i="4"/>
  <c r="H104" i="5"/>
  <c r="H108" i="5"/>
  <c r="H112" i="5"/>
  <c r="H116" i="5"/>
  <c r="H120" i="5"/>
  <c r="H124" i="5"/>
  <c r="H128" i="5"/>
  <c r="H132" i="5"/>
  <c r="G16" i="8"/>
  <c r="G19" i="8" s="1"/>
  <c r="H16" i="8" s="1"/>
  <c r="H19" i="8" s="1"/>
  <c r="G38" i="12"/>
  <c r="G42" i="12" s="1"/>
  <c r="F28" i="13" s="1"/>
  <c r="H55" i="12"/>
  <c r="G25" i="13" s="1"/>
  <c r="I62" i="7"/>
  <c r="H179" i="7" s="1"/>
  <c r="F61" i="11" s="1"/>
  <c r="F87" i="5"/>
  <c r="AG87" i="5" s="1"/>
  <c r="AH87" i="5" s="1"/>
  <c r="AJ196" i="5"/>
  <c r="AK196" i="5" s="1"/>
  <c r="AL196" i="5" s="1"/>
  <c r="J71" i="5"/>
  <c r="AG62" i="6"/>
  <c r="AH62" i="6" s="1"/>
  <c r="F94" i="6"/>
  <c r="AG94" i="6" s="1"/>
  <c r="AH94" i="6" s="1"/>
  <c r="AG64" i="6"/>
  <c r="AH64" i="6" s="1"/>
  <c r="F96" i="6"/>
  <c r="H37" i="13"/>
  <c r="J14" i="12"/>
  <c r="K14" i="12" s="1"/>
  <c r="AG17" i="5"/>
  <c r="AH17" i="5" s="1"/>
  <c r="AI129" i="5"/>
  <c r="AJ129" i="5" s="1"/>
  <c r="AK129" i="5" s="1"/>
  <c r="AL129" i="5" s="1"/>
  <c r="AM129" i="5" s="1"/>
  <c r="F93" i="5"/>
  <c r="G200" i="5"/>
  <c r="G267" i="5" s="1"/>
  <c r="F192" i="5"/>
  <c r="AG192" i="5" s="1"/>
  <c r="AH192" i="5" s="1"/>
  <c r="I158" i="7"/>
  <c r="G26" i="11" s="1"/>
  <c r="J56" i="7"/>
  <c r="K56" i="7" s="1"/>
  <c r="AG53" i="5"/>
  <c r="AH53" i="5" s="1"/>
  <c r="J28" i="4"/>
  <c r="J95" i="3"/>
  <c r="K95" i="3" s="1"/>
  <c r="L95" i="3" s="1"/>
  <c r="AI61" i="5"/>
  <c r="AJ61" i="5" s="1"/>
  <c r="AK61" i="5" s="1"/>
  <c r="AL61" i="5" s="1"/>
  <c r="AM61" i="5" s="1"/>
  <c r="F129" i="5"/>
  <c r="AG129" i="5" s="1"/>
  <c r="AH129" i="5" s="1"/>
  <c r="AI49" i="5"/>
  <c r="AJ49" i="5" s="1"/>
  <c r="AK49" i="5" s="1"/>
  <c r="AL49" i="5" s="1"/>
  <c r="AM49" i="5" s="1"/>
  <c r="O14" i="9"/>
  <c r="AG57" i="5"/>
  <c r="AH57" i="5" s="1"/>
  <c r="F137" i="5"/>
  <c r="AG137" i="5" s="1"/>
  <c r="AH137" i="5" s="1"/>
  <c r="AI37" i="5"/>
  <c r="AJ37" i="5" s="1"/>
  <c r="AK37" i="5" s="1"/>
  <c r="AL37" i="5" s="1"/>
  <c r="AM37" i="5" s="1"/>
  <c r="F98" i="6"/>
  <c r="F130" i="6" s="1"/>
  <c r="AG66" i="6"/>
  <c r="AH66" i="6" s="1"/>
  <c r="H66" i="6"/>
  <c r="H65" i="6"/>
  <c r="H64" i="6"/>
  <c r="H63" i="6"/>
  <c r="H62" i="6"/>
  <c r="H61" i="6"/>
  <c r="H60" i="6"/>
  <c r="H59" i="6"/>
  <c r="H58" i="6"/>
  <c r="H57" i="6"/>
  <c r="H56" i="6"/>
  <c r="H55" i="6"/>
  <c r="H54" i="6"/>
  <c r="H53" i="6"/>
  <c r="H51" i="6"/>
  <c r="H50" i="6"/>
  <c r="J36" i="6"/>
  <c r="AG33" i="6"/>
  <c r="AH33" i="6" s="1"/>
  <c r="F118" i="6"/>
  <c r="AG54" i="6"/>
  <c r="AH54" i="6" s="1"/>
  <c r="AG21" i="6"/>
  <c r="AH21" i="6" s="1"/>
  <c r="H68" i="6"/>
  <c r="R113" i="9"/>
  <c r="R80" i="9"/>
  <c r="I83" i="3"/>
  <c r="I155" i="3"/>
  <c r="G17" i="11" s="1"/>
  <c r="F25" i="16" s="1"/>
  <c r="H38" i="12"/>
  <c r="H42" i="12" s="1"/>
  <c r="F38" i="16" s="1"/>
  <c r="L135" i="7"/>
  <c r="K158" i="7"/>
  <c r="I26" i="11" s="1"/>
  <c r="H78" i="14" s="1"/>
  <c r="P14" i="9"/>
  <c r="L116" i="7"/>
  <c r="J50" i="2"/>
  <c r="K17" i="7" s="1"/>
  <c r="I50" i="2"/>
  <c r="J17" i="7" s="1"/>
  <c r="AJ153" i="5"/>
  <c r="AK153" i="5" s="1"/>
  <c r="AL153" i="5" s="1"/>
  <c r="AJ202" i="5"/>
  <c r="AK202" i="5" s="1"/>
  <c r="AL202" i="5" s="1"/>
  <c r="E42" i="6"/>
  <c r="J90" i="19"/>
  <c r="K90" i="19" s="1"/>
  <c r="E76" i="5"/>
  <c r="E74" i="6"/>
  <c r="E210" i="5"/>
  <c r="R206" i="9"/>
  <c r="R204" i="9"/>
  <c r="R126" i="9"/>
  <c r="R124" i="9"/>
  <c r="R116" i="9"/>
  <c r="R115" i="9"/>
  <c r="R111" i="9"/>
  <c r="R110" i="9"/>
  <c r="P100" i="9"/>
  <c r="P99" i="9"/>
  <c r="R83" i="9"/>
  <c r="R82" i="9"/>
  <c r="P74" i="9"/>
  <c r="P67" i="9"/>
  <c r="P59" i="9"/>
  <c r="R53" i="9"/>
  <c r="E73" i="6"/>
  <c r="E143" i="5"/>
  <c r="E211" i="5"/>
  <c r="E106" i="6"/>
  <c r="G22" i="13"/>
  <c r="I19" i="12"/>
  <c r="H22" i="13" s="1"/>
  <c r="I116" i="7"/>
  <c r="H187" i="7" s="1"/>
  <c r="F69" i="11" s="1"/>
  <c r="G158" i="5"/>
  <c r="G225" i="5" s="1"/>
  <c r="J158" i="7"/>
  <c r="R59" i="9"/>
  <c r="R100" i="9"/>
  <c r="G38" i="13"/>
  <c r="H38" i="13"/>
  <c r="O15" i="9"/>
  <c r="AG67" i="6"/>
  <c r="AH67" i="6" s="1"/>
  <c r="F99" i="6"/>
  <c r="J116" i="7"/>
  <c r="H25" i="11" s="1"/>
  <c r="G30" i="16" s="1"/>
  <c r="P110" i="9"/>
  <c r="P80" i="9"/>
  <c r="R58" i="9"/>
  <c r="P57" i="9"/>
  <c r="P114" i="9"/>
  <c r="S8" i="9"/>
  <c r="R50" i="9"/>
  <c r="P108" i="9"/>
  <c r="P30" i="9"/>
  <c r="R207" i="9"/>
  <c r="P39" i="9"/>
  <c r="R76" i="9"/>
  <c r="P44" i="9"/>
  <c r="P94" i="9"/>
  <c r="R93" i="9"/>
  <c r="P199" i="9"/>
  <c r="P118" i="9"/>
  <c r="P46" i="9"/>
  <c r="R74" i="9"/>
  <c r="R30" i="9"/>
  <c r="P93" i="9"/>
  <c r="R107" i="9"/>
  <c r="P20" i="9"/>
  <c r="P83" i="9"/>
  <c r="R64" i="9"/>
  <c r="P76" i="9"/>
  <c r="P206" i="9"/>
  <c r="R209" i="9"/>
  <c r="R56" i="9"/>
  <c r="R205" i="9"/>
  <c r="P52" i="9"/>
  <c r="P201" i="9"/>
  <c r="P33" i="9"/>
  <c r="P34" i="9"/>
  <c r="P66" i="9"/>
  <c r="P107" i="9"/>
  <c r="P92" i="9"/>
  <c r="R40" i="9"/>
  <c r="P49" i="9"/>
  <c r="P91" i="9"/>
  <c r="P97" i="9"/>
  <c r="P123" i="9"/>
  <c r="P202" i="9"/>
  <c r="P213" i="9"/>
  <c r="P22" i="9"/>
  <c r="P113" i="9"/>
  <c r="P207" i="9"/>
  <c r="P204" i="9"/>
  <c r="P124" i="9"/>
  <c r="R68" i="9"/>
  <c r="R22" i="9"/>
  <c r="P17" i="9"/>
  <c r="P41" i="9"/>
  <c r="P15" i="9"/>
  <c r="R38" i="9"/>
  <c r="P90" i="9"/>
  <c r="P45" i="9"/>
  <c r="P122" i="9"/>
  <c r="P54" i="9"/>
  <c r="P209" i="9"/>
  <c r="P36" i="9"/>
  <c r="P125" i="9"/>
  <c r="R24" i="9"/>
  <c r="P43" i="9"/>
  <c r="R84" i="9"/>
  <c r="R70" i="9"/>
  <c r="R105" i="9"/>
  <c r="P208" i="9"/>
  <c r="P87" i="9"/>
  <c r="P200" i="9"/>
  <c r="Y8" i="9"/>
  <c r="Y54" i="9" s="1"/>
  <c r="P211" i="9"/>
  <c r="P18" i="9"/>
  <c r="P70" i="9"/>
  <c r="P68" i="9"/>
  <c r="R109" i="9"/>
  <c r="P48" i="9"/>
  <c r="P111" i="9"/>
  <c r="P116" i="9"/>
  <c r="P25" i="9"/>
  <c r="P106" i="9"/>
  <c r="R201" i="9"/>
  <c r="P86" i="9"/>
  <c r="R72" i="9"/>
  <c r="R48" i="9"/>
  <c r="P115" i="9"/>
  <c r="R213" i="9"/>
  <c r="R16" i="9"/>
  <c r="P117" i="9"/>
  <c r="P112" i="9"/>
  <c r="P95" i="9"/>
  <c r="P16" i="9"/>
  <c r="P65" i="9"/>
  <c r="R101" i="9"/>
  <c r="P27" i="9"/>
  <c r="U8" i="9"/>
  <c r="U108" i="9" s="1"/>
  <c r="R42" i="9"/>
  <c r="P121" i="9"/>
  <c r="R119" i="9"/>
  <c r="P19" i="9"/>
  <c r="P210" i="9"/>
  <c r="R28" i="9"/>
  <c r="P89" i="9"/>
  <c r="P50" i="9"/>
  <c r="P96" i="9"/>
  <c r="R121" i="9"/>
  <c r="R125" i="9"/>
  <c r="R89" i="9"/>
  <c r="P81" i="9"/>
  <c r="R78" i="9"/>
  <c r="P38" i="9"/>
  <c r="P84" i="9"/>
  <c r="R95" i="9"/>
  <c r="P71" i="9"/>
  <c r="R86" i="9"/>
  <c r="P21" i="9"/>
  <c r="P51" i="9"/>
  <c r="R97" i="9"/>
  <c r="P35" i="9"/>
  <c r="R46" i="9"/>
  <c r="P119" i="9"/>
  <c r="P32" i="9"/>
  <c r="R36" i="9"/>
  <c r="R52" i="9"/>
  <c r="R44" i="9"/>
  <c r="P64" i="9"/>
  <c r="R32" i="9"/>
  <c r="P58" i="9"/>
  <c r="P55" i="9"/>
  <c r="R26" i="9"/>
  <c r="R34" i="9"/>
  <c r="R211" i="9"/>
  <c r="R66" i="9"/>
  <c r="R60" i="9"/>
  <c r="P60" i="9"/>
  <c r="P77" i="9"/>
  <c r="R91" i="9"/>
  <c r="P29" i="9"/>
  <c r="R99" i="9"/>
  <c r="P23" i="9"/>
  <c r="R117" i="9"/>
  <c r="P24" i="9"/>
  <c r="R199" i="9"/>
  <c r="P26" i="9"/>
  <c r="R118" i="9"/>
  <c r="R102" i="9"/>
  <c r="R94" i="9"/>
  <c r="R77" i="9"/>
  <c r="R69" i="9"/>
  <c r="R61" i="9"/>
  <c r="R45" i="9"/>
  <c r="R37" i="9"/>
  <c r="R29" i="9"/>
  <c r="R21" i="9"/>
  <c r="R17" i="9"/>
  <c r="R208" i="9"/>
  <c r="R120" i="9"/>
  <c r="R104" i="9"/>
  <c r="R96" i="9"/>
  <c r="R71" i="9"/>
  <c r="R55" i="9"/>
  <c r="R47" i="9"/>
  <c r="R31" i="9"/>
  <c r="R23" i="9"/>
  <c r="R18" i="9"/>
  <c r="R210" i="9"/>
  <c r="R122" i="9"/>
  <c r="R114" i="9"/>
  <c r="R98" i="9"/>
  <c r="R81" i="9"/>
  <c r="R19" i="9"/>
  <c r="R212" i="9"/>
  <c r="R108" i="9"/>
  <c r="R75" i="9"/>
  <c r="R67" i="9"/>
  <c r="R51" i="9"/>
  <c r="R35" i="9"/>
  <c r="R20" i="9"/>
  <c r="H9" i="7"/>
  <c r="H87" i="7"/>
  <c r="I87" i="7" s="1"/>
  <c r="J87" i="7" s="1"/>
  <c r="K87" i="7" s="1"/>
  <c r="L87" i="7" s="1"/>
  <c r="M87" i="7" s="1"/>
  <c r="F55" i="10"/>
  <c r="G12" i="10" s="1"/>
  <c r="G55" i="10" s="1"/>
  <c r="H12" i="10" s="1"/>
  <c r="H55" i="10" s="1"/>
  <c r="I12" i="10" s="1"/>
  <c r="I55" i="10" s="1"/>
  <c r="J12" i="10" s="1"/>
  <c r="I35" i="11"/>
  <c r="H38" i="11"/>
  <c r="G32" i="16"/>
  <c r="J97" i="3"/>
  <c r="T12" i="21"/>
  <c r="L18" i="21"/>
  <c r="T18" i="21" s="1"/>
  <c r="F56" i="10"/>
  <c r="G13" i="10" s="1"/>
  <c r="G56" i="10" s="1"/>
  <c r="H13" i="10" s="1"/>
  <c r="AG47" i="4"/>
  <c r="AH47" i="4" s="1"/>
  <c r="AG25" i="6"/>
  <c r="AH25" i="6" s="1"/>
  <c r="F58" i="6"/>
  <c r="AG56" i="5"/>
  <c r="AH56" i="5" s="1"/>
  <c r="F124" i="5"/>
  <c r="AG124" i="5" s="1"/>
  <c r="AH124" i="5" s="1"/>
  <c r="AG38" i="5"/>
  <c r="AH38" i="5" s="1"/>
  <c r="F106" i="5"/>
  <c r="AG106" i="5" s="1"/>
  <c r="AH106" i="5" s="1"/>
  <c r="AG26" i="5"/>
  <c r="AH26" i="5" s="1"/>
  <c r="F94" i="5"/>
  <c r="AG94" i="5" s="1"/>
  <c r="AH94" i="5" s="1"/>
  <c r="I20" i="12"/>
  <c r="I21" i="12"/>
  <c r="K116" i="7"/>
  <c r="I25" i="11" s="1"/>
  <c r="H30" i="16" s="1"/>
  <c r="I48" i="12"/>
  <c r="F98" i="5"/>
  <c r="AG98" i="5" s="1"/>
  <c r="AH98" i="5" s="1"/>
  <c r="AI27" i="5"/>
  <c r="AJ27" i="5" s="1"/>
  <c r="AK27" i="5" s="1"/>
  <c r="AL27" i="5" s="1"/>
  <c r="AM27" i="5" s="1"/>
  <c r="K157" i="3"/>
  <c r="H42" i="16"/>
  <c r="F44" i="16"/>
  <c r="F52" i="14"/>
  <c r="F53" i="14"/>
  <c r="H41" i="16"/>
  <c r="J27" i="2"/>
  <c r="G37" i="2"/>
  <c r="H16" i="7" s="1"/>
  <c r="I37" i="10"/>
  <c r="K95" i="7" s="1"/>
  <c r="G163" i="5"/>
  <c r="AI163" i="5" s="1"/>
  <c r="AJ163" i="5" s="1"/>
  <c r="AI96" i="5"/>
  <c r="AJ96" i="5" s="1"/>
  <c r="AK96" i="5" s="1"/>
  <c r="AL96" i="5" s="1"/>
  <c r="AM96" i="5" s="1"/>
  <c r="G222" i="5"/>
  <c r="AI155" i="5"/>
  <c r="AJ155" i="5" s="1"/>
  <c r="AK155" i="5" s="1"/>
  <c r="AL155" i="5" s="1"/>
  <c r="J196" i="5"/>
  <c r="G269" i="5"/>
  <c r="G336" i="5" s="1"/>
  <c r="G403" i="5" s="1"/>
  <c r="E186" i="5"/>
  <c r="F111" i="5"/>
  <c r="AG111" i="5" s="1"/>
  <c r="AH111" i="5" s="1"/>
  <c r="G128" i="5"/>
  <c r="F99" i="5"/>
  <c r="AG99" i="5" s="1"/>
  <c r="AH99" i="5" s="1"/>
  <c r="F84" i="5"/>
  <c r="AG84" i="5" s="1"/>
  <c r="AH84" i="5" s="1"/>
  <c r="AI136" i="5"/>
  <c r="AJ136" i="5" s="1"/>
  <c r="AK136" i="5" s="1"/>
  <c r="AL136" i="5" s="1"/>
  <c r="AM136" i="5" s="1"/>
  <c r="G124" i="5"/>
  <c r="AI24" i="5"/>
  <c r="AJ24" i="5" s="1"/>
  <c r="AK24" i="5" s="1"/>
  <c r="AL24" i="5" s="1"/>
  <c r="AM24" i="5" s="1"/>
  <c r="G161" i="5"/>
  <c r="G228" i="5" s="1"/>
  <c r="E127" i="5"/>
  <c r="AI28" i="5"/>
  <c r="AJ28" i="5" s="1"/>
  <c r="AK28" i="5" s="1"/>
  <c r="AL28" i="5" s="1"/>
  <c r="AM28" i="5" s="1"/>
  <c r="AI88" i="5"/>
  <c r="AJ88" i="5" s="1"/>
  <c r="AK88" i="5" s="1"/>
  <c r="AL88" i="5" s="1"/>
  <c r="AM88" i="5" s="1"/>
  <c r="H130" i="5"/>
  <c r="F162" i="5"/>
  <c r="AI52" i="5"/>
  <c r="AJ52" i="5" s="1"/>
  <c r="AK52" i="5" s="1"/>
  <c r="AL52" i="5" s="1"/>
  <c r="AM52" i="5" s="1"/>
  <c r="F115" i="5"/>
  <c r="F103" i="5"/>
  <c r="AG103" i="5" s="1"/>
  <c r="AH103" i="5" s="1"/>
  <c r="G116" i="5"/>
  <c r="AI68" i="5"/>
  <c r="AJ68" i="5" s="1"/>
  <c r="AK68" i="5" s="1"/>
  <c r="AL68" i="5" s="1"/>
  <c r="AM68" i="5" s="1"/>
  <c r="F119" i="5"/>
  <c r="AG119" i="5" s="1"/>
  <c r="AH119" i="5" s="1"/>
  <c r="AG55" i="5"/>
  <c r="AH55" i="5" s="1"/>
  <c r="G108" i="5"/>
  <c r="AI36" i="5"/>
  <c r="AJ36" i="5" s="1"/>
  <c r="AK36" i="5" s="1"/>
  <c r="AL36" i="5" s="1"/>
  <c r="AM36" i="5" s="1"/>
  <c r="AI20" i="5"/>
  <c r="AJ20" i="5" s="1"/>
  <c r="AK20" i="5" s="1"/>
  <c r="AL20" i="5" s="1"/>
  <c r="AM20" i="5" s="1"/>
  <c r="AI21" i="5"/>
  <c r="AJ21" i="5" s="1"/>
  <c r="AK21" i="5" s="1"/>
  <c r="AL21" i="5" s="1"/>
  <c r="AM21" i="5" s="1"/>
  <c r="J153" i="5"/>
  <c r="G220" i="5"/>
  <c r="F198" i="5"/>
  <c r="AG198" i="5" s="1"/>
  <c r="AH198" i="5" s="1"/>
  <c r="AI162" i="5"/>
  <c r="AJ162" i="5" s="1"/>
  <c r="AK162" i="5" s="1"/>
  <c r="AL162" i="5" s="1"/>
  <c r="G263" i="5"/>
  <c r="G330" i="5" s="1"/>
  <c r="G397" i="5" s="1"/>
  <c r="G235" i="5"/>
  <c r="G302" i="5" s="1"/>
  <c r="G369" i="5" s="1"/>
  <c r="F51" i="6"/>
  <c r="AI165" i="5"/>
  <c r="AJ165" i="5" s="1"/>
  <c r="AK165" i="5" s="1"/>
  <c r="AL165" i="5" s="1"/>
  <c r="AI249" i="5"/>
  <c r="AI168" i="5"/>
  <c r="AJ168" i="5" s="1"/>
  <c r="AK168" i="5" s="1"/>
  <c r="AL168" i="5" s="1"/>
  <c r="F127" i="5"/>
  <c r="AG127" i="5" s="1"/>
  <c r="AH127" i="5" s="1"/>
  <c r="F105" i="5"/>
  <c r="AG105" i="5" s="1"/>
  <c r="AH105" i="5" s="1"/>
  <c r="E8" i="5"/>
  <c r="F101" i="5"/>
  <c r="AI17" i="5"/>
  <c r="AJ17" i="5" s="1"/>
  <c r="AK17" i="5" s="1"/>
  <c r="AL17" i="5" s="1"/>
  <c r="AM17" i="5" s="1"/>
  <c r="F87" i="6"/>
  <c r="AI112" i="5"/>
  <c r="AJ112" i="5" s="1"/>
  <c r="AK112" i="5" s="1"/>
  <c r="AL112" i="5" s="1"/>
  <c r="AM112" i="5" s="1"/>
  <c r="AI44" i="5"/>
  <c r="AJ44" i="5" s="1"/>
  <c r="AK44" i="5" s="1"/>
  <c r="AL44" i="5" s="1"/>
  <c r="AM44" i="5" s="1"/>
  <c r="AJ125" i="5"/>
  <c r="AK125" i="5" s="1"/>
  <c r="AL125" i="5" s="1"/>
  <c r="AM125" i="5" s="1"/>
  <c r="AJ133" i="5"/>
  <c r="AK133" i="5" s="1"/>
  <c r="AL133" i="5" s="1"/>
  <c r="AM133" i="5" s="1"/>
  <c r="AJ94" i="5"/>
  <c r="AK94" i="5" s="1"/>
  <c r="AL94" i="5" s="1"/>
  <c r="AM94" i="5" s="1"/>
  <c r="AJ95" i="5"/>
  <c r="AK95" i="5" s="1"/>
  <c r="AL95" i="5" s="1"/>
  <c r="AM95" i="5" s="1"/>
  <c r="AJ98" i="5"/>
  <c r="AK98" i="5" s="1"/>
  <c r="AL98" i="5" s="1"/>
  <c r="AM98" i="5" s="1"/>
  <c r="AJ106" i="5"/>
  <c r="AK106" i="5" s="1"/>
  <c r="AL106" i="5" s="1"/>
  <c r="AM106" i="5" s="1"/>
  <c r="AJ102" i="5"/>
  <c r="AK102" i="5" s="1"/>
  <c r="AL102" i="5" s="1"/>
  <c r="AM102" i="5" s="1"/>
  <c r="AJ86" i="5"/>
  <c r="AK86" i="5" s="1"/>
  <c r="AL86" i="5" s="1"/>
  <c r="AM86" i="5" s="1"/>
  <c r="AJ87" i="5"/>
  <c r="AK87" i="5" s="1"/>
  <c r="AL87" i="5" s="1"/>
  <c r="AM87" i="5" s="1"/>
  <c r="AJ91" i="5"/>
  <c r="AK91" i="5" s="1"/>
  <c r="AL91" i="5" s="1"/>
  <c r="AM91" i="5" s="1"/>
  <c r="AJ114" i="5"/>
  <c r="AK114" i="5" s="1"/>
  <c r="AL114" i="5" s="1"/>
  <c r="AM114" i="5" s="1"/>
  <c r="I150" i="3"/>
  <c r="J150" i="3" s="1"/>
  <c r="K150" i="3" s="1"/>
  <c r="L150" i="3" s="1"/>
  <c r="M150" i="3" s="1"/>
  <c r="G16" i="16"/>
  <c r="H16" i="16" s="1"/>
  <c r="I16" i="16" s="1"/>
  <c r="J16" i="16" s="1"/>
  <c r="G26" i="10"/>
  <c r="F174" i="5"/>
  <c r="AG174" i="5" s="1"/>
  <c r="AH174" i="5" s="1"/>
  <c r="G198" i="5"/>
  <c r="AI131" i="5"/>
  <c r="AJ131" i="5" s="1"/>
  <c r="AK131" i="5" s="1"/>
  <c r="AL131" i="5" s="1"/>
  <c r="AM131" i="5" s="1"/>
  <c r="F163" i="5"/>
  <c r="AG163" i="5" s="1"/>
  <c r="AH163" i="5" s="1"/>
  <c r="G201" i="5"/>
  <c r="AI134" i="5"/>
  <c r="AJ134" i="5" s="1"/>
  <c r="AK134" i="5" s="1"/>
  <c r="AL134" i="5" s="1"/>
  <c r="AM134" i="5" s="1"/>
  <c r="AG39" i="5"/>
  <c r="AH39" i="5" s="1"/>
  <c r="F60" i="10"/>
  <c r="G17" i="10" s="1"/>
  <c r="G60" i="10" s="1"/>
  <c r="H17" i="10" s="1"/>
  <c r="H60" i="10" s="1"/>
  <c r="I17" i="10" s="1"/>
  <c r="I60" i="10" s="1"/>
  <c r="J17" i="10" s="1"/>
  <c r="J60" i="10" s="1"/>
  <c r="K17" i="10" s="1"/>
  <c r="K60" i="10" s="1"/>
  <c r="F68" i="6"/>
  <c r="J104" i="5"/>
  <c r="I104" i="5" s="1"/>
  <c r="F135" i="5"/>
  <c r="AG135" i="5" s="1"/>
  <c r="AH135" i="5" s="1"/>
  <c r="L93" i="19"/>
  <c r="L94" i="19" s="1"/>
  <c r="L95" i="19" s="1"/>
  <c r="L96" i="19" s="1"/>
  <c r="L97" i="19" s="1"/>
  <c r="L98" i="19" s="1"/>
  <c r="L99" i="19" s="1"/>
  <c r="L100" i="19" s="1"/>
  <c r="L101" i="19" s="1"/>
  <c r="L102" i="19" s="1"/>
  <c r="L103" i="19" s="1"/>
  <c r="L104" i="19" s="1"/>
  <c r="L105" i="19" s="1"/>
  <c r="L106" i="19" s="1"/>
  <c r="L107" i="19" s="1"/>
  <c r="L108" i="19" s="1"/>
  <c r="L109" i="19" s="1"/>
  <c r="L110" i="19" s="1"/>
  <c r="L111" i="19" s="1"/>
  <c r="L112" i="19" s="1"/>
  <c r="L113" i="19" s="1"/>
  <c r="L114" i="19" s="1"/>
  <c r="L115" i="19" s="1"/>
  <c r="L116" i="19" s="1"/>
  <c r="L117" i="19" s="1"/>
  <c r="L118" i="19" s="1"/>
  <c r="L119" i="19" s="1"/>
  <c r="L120" i="19" s="1"/>
  <c r="L121" i="19" s="1"/>
  <c r="L122" i="19" s="1"/>
  <c r="L123" i="19" s="1"/>
  <c r="L124" i="19" s="1"/>
  <c r="L125" i="19" s="1"/>
  <c r="L126" i="19" s="1"/>
  <c r="L127" i="19" s="1"/>
  <c r="L128" i="19" s="1"/>
  <c r="L129" i="19" s="1"/>
  <c r="L130" i="19" s="1"/>
  <c r="L131" i="19" s="1"/>
  <c r="L132" i="19" s="1"/>
  <c r="F190" i="5"/>
  <c r="AG190" i="5" s="1"/>
  <c r="AH190" i="5" s="1"/>
  <c r="AI109" i="5"/>
  <c r="AJ109" i="5" s="1"/>
  <c r="AK109" i="5" s="1"/>
  <c r="AL109" i="5" s="1"/>
  <c r="AM109" i="5" s="1"/>
  <c r="G176" i="5"/>
  <c r="G177" i="5"/>
  <c r="AI110" i="5"/>
  <c r="AJ110" i="5" s="1"/>
  <c r="AK110" i="5" s="1"/>
  <c r="AL110" i="5" s="1"/>
  <c r="AM110" i="5" s="1"/>
  <c r="AI25" i="5"/>
  <c r="AJ25" i="5" s="1"/>
  <c r="AK25" i="5" s="1"/>
  <c r="AL25" i="5" s="1"/>
  <c r="AM25" i="5" s="1"/>
  <c r="AG57" i="6"/>
  <c r="AH57" i="6" s="1"/>
  <c r="G154" i="5"/>
  <c r="F37" i="10"/>
  <c r="AG89" i="6"/>
  <c r="AH89" i="6" s="1"/>
  <c r="F121" i="6"/>
  <c r="F171" i="5"/>
  <c r="AG171" i="5" s="1"/>
  <c r="AH171" i="5" s="1"/>
  <c r="AI138" i="5"/>
  <c r="AJ138" i="5" s="1"/>
  <c r="AK138" i="5" s="1"/>
  <c r="AL138" i="5" s="1"/>
  <c r="AM138" i="5" s="1"/>
  <c r="G205" i="5"/>
  <c r="AJ18" i="5"/>
  <c r="AK18" i="5" s="1"/>
  <c r="AL18" i="5" s="1"/>
  <c r="AM18" i="5" s="1"/>
  <c r="AJ45" i="5"/>
  <c r="AK45" i="5" s="1"/>
  <c r="AL45" i="5" s="1"/>
  <c r="AM45" i="5" s="1"/>
  <c r="AJ32" i="5"/>
  <c r="AK32" i="5" s="1"/>
  <c r="AL32" i="5" s="1"/>
  <c r="AM32" i="5" s="1"/>
  <c r="AJ56" i="5"/>
  <c r="AK56" i="5" s="1"/>
  <c r="AL56" i="5" s="1"/>
  <c r="AM56" i="5" s="1"/>
  <c r="AJ48" i="5"/>
  <c r="AK48" i="5" s="1"/>
  <c r="AL48" i="5" s="1"/>
  <c r="AM48" i="5" s="1"/>
  <c r="AJ22" i="5"/>
  <c r="AK22" i="5" s="1"/>
  <c r="AL22" i="5" s="1"/>
  <c r="AM22" i="5" s="1"/>
  <c r="G184" i="5"/>
  <c r="AI117" i="5"/>
  <c r="AJ117" i="5" s="1"/>
  <c r="AK117" i="5" s="1"/>
  <c r="AL117" i="5" s="1"/>
  <c r="AM117" i="5" s="1"/>
  <c r="AI103" i="5"/>
  <c r="AJ103" i="5" s="1"/>
  <c r="AK103" i="5" s="1"/>
  <c r="AL103" i="5" s="1"/>
  <c r="AM103" i="5" s="1"/>
  <c r="G170" i="5"/>
  <c r="AI99" i="5"/>
  <c r="AJ99" i="5" s="1"/>
  <c r="AK99" i="5" s="1"/>
  <c r="AL99" i="5" s="1"/>
  <c r="AM99" i="5" s="1"/>
  <c r="G166" i="5"/>
  <c r="J173" i="5"/>
  <c r="G189" i="5"/>
  <c r="AI122" i="5"/>
  <c r="AJ122" i="5" s="1"/>
  <c r="AK122" i="5" s="1"/>
  <c r="AL122" i="5" s="1"/>
  <c r="AM122" i="5" s="1"/>
  <c r="G185" i="5"/>
  <c r="AI118" i="5"/>
  <c r="AJ118" i="5" s="1"/>
  <c r="AK118" i="5" s="1"/>
  <c r="AL118" i="5" s="1"/>
  <c r="AM118" i="5" s="1"/>
  <c r="AI104" i="5"/>
  <c r="AJ104" i="5" s="1"/>
  <c r="AK104" i="5" s="1"/>
  <c r="AL104" i="5" s="1"/>
  <c r="G171" i="5"/>
  <c r="J189" i="5"/>
  <c r="AI127" i="5"/>
  <c r="AJ127" i="5" s="1"/>
  <c r="AK127" i="5" s="1"/>
  <c r="AL127" i="5" s="1"/>
  <c r="AM127" i="5" s="1"/>
  <c r="G190" i="5"/>
  <c r="AI123" i="5"/>
  <c r="AJ123" i="5" s="1"/>
  <c r="AK123" i="5" s="1"/>
  <c r="AL123" i="5" s="1"/>
  <c r="AM123" i="5" s="1"/>
  <c r="G186" i="5"/>
  <c r="AI119" i="5"/>
  <c r="AJ119" i="5" s="1"/>
  <c r="AK119" i="5" s="1"/>
  <c r="AL119" i="5" s="1"/>
  <c r="AM119" i="5" s="1"/>
  <c r="AI105" i="5"/>
  <c r="AJ105" i="5" s="1"/>
  <c r="AK105" i="5" s="1"/>
  <c r="AL105" i="5" s="1"/>
  <c r="AM105" i="5" s="1"/>
  <c r="G172" i="5"/>
  <c r="J205" i="5"/>
  <c r="H26" i="10"/>
  <c r="E61" i="6"/>
  <c r="F56" i="6"/>
  <c r="AI29" i="5"/>
  <c r="AJ29" i="5" s="1"/>
  <c r="AK29" i="5" s="1"/>
  <c r="AL29" i="5" s="1"/>
  <c r="AM29" i="5" s="1"/>
  <c r="AI16" i="5"/>
  <c r="AJ16" i="5" s="1"/>
  <c r="AK16" i="5" s="1"/>
  <c r="AL16" i="5" s="1"/>
  <c r="AM16" i="5" s="1"/>
  <c r="AI90" i="5"/>
  <c r="AJ90" i="5" s="1"/>
  <c r="AK90" i="5" s="1"/>
  <c r="AL90" i="5" s="1"/>
  <c r="AM90" i="5" s="1"/>
  <c r="G157" i="5"/>
  <c r="G159" i="5"/>
  <c r="AI92" i="5"/>
  <c r="AJ92" i="5" s="1"/>
  <c r="AK92" i="5" s="1"/>
  <c r="AL92" i="5" s="1"/>
  <c r="AM92" i="5" s="1"/>
  <c r="M134" i="3"/>
  <c r="K78" i="3"/>
  <c r="J83" i="3"/>
  <c r="AG27" i="5"/>
  <c r="AH27" i="5" s="1"/>
  <c r="AG23" i="5"/>
  <c r="J65" i="6"/>
  <c r="H26" i="3" l="1"/>
  <c r="P26" i="3"/>
  <c r="P28" i="3" s="1"/>
  <c r="T26" i="3"/>
  <c r="H35" i="2"/>
  <c r="F43" i="16" s="1"/>
  <c r="H27" i="3"/>
  <c r="AM84" i="5"/>
  <c r="G58" i="2"/>
  <c r="H53" i="2"/>
  <c r="G34" i="14"/>
  <c r="J35" i="3"/>
  <c r="J33" i="3"/>
  <c r="J39" i="3"/>
  <c r="J44" i="3" s="1"/>
  <c r="J34" i="3"/>
  <c r="J20" i="3"/>
  <c r="J36" i="3"/>
  <c r="K39" i="3"/>
  <c r="K44" i="3" s="1"/>
  <c r="K34" i="3"/>
  <c r="K35" i="3"/>
  <c r="K36" i="3"/>
  <c r="K33" i="3"/>
  <c r="K20" i="3"/>
  <c r="F40" i="16"/>
  <c r="L14" i="12"/>
  <c r="P16" i="6"/>
  <c r="P36" i="6" s="1"/>
  <c r="I37" i="2"/>
  <c r="J16" i="7" s="1"/>
  <c r="G67" i="14"/>
  <c r="G52" i="14"/>
  <c r="G53" i="14"/>
  <c r="G44" i="16"/>
  <c r="I14" i="3"/>
  <c r="AF54" i="6"/>
  <c r="AB62" i="6"/>
  <c r="AF62" i="6"/>
  <c r="AM104" i="5"/>
  <c r="AK397" i="5"/>
  <c r="AL397" i="5" s="1"/>
  <c r="G464" i="5"/>
  <c r="AI397" i="5"/>
  <c r="AJ397" i="5" s="1"/>
  <c r="L158" i="7"/>
  <c r="M135" i="7"/>
  <c r="M158" i="7" s="1"/>
  <c r="AF50" i="6"/>
  <c r="AF55" i="6"/>
  <c r="AF59" i="6"/>
  <c r="AF63" i="6"/>
  <c r="AF120" i="5"/>
  <c r="AF104" i="5"/>
  <c r="G465" i="5"/>
  <c r="AK398" i="5"/>
  <c r="AL398" i="5" s="1"/>
  <c r="AI398" i="5"/>
  <c r="AJ398" i="5" s="1"/>
  <c r="AF101" i="5"/>
  <c r="AF117" i="5"/>
  <c r="AM135" i="5"/>
  <c r="H155" i="5"/>
  <c r="AF88" i="5"/>
  <c r="AF115" i="5"/>
  <c r="H166" i="5"/>
  <c r="AF99" i="5"/>
  <c r="AF87" i="5"/>
  <c r="AF134" i="5"/>
  <c r="H181" i="5"/>
  <c r="AF114" i="5"/>
  <c r="AF97" i="5"/>
  <c r="AF94" i="5"/>
  <c r="H192" i="5"/>
  <c r="AF125" i="5"/>
  <c r="H172" i="5"/>
  <c r="AF105" i="5"/>
  <c r="AF47" i="4"/>
  <c r="AF44" i="4"/>
  <c r="AF43" i="4"/>
  <c r="AA67" i="6"/>
  <c r="AF67" i="6"/>
  <c r="AF51" i="4"/>
  <c r="AF130" i="5"/>
  <c r="L187" i="7"/>
  <c r="J69" i="11" s="1"/>
  <c r="AF51" i="6"/>
  <c r="AF56" i="6"/>
  <c r="AF60" i="6"/>
  <c r="AF64" i="6"/>
  <c r="J37" i="13"/>
  <c r="K37" i="13"/>
  <c r="K40" i="13" s="1"/>
  <c r="AF132" i="5"/>
  <c r="AF116" i="5"/>
  <c r="AF48" i="4"/>
  <c r="AK388" i="5"/>
  <c r="AL388" i="5" s="1"/>
  <c r="G455" i="5"/>
  <c r="AI388" i="5"/>
  <c r="M68" i="7"/>
  <c r="L181" i="7"/>
  <c r="AM93" i="5"/>
  <c r="AI379" i="5"/>
  <c r="AJ379" i="5" s="1"/>
  <c r="G446" i="5"/>
  <c r="AK379" i="5"/>
  <c r="AL379" i="5" s="1"/>
  <c r="AF123" i="5"/>
  <c r="AF92" i="5"/>
  <c r="H202" i="5"/>
  <c r="AF135" i="5"/>
  <c r="H178" i="5"/>
  <c r="AF111" i="5"/>
  <c r="AF85" i="5"/>
  <c r="AF91" i="5"/>
  <c r="AF126" i="5"/>
  <c r="AF110" i="5"/>
  <c r="H203" i="5"/>
  <c r="AF136" i="5"/>
  <c r="H165" i="5"/>
  <c r="AF98" i="5"/>
  <c r="AF121" i="5"/>
  <c r="AF84" i="5"/>
  <c r="Y74" i="4"/>
  <c r="AF74" i="4"/>
  <c r="AF46" i="4"/>
  <c r="AF45" i="4"/>
  <c r="AM85" i="5"/>
  <c r="AF50" i="4"/>
  <c r="AK357" i="5"/>
  <c r="AL357" i="5" s="1"/>
  <c r="G424" i="5"/>
  <c r="AI357" i="5"/>
  <c r="AJ357" i="5" s="1"/>
  <c r="G432" i="5"/>
  <c r="AI365" i="5"/>
  <c r="AJ365" i="5" s="1"/>
  <c r="AK365" i="5"/>
  <c r="AL365" i="5" s="1"/>
  <c r="AK450" i="5"/>
  <c r="AL450" i="5" s="1"/>
  <c r="AI450" i="5"/>
  <c r="AJ450" i="5" s="1"/>
  <c r="AK403" i="5"/>
  <c r="AL403" i="5" s="1"/>
  <c r="G470" i="5"/>
  <c r="AI403" i="5"/>
  <c r="AJ403" i="5" s="1"/>
  <c r="AF68" i="6"/>
  <c r="AF53" i="6"/>
  <c r="AF57" i="6"/>
  <c r="AF61" i="6"/>
  <c r="AF65" i="6"/>
  <c r="L156" i="3"/>
  <c r="M95" i="3"/>
  <c r="M156" i="3" s="1"/>
  <c r="AF128" i="5"/>
  <c r="AF112" i="5"/>
  <c r="G467" i="5"/>
  <c r="AK400" i="5"/>
  <c r="AL400" i="5" s="1"/>
  <c r="AI400" i="5"/>
  <c r="AJ400" i="5" s="1"/>
  <c r="AF90" i="5"/>
  <c r="G461" i="5"/>
  <c r="AK394" i="5"/>
  <c r="AL394" i="5" s="1"/>
  <c r="AI394" i="5"/>
  <c r="AJ394" i="5" s="1"/>
  <c r="G441" i="5"/>
  <c r="AK374" i="5"/>
  <c r="AL374" i="5" s="1"/>
  <c r="AI374" i="5"/>
  <c r="AJ374" i="5" s="1"/>
  <c r="H62" i="11"/>
  <c r="AF137" i="5"/>
  <c r="AK375" i="5"/>
  <c r="AL375" i="5" s="1"/>
  <c r="G442" i="5"/>
  <c r="AI375" i="5"/>
  <c r="AJ375" i="5" s="1"/>
  <c r="AF127" i="5"/>
  <c r="AF96" i="5"/>
  <c r="H198" i="5"/>
  <c r="AF131" i="5"/>
  <c r="H174" i="5"/>
  <c r="AF107" i="5"/>
  <c r="AF93" i="5"/>
  <c r="AF95" i="5"/>
  <c r="H189" i="5"/>
  <c r="AF122" i="5"/>
  <c r="H173" i="5"/>
  <c r="AF106" i="5"/>
  <c r="H167" i="5"/>
  <c r="AF100" i="5"/>
  <c r="AF133" i="5"/>
  <c r="H180" i="5"/>
  <c r="AF113" i="5"/>
  <c r="AF89" i="5"/>
  <c r="H73" i="4"/>
  <c r="AF65" i="4"/>
  <c r="AF49" i="6"/>
  <c r="AF42" i="4"/>
  <c r="AI369" i="5"/>
  <c r="AJ369" i="5" s="1"/>
  <c r="G436" i="5"/>
  <c r="AK369" i="5"/>
  <c r="AL369" i="5" s="1"/>
  <c r="AF58" i="6"/>
  <c r="AF66" i="6"/>
  <c r="AF124" i="5"/>
  <c r="AF108" i="5"/>
  <c r="H186" i="5"/>
  <c r="AF119" i="5"/>
  <c r="AF103" i="5"/>
  <c r="AF138" i="5"/>
  <c r="H185" i="5"/>
  <c r="AF118" i="5"/>
  <c r="AF102" i="5"/>
  <c r="AF86" i="5"/>
  <c r="AF129" i="5"/>
  <c r="H176" i="5"/>
  <c r="AF109" i="5"/>
  <c r="AF52" i="6"/>
  <c r="J175" i="5"/>
  <c r="R175" i="5" s="1"/>
  <c r="I108" i="5"/>
  <c r="J191" i="5"/>
  <c r="I124" i="5"/>
  <c r="AF49" i="4"/>
  <c r="AK361" i="5"/>
  <c r="AL361" i="5" s="1"/>
  <c r="G428" i="5"/>
  <c r="AI361" i="5"/>
  <c r="AJ361" i="5" s="1"/>
  <c r="AI363" i="5"/>
  <c r="AJ363" i="5" s="1"/>
  <c r="G430" i="5"/>
  <c r="AK363" i="5"/>
  <c r="AL363" i="5" s="1"/>
  <c r="G433" i="5"/>
  <c r="AK366" i="5"/>
  <c r="AL366" i="5" s="1"/>
  <c r="AI366" i="5"/>
  <c r="AJ366" i="5" s="1"/>
  <c r="K25" i="11"/>
  <c r="J30" i="16" s="1"/>
  <c r="M187" i="7"/>
  <c r="K69" i="11" s="1"/>
  <c r="K50" i="2"/>
  <c r="L17" i="7" s="1"/>
  <c r="L50" i="2"/>
  <c r="M17" i="7" s="1"/>
  <c r="I42" i="16"/>
  <c r="AJ388" i="5"/>
  <c r="AJ383" i="5"/>
  <c r="T25" i="9"/>
  <c r="W8" i="9"/>
  <c r="T14" i="9"/>
  <c r="T61" i="9"/>
  <c r="T116" i="9"/>
  <c r="T38" i="9"/>
  <c r="T102" i="9"/>
  <c r="AA8" i="9"/>
  <c r="AA108" i="9" s="1"/>
  <c r="T65" i="9"/>
  <c r="H34" i="14"/>
  <c r="J155" i="3"/>
  <c r="H17" i="11" s="1"/>
  <c r="G25" i="16" s="1"/>
  <c r="T82" i="9"/>
  <c r="T36" i="9"/>
  <c r="T41" i="9"/>
  <c r="R14" i="9"/>
  <c r="T204" i="9"/>
  <c r="T35" i="9"/>
  <c r="T93" i="9"/>
  <c r="K94" i="3"/>
  <c r="K155" i="3" s="1"/>
  <c r="I17" i="11" s="1"/>
  <c r="H25" i="16" s="1"/>
  <c r="T46" i="9"/>
  <c r="T60" i="9"/>
  <c r="H87" i="4"/>
  <c r="AF87" i="4" s="1"/>
  <c r="T112" i="9"/>
  <c r="T78" i="9"/>
  <c r="AA27" i="6"/>
  <c r="AB27" i="6"/>
  <c r="AA28" i="6"/>
  <c r="AB28" i="6"/>
  <c r="AA32" i="6"/>
  <c r="AB32" i="6"/>
  <c r="AA18" i="6"/>
  <c r="AB18" i="6"/>
  <c r="AA22" i="6"/>
  <c r="AB22" i="6"/>
  <c r="AA30" i="6"/>
  <c r="AB30" i="6"/>
  <c r="AA19" i="6"/>
  <c r="AB19" i="6"/>
  <c r="AA20" i="6"/>
  <c r="AB20" i="6"/>
  <c r="AA24" i="6"/>
  <c r="AB24" i="6"/>
  <c r="AA35" i="6"/>
  <c r="AB35" i="6"/>
  <c r="AG116" i="6"/>
  <c r="AH116" i="6" s="1"/>
  <c r="F148" i="6"/>
  <c r="AA34" i="6"/>
  <c r="AB34" i="6"/>
  <c r="R60" i="6"/>
  <c r="I60" i="6"/>
  <c r="N60" i="6"/>
  <c r="AD60" i="6" s="1"/>
  <c r="S60" i="6"/>
  <c r="P60" i="6"/>
  <c r="T60" i="6"/>
  <c r="AG118" i="6"/>
  <c r="AH118" i="6" s="1"/>
  <c r="F150" i="6"/>
  <c r="AG130" i="6"/>
  <c r="AH130" i="6" s="1"/>
  <c r="F162" i="6"/>
  <c r="AG127" i="6"/>
  <c r="AH127" i="6" s="1"/>
  <c r="F159" i="6"/>
  <c r="R52" i="6"/>
  <c r="I52" i="6"/>
  <c r="N52" i="6"/>
  <c r="AD52" i="6" s="1"/>
  <c r="S52" i="6"/>
  <c r="P52" i="6"/>
  <c r="T52" i="6"/>
  <c r="R57" i="6"/>
  <c r="I57" i="6"/>
  <c r="N57" i="6"/>
  <c r="AD57" i="6" s="1"/>
  <c r="P57" i="6"/>
  <c r="T57" i="6"/>
  <c r="S57" i="6"/>
  <c r="R61" i="6"/>
  <c r="I61" i="6"/>
  <c r="N61" i="6"/>
  <c r="AD61" i="6" s="1"/>
  <c r="P61" i="6"/>
  <c r="T61" i="6"/>
  <c r="S61" i="6"/>
  <c r="R66" i="6"/>
  <c r="I66" i="6"/>
  <c r="N66" i="6"/>
  <c r="AD66" i="6" s="1"/>
  <c r="T66" i="6"/>
  <c r="S66" i="6"/>
  <c r="P66" i="6"/>
  <c r="AG124" i="6"/>
  <c r="AH124" i="6" s="1"/>
  <c r="F156" i="6"/>
  <c r="AA17" i="6"/>
  <c r="AB17" i="6"/>
  <c r="AA25" i="6"/>
  <c r="AB25" i="6"/>
  <c r="AA29" i="6"/>
  <c r="AB29" i="6"/>
  <c r="AA33" i="6"/>
  <c r="AB33" i="6"/>
  <c r="R55" i="6"/>
  <c r="I55" i="6"/>
  <c r="N55" i="6"/>
  <c r="AD55" i="6" s="1"/>
  <c r="T55" i="6"/>
  <c r="S55" i="6"/>
  <c r="P55" i="6"/>
  <c r="AA26" i="6"/>
  <c r="AB26" i="6"/>
  <c r="AG84" i="6"/>
  <c r="AH84" i="6" s="1"/>
  <c r="H89" i="6"/>
  <c r="H97" i="6"/>
  <c r="R53" i="6"/>
  <c r="I53" i="6"/>
  <c r="N53" i="6"/>
  <c r="AD53" i="6" s="1"/>
  <c r="P53" i="6"/>
  <c r="T53" i="6"/>
  <c r="S53" i="6"/>
  <c r="R58" i="6"/>
  <c r="I58" i="6"/>
  <c r="N58" i="6"/>
  <c r="AD58" i="6" s="1"/>
  <c r="T58" i="6"/>
  <c r="S58" i="6"/>
  <c r="P58" i="6"/>
  <c r="R62" i="6"/>
  <c r="I62" i="6"/>
  <c r="N62" i="6"/>
  <c r="AD62" i="6" s="1"/>
  <c r="T62" i="6"/>
  <c r="S62" i="6"/>
  <c r="P62" i="6"/>
  <c r="R56" i="6"/>
  <c r="I56" i="6"/>
  <c r="N56" i="6"/>
  <c r="AD56" i="6" s="1"/>
  <c r="S56" i="6"/>
  <c r="P56" i="6"/>
  <c r="T56" i="6"/>
  <c r="AA23" i="6"/>
  <c r="AB23" i="6"/>
  <c r="AA31" i="6"/>
  <c r="AB31" i="6"/>
  <c r="R92" i="6"/>
  <c r="I92" i="6"/>
  <c r="N92" i="6"/>
  <c r="AD92" i="6" s="1"/>
  <c r="T92" i="6"/>
  <c r="S92" i="6"/>
  <c r="P92" i="6"/>
  <c r="AG121" i="6"/>
  <c r="AH121" i="6" s="1"/>
  <c r="F153" i="6"/>
  <c r="R100" i="6"/>
  <c r="I100" i="6"/>
  <c r="N100" i="6"/>
  <c r="AD100" i="6" s="1"/>
  <c r="T100" i="6"/>
  <c r="S100" i="6"/>
  <c r="P100" i="6"/>
  <c r="R51" i="6"/>
  <c r="I51" i="6"/>
  <c r="N51" i="6"/>
  <c r="AD51" i="6" s="1"/>
  <c r="T51" i="6"/>
  <c r="S51" i="6"/>
  <c r="P51" i="6"/>
  <c r="R64" i="6"/>
  <c r="I64" i="6"/>
  <c r="N64" i="6"/>
  <c r="AD64" i="6" s="1"/>
  <c r="S64" i="6"/>
  <c r="P64" i="6"/>
  <c r="T64" i="6"/>
  <c r="J99" i="6"/>
  <c r="R67" i="6"/>
  <c r="I67" i="6"/>
  <c r="N67" i="6"/>
  <c r="AD67" i="6" s="1"/>
  <c r="T67" i="6"/>
  <c r="S67" i="6"/>
  <c r="P67" i="6"/>
  <c r="AA21" i="6"/>
  <c r="AB21" i="6"/>
  <c r="R65" i="6"/>
  <c r="I65" i="6"/>
  <c r="N65" i="6"/>
  <c r="AD65" i="6" s="1"/>
  <c r="P65" i="6"/>
  <c r="T65" i="6"/>
  <c r="S65" i="6"/>
  <c r="AG52" i="6"/>
  <c r="AH52" i="6" s="1"/>
  <c r="R50" i="6"/>
  <c r="I50" i="6"/>
  <c r="N50" i="6"/>
  <c r="AD50" i="6" s="1"/>
  <c r="T50" i="6"/>
  <c r="S50" i="6"/>
  <c r="P50" i="6"/>
  <c r="R54" i="6"/>
  <c r="I54" i="6"/>
  <c r="N54" i="6"/>
  <c r="AD54" i="6" s="1"/>
  <c r="T54" i="6"/>
  <c r="S54" i="6"/>
  <c r="P54" i="6"/>
  <c r="R59" i="6"/>
  <c r="I59" i="6"/>
  <c r="N59" i="6"/>
  <c r="AD59" i="6" s="1"/>
  <c r="T59" i="6"/>
  <c r="S59" i="6"/>
  <c r="P59" i="6"/>
  <c r="R63" i="6"/>
  <c r="I63" i="6"/>
  <c r="N63" i="6"/>
  <c r="AD63" i="6" s="1"/>
  <c r="T63" i="6"/>
  <c r="S63" i="6"/>
  <c r="P63" i="6"/>
  <c r="R68" i="6"/>
  <c r="I68" i="6"/>
  <c r="N68" i="6"/>
  <c r="AD68" i="6" s="1"/>
  <c r="S68" i="6"/>
  <c r="P68" i="6"/>
  <c r="T68" i="6"/>
  <c r="AD34" i="5"/>
  <c r="AD50" i="5"/>
  <c r="AD66" i="5"/>
  <c r="AD32" i="5"/>
  <c r="AD64" i="5"/>
  <c r="AD17" i="5"/>
  <c r="AD48" i="5"/>
  <c r="AD69" i="5"/>
  <c r="AD43" i="5"/>
  <c r="AD59" i="5"/>
  <c r="AD60" i="5"/>
  <c r="H109" i="4"/>
  <c r="H72" i="4"/>
  <c r="AD61" i="5"/>
  <c r="AD25" i="5"/>
  <c r="AD39" i="5"/>
  <c r="AD51" i="5"/>
  <c r="AD55" i="5"/>
  <c r="AD57" i="5"/>
  <c r="AD58" i="5"/>
  <c r="AD31" i="5"/>
  <c r="AD47" i="5"/>
  <c r="AD63" i="5"/>
  <c r="AD36" i="5"/>
  <c r="AD52" i="5"/>
  <c r="AD68" i="5"/>
  <c r="AD27" i="5"/>
  <c r="AA42" i="5"/>
  <c r="AB42" i="5"/>
  <c r="AA23" i="5"/>
  <c r="AB23" i="5"/>
  <c r="AA33" i="5"/>
  <c r="AB33" i="5"/>
  <c r="AA38" i="5"/>
  <c r="AB38" i="5"/>
  <c r="AA54" i="5"/>
  <c r="AB54" i="5"/>
  <c r="AA29" i="5"/>
  <c r="AB29" i="5"/>
  <c r="AA43" i="5"/>
  <c r="AB43" i="5"/>
  <c r="AA59" i="5"/>
  <c r="AB59" i="5"/>
  <c r="AA52" i="5"/>
  <c r="AB52" i="5"/>
  <c r="AA68" i="5"/>
  <c r="AB68" i="5"/>
  <c r="AA41" i="5"/>
  <c r="AB41" i="5"/>
  <c r="AA20" i="5"/>
  <c r="AB20" i="5"/>
  <c r="AA34" i="5"/>
  <c r="AB34" i="5"/>
  <c r="AA50" i="5"/>
  <c r="AB50" i="5"/>
  <c r="AA66" i="5"/>
  <c r="AB66" i="5"/>
  <c r="AA61" i="5"/>
  <c r="AB61" i="5"/>
  <c r="AA25" i="5"/>
  <c r="AB25" i="5"/>
  <c r="AA57" i="5"/>
  <c r="AB57" i="5"/>
  <c r="AA58" i="5"/>
  <c r="AB58" i="5"/>
  <c r="AI218" i="5"/>
  <c r="AJ218" i="5" s="1"/>
  <c r="AK218" i="5" s="1"/>
  <c r="AL218" i="5" s="1"/>
  <c r="G285" i="5"/>
  <c r="G352" i="5" s="1"/>
  <c r="AA30" i="5"/>
  <c r="AB30" i="5"/>
  <c r="AA46" i="5"/>
  <c r="AB46" i="5"/>
  <c r="AA62" i="5"/>
  <c r="AB62" i="5"/>
  <c r="AA53" i="5"/>
  <c r="AB53" i="5"/>
  <c r="AA21" i="5"/>
  <c r="AB21" i="5"/>
  <c r="AA24" i="5"/>
  <c r="AB24" i="5"/>
  <c r="AA28" i="5"/>
  <c r="AB28" i="5"/>
  <c r="AA44" i="5"/>
  <c r="AB44" i="5"/>
  <c r="AK302" i="5"/>
  <c r="AL302" i="5" s="1"/>
  <c r="AI302" i="5"/>
  <c r="AJ302" i="5" s="1"/>
  <c r="AI220" i="5"/>
  <c r="AJ220" i="5" s="1"/>
  <c r="AK220" i="5" s="1"/>
  <c r="AL220" i="5" s="1"/>
  <c r="G287" i="5"/>
  <c r="G354" i="5" s="1"/>
  <c r="R196" i="5"/>
  <c r="I196" i="5"/>
  <c r="N196" i="5"/>
  <c r="O196" i="5"/>
  <c r="P196" i="5"/>
  <c r="T196" i="5"/>
  <c r="S196" i="5"/>
  <c r="R123" i="5"/>
  <c r="N123" i="5"/>
  <c r="O123" i="5"/>
  <c r="P123" i="5"/>
  <c r="T123" i="5"/>
  <c r="S123" i="5"/>
  <c r="R120" i="5"/>
  <c r="O120" i="5"/>
  <c r="N120" i="5"/>
  <c r="S120" i="5"/>
  <c r="P120" i="5"/>
  <c r="T120" i="5"/>
  <c r="R133" i="5"/>
  <c r="N133" i="5"/>
  <c r="O133" i="5"/>
  <c r="P133" i="5"/>
  <c r="T133" i="5"/>
  <c r="S133" i="5"/>
  <c r="AA63" i="5"/>
  <c r="AB63" i="5"/>
  <c r="AA26" i="5"/>
  <c r="AB26" i="5"/>
  <c r="AA70" i="5"/>
  <c r="AB70" i="5"/>
  <c r="AA60" i="5"/>
  <c r="AB60" i="5"/>
  <c r="AA49" i="5"/>
  <c r="AB49" i="5"/>
  <c r="AA37" i="5"/>
  <c r="AB37" i="5"/>
  <c r="AA22" i="5"/>
  <c r="AB22" i="5"/>
  <c r="R104" i="5"/>
  <c r="O104" i="5"/>
  <c r="N104" i="5"/>
  <c r="S104" i="5"/>
  <c r="P104" i="5"/>
  <c r="T104" i="5"/>
  <c r="AK330" i="5"/>
  <c r="AL330" i="5" s="1"/>
  <c r="AI330" i="5"/>
  <c r="AJ330" i="5" s="1"/>
  <c r="AI151" i="5"/>
  <c r="AJ151" i="5" s="1"/>
  <c r="AK151" i="5" s="1"/>
  <c r="AL151" i="5" s="1"/>
  <c r="AK333" i="5"/>
  <c r="AL333" i="5" s="1"/>
  <c r="AI333" i="5"/>
  <c r="AJ333" i="5" s="1"/>
  <c r="AI321" i="5"/>
  <c r="AJ321" i="5" s="1"/>
  <c r="AK321" i="5"/>
  <c r="AL321" i="5" s="1"/>
  <c r="AK331" i="5"/>
  <c r="AL331" i="5" s="1"/>
  <c r="AI331" i="5"/>
  <c r="AJ331" i="5" s="1"/>
  <c r="R93" i="5"/>
  <c r="N93" i="5"/>
  <c r="O93" i="5"/>
  <c r="T93" i="5"/>
  <c r="S93" i="5"/>
  <c r="P93" i="5"/>
  <c r="R111" i="5"/>
  <c r="N111" i="5"/>
  <c r="O111" i="5"/>
  <c r="P111" i="5"/>
  <c r="T111" i="5"/>
  <c r="S111" i="5"/>
  <c r="R127" i="5"/>
  <c r="N127" i="5"/>
  <c r="O127" i="5"/>
  <c r="P127" i="5"/>
  <c r="T127" i="5"/>
  <c r="S127" i="5"/>
  <c r="R88" i="5"/>
  <c r="O88" i="5"/>
  <c r="N88" i="5"/>
  <c r="P88" i="5"/>
  <c r="T88" i="5"/>
  <c r="S88" i="5"/>
  <c r="R108" i="5"/>
  <c r="O108" i="5"/>
  <c r="N108" i="5"/>
  <c r="S108" i="5"/>
  <c r="P108" i="5"/>
  <c r="T108" i="5"/>
  <c r="R124" i="5"/>
  <c r="O124" i="5"/>
  <c r="N124" i="5"/>
  <c r="S124" i="5"/>
  <c r="P124" i="5"/>
  <c r="T124" i="5"/>
  <c r="R87" i="5"/>
  <c r="N87" i="5"/>
  <c r="O87" i="5"/>
  <c r="T87" i="5"/>
  <c r="P87" i="5"/>
  <c r="S87" i="5"/>
  <c r="R105" i="5"/>
  <c r="N105" i="5"/>
  <c r="O105" i="5"/>
  <c r="P105" i="5"/>
  <c r="T105" i="5"/>
  <c r="S105" i="5"/>
  <c r="R121" i="5"/>
  <c r="N121" i="5"/>
  <c r="O121" i="5"/>
  <c r="P121" i="5"/>
  <c r="T121" i="5"/>
  <c r="S121" i="5"/>
  <c r="R137" i="5"/>
  <c r="N137" i="5"/>
  <c r="O137" i="5"/>
  <c r="P137" i="5"/>
  <c r="T137" i="5"/>
  <c r="S137" i="5"/>
  <c r="R98" i="5"/>
  <c r="O98" i="5"/>
  <c r="N98" i="5"/>
  <c r="T98" i="5"/>
  <c r="S98" i="5"/>
  <c r="P98" i="5"/>
  <c r="R118" i="5"/>
  <c r="O118" i="5"/>
  <c r="N118" i="5"/>
  <c r="P118" i="5"/>
  <c r="T118" i="5"/>
  <c r="S118" i="5"/>
  <c r="R134" i="5"/>
  <c r="O134" i="5"/>
  <c r="N134" i="5"/>
  <c r="P134" i="5"/>
  <c r="T134" i="5"/>
  <c r="S134" i="5"/>
  <c r="AD22" i="5"/>
  <c r="AD26" i="5"/>
  <c r="AD30" i="5"/>
  <c r="AD46" i="5"/>
  <c r="AD62" i="5"/>
  <c r="AA51" i="5"/>
  <c r="AB51" i="5"/>
  <c r="AA35" i="5"/>
  <c r="AB35" i="5"/>
  <c r="AD23" i="5"/>
  <c r="AD41" i="5"/>
  <c r="AD53" i="5"/>
  <c r="AA56" i="5"/>
  <c r="AB56" i="5"/>
  <c r="AA32" i="5"/>
  <c r="AB32" i="5"/>
  <c r="AD35" i="5"/>
  <c r="AD67" i="5"/>
  <c r="AK290" i="5"/>
  <c r="AL290" i="5" s="1"/>
  <c r="AI290" i="5"/>
  <c r="AJ290" i="5" s="1"/>
  <c r="AD65" i="5"/>
  <c r="AD19" i="5"/>
  <c r="AD37" i="5"/>
  <c r="R191" i="5"/>
  <c r="I191" i="5"/>
  <c r="O191" i="5"/>
  <c r="N191" i="5"/>
  <c r="S191" i="5"/>
  <c r="P191" i="5"/>
  <c r="T191" i="5"/>
  <c r="AI222" i="5"/>
  <c r="AJ222" i="5" s="1"/>
  <c r="AK222" i="5" s="1"/>
  <c r="AL222" i="5" s="1"/>
  <c r="G289" i="5"/>
  <c r="G356" i="5" s="1"/>
  <c r="R107" i="5"/>
  <c r="N107" i="5"/>
  <c r="O107" i="5"/>
  <c r="P107" i="5"/>
  <c r="T107" i="5"/>
  <c r="S107" i="5"/>
  <c r="R100" i="5"/>
  <c r="O100" i="5"/>
  <c r="N100" i="5"/>
  <c r="P100" i="5"/>
  <c r="T100" i="5"/>
  <c r="S100" i="5"/>
  <c r="R101" i="5"/>
  <c r="N101" i="5"/>
  <c r="O101" i="5"/>
  <c r="P101" i="5"/>
  <c r="T101" i="5"/>
  <c r="S101" i="5"/>
  <c r="R94" i="5"/>
  <c r="O94" i="5"/>
  <c r="N94" i="5"/>
  <c r="T94" i="5"/>
  <c r="S94" i="5"/>
  <c r="P94" i="5"/>
  <c r="R130" i="5"/>
  <c r="O130" i="5"/>
  <c r="N130" i="5"/>
  <c r="P130" i="5"/>
  <c r="T130" i="5"/>
  <c r="S130" i="5"/>
  <c r="AA39" i="5"/>
  <c r="AB39" i="5"/>
  <c r="AA36" i="5"/>
  <c r="AB36" i="5"/>
  <c r="AA65" i="5"/>
  <c r="AB65" i="5"/>
  <c r="N175" i="5"/>
  <c r="R173" i="5"/>
  <c r="I173" i="5"/>
  <c r="O173" i="5"/>
  <c r="N173" i="5"/>
  <c r="P173" i="5"/>
  <c r="T173" i="5"/>
  <c r="S173" i="5"/>
  <c r="AI228" i="5"/>
  <c r="AJ228" i="5" s="1"/>
  <c r="AK228" i="5" s="1"/>
  <c r="AL228" i="5" s="1"/>
  <c r="G295" i="5"/>
  <c r="G362" i="5" s="1"/>
  <c r="AI225" i="5"/>
  <c r="AJ225" i="5" s="1"/>
  <c r="AK225" i="5" s="1"/>
  <c r="AL225" i="5" s="1"/>
  <c r="G292" i="5"/>
  <c r="G359" i="5" s="1"/>
  <c r="AJ231" i="5"/>
  <c r="AK231" i="5" s="1"/>
  <c r="AL231" i="5" s="1"/>
  <c r="AJ316" i="5"/>
  <c r="AI267" i="5"/>
  <c r="AJ267" i="5" s="1"/>
  <c r="AK267" i="5" s="1"/>
  <c r="AL267" i="5" s="1"/>
  <c r="G334" i="5"/>
  <c r="G401" i="5" s="1"/>
  <c r="R102" i="5"/>
  <c r="O102" i="5"/>
  <c r="N102" i="5"/>
  <c r="P102" i="5"/>
  <c r="T102" i="5"/>
  <c r="S102" i="5"/>
  <c r="R97" i="5"/>
  <c r="N97" i="5"/>
  <c r="O97" i="5"/>
  <c r="T97" i="5"/>
  <c r="P97" i="5"/>
  <c r="S97" i="5"/>
  <c r="R99" i="5"/>
  <c r="N99" i="5"/>
  <c r="O99" i="5"/>
  <c r="T99" i="5"/>
  <c r="S99" i="5"/>
  <c r="P99" i="5"/>
  <c r="R115" i="5"/>
  <c r="N115" i="5"/>
  <c r="O115" i="5"/>
  <c r="P115" i="5"/>
  <c r="T115" i="5"/>
  <c r="S115" i="5"/>
  <c r="R131" i="5"/>
  <c r="N131" i="5"/>
  <c r="O131" i="5"/>
  <c r="P131" i="5"/>
  <c r="T131" i="5"/>
  <c r="S131" i="5"/>
  <c r="R92" i="5"/>
  <c r="O92" i="5"/>
  <c r="N92" i="5"/>
  <c r="P92" i="5"/>
  <c r="T92" i="5"/>
  <c r="S92" i="5"/>
  <c r="R112" i="5"/>
  <c r="O112" i="5"/>
  <c r="N112" i="5"/>
  <c r="S112" i="5"/>
  <c r="P112" i="5"/>
  <c r="T112" i="5"/>
  <c r="J195" i="5"/>
  <c r="R128" i="5"/>
  <c r="O128" i="5"/>
  <c r="N128" i="5"/>
  <c r="S128" i="5"/>
  <c r="P128" i="5"/>
  <c r="T128" i="5"/>
  <c r="R91" i="5"/>
  <c r="N91" i="5"/>
  <c r="O91" i="5"/>
  <c r="T91" i="5"/>
  <c r="P91" i="5"/>
  <c r="S91" i="5"/>
  <c r="R109" i="5"/>
  <c r="N109" i="5"/>
  <c r="O109" i="5"/>
  <c r="P109" i="5"/>
  <c r="T109" i="5"/>
  <c r="S109" i="5"/>
  <c r="R125" i="5"/>
  <c r="N125" i="5"/>
  <c r="O125" i="5"/>
  <c r="P125" i="5"/>
  <c r="T125" i="5"/>
  <c r="S125" i="5"/>
  <c r="R106" i="5"/>
  <c r="O106" i="5"/>
  <c r="N106" i="5"/>
  <c r="P106" i="5"/>
  <c r="T106" i="5"/>
  <c r="S106" i="5"/>
  <c r="R122" i="5"/>
  <c r="O122" i="5"/>
  <c r="N122" i="5"/>
  <c r="P122" i="5"/>
  <c r="T122" i="5"/>
  <c r="S122" i="5"/>
  <c r="R138" i="5"/>
  <c r="O138" i="5"/>
  <c r="N138" i="5"/>
  <c r="P138" i="5"/>
  <c r="T138" i="5"/>
  <c r="S138" i="5"/>
  <c r="AD42" i="5"/>
  <c r="AA47" i="5"/>
  <c r="AB47" i="5"/>
  <c r="AA31" i="5"/>
  <c r="AB31" i="5"/>
  <c r="AD21" i="5"/>
  <c r="AD33" i="5"/>
  <c r="AD49" i="5"/>
  <c r="AA48" i="5"/>
  <c r="AB48" i="5"/>
  <c r="AA19" i="5"/>
  <c r="AB19" i="5"/>
  <c r="AD20" i="5"/>
  <c r="AD24" i="5"/>
  <c r="AA27" i="5"/>
  <c r="AB27" i="5"/>
  <c r="AD28" i="5"/>
  <c r="AD44" i="5"/>
  <c r="AA69" i="5"/>
  <c r="AB69" i="5"/>
  <c r="AA45" i="5"/>
  <c r="AB45" i="5"/>
  <c r="AI299" i="5"/>
  <c r="AJ299" i="5" s="1"/>
  <c r="AK299" i="5"/>
  <c r="AL299" i="5" s="1"/>
  <c r="AK308" i="5"/>
  <c r="AL308" i="5" s="1"/>
  <c r="AI308" i="5"/>
  <c r="AJ308" i="5" s="1"/>
  <c r="J156" i="5"/>
  <c r="R89" i="5"/>
  <c r="N89" i="5"/>
  <c r="O89" i="5"/>
  <c r="T89" i="5"/>
  <c r="P89" i="5"/>
  <c r="S89" i="5"/>
  <c r="R136" i="5"/>
  <c r="O136" i="5"/>
  <c r="N136" i="5"/>
  <c r="S136" i="5"/>
  <c r="P136" i="5"/>
  <c r="T136" i="5"/>
  <c r="R117" i="5"/>
  <c r="N117" i="5"/>
  <c r="O117" i="5"/>
  <c r="P117" i="5"/>
  <c r="T117" i="5"/>
  <c r="S117" i="5"/>
  <c r="R114" i="5"/>
  <c r="O114" i="5"/>
  <c r="N114" i="5"/>
  <c r="P114" i="5"/>
  <c r="T114" i="5"/>
  <c r="S114" i="5"/>
  <c r="AA40" i="5"/>
  <c r="AB40" i="5"/>
  <c r="R205" i="5"/>
  <c r="I205" i="5"/>
  <c r="O205" i="5"/>
  <c r="N205" i="5"/>
  <c r="P205" i="5"/>
  <c r="T205" i="5"/>
  <c r="S205" i="5"/>
  <c r="R189" i="5"/>
  <c r="I189" i="5"/>
  <c r="O189" i="5"/>
  <c r="N189" i="5"/>
  <c r="P189" i="5"/>
  <c r="T189" i="5"/>
  <c r="S189" i="5"/>
  <c r="AK336" i="5"/>
  <c r="AL336" i="5" s="1"/>
  <c r="AI336" i="5"/>
  <c r="AJ336" i="5" s="1"/>
  <c r="AK327" i="5"/>
  <c r="AL327" i="5" s="1"/>
  <c r="AI327" i="5"/>
  <c r="AJ327" i="5" s="1"/>
  <c r="AI307" i="5"/>
  <c r="AJ307" i="5" s="1"/>
  <c r="AK307" i="5"/>
  <c r="AL307" i="5" s="1"/>
  <c r="AK312" i="5"/>
  <c r="AL312" i="5" s="1"/>
  <c r="AI312" i="5"/>
  <c r="AJ312" i="5" s="1"/>
  <c r="R103" i="5"/>
  <c r="N103" i="5"/>
  <c r="O103" i="5"/>
  <c r="P103" i="5"/>
  <c r="T103" i="5"/>
  <c r="S103" i="5"/>
  <c r="R119" i="5"/>
  <c r="N119" i="5"/>
  <c r="O119" i="5"/>
  <c r="P119" i="5"/>
  <c r="T119" i="5"/>
  <c r="S119" i="5"/>
  <c r="R135" i="5"/>
  <c r="N135" i="5"/>
  <c r="O135" i="5"/>
  <c r="P135" i="5"/>
  <c r="T135" i="5"/>
  <c r="S135" i="5"/>
  <c r="R96" i="5"/>
  <c r="O96" i="5"/>
  <c r="N96" i="5"/>
  <c r="P96" i="5"/>
  <c r="T96" i="5"/>
  <c r="S96" i="5"/>
  <c r="R116" i="5"/>
  <c r="O116" i="5"/>
  <c r="N116" i="5"/>
  <c r="S116" i="5"/>
  <c r="P116" i="5"/>
  <c r="T116" i="5"/>
  <c r="R132" i="5"/>
  <c r="O132" i="5"/>
  <c r="N132" i="5"/>
  <c r="S132" i="5"/>
  <c r="P132" i="5"/>
  <c r="T132" i="5"/>
  <c r="R95" i="5"/>
  <c r="N95" i="5"/>
  <c r="O95" i="5"/>
  <c r="T95" i="5"/>
  <c r="P95" i="5"/>
  <c r="S95" i="5"/>
  <c r="R113" i="5"/>
  <c r="N113" i="5"/>
  <c r="O113" i="5"/>
  <c r="P113" i="5"/>
  <c r="T113" i="5"/>
  <c r="S113" i="5"/>
  <c r="R129" i="5"/>
  <c r="N129" i="5"/>
  <c r="O129" i="5"/>
  <c r="P129" i="5"/>
  <c r="T129" i="5"/>
  <c r="S129" i="5"/>
  <c r="J157" i="5"/>
  <c r="R90" i="5"/>
  <c r="O90" i="5"/>
  <c r="N90" i="5"/>
  <c r="T90" i="5"/>
  <c r="S90" i="5"/>
  <c r="P90" i="5"/>
  <c r="R110" i="5"/>
  <c r="O110" i="5"/>
  <c r="N110" i="5"/>
  <c r="P110" i="5"/>
  <c r="T110" i="5"/>
  <c r="S110" i="5"/>
  <c r="R126" i="5"/>
  <c r="O126" i="5"/>
  <c r="N126" i="5"/>
  <c r="P126" i="5"/>
  <c r="T126" i="5"/>
  <c r="S126" i="5"/>
  <c r="AI219" i="5"/>
  <c r="AJ219" i="5" s="1"/>
  <c r="AK219" i="5" s="1"/>
  <c r="AL219" i="5" s="1"/>
  <c r="G286" i="5"/>
  <c r="G353" i="5" s="1"/>
  <c r="AD38" i="5"/>
  <c r="AD54" i="5"/>
  <c r="AD70" i="5"/>
  <c r="AA67" i="5"/>
  <c r="AB67" i="5"/>
  <c r="AA55" i="5"/>
  <c r="AB55" i="5"/>
  <c r="AK294" i="5"/>
  <c r="AL294" i="5" s="1"/>
  <c r="AI294" i="5"/>
  <c r="AJ294" i="5" s="1"/>
  <c r="AA64" i="5"/>
  <c r="AB64" i="5"/>
  <c r="AK296" i="5"/>
  <c r="AL296" i="5" s="1"/>
  <c r="AI296" i="5"/>
  <c r="AJ296" i="5" s="1"/>
  <c r="AD40" i="5"/>
  <c r="AD56" i="5"/>
  <c r="AK298" i="5"/>
  <c r="AL298" i="5" s="1"/>
  <c r="AI298" i="5"/>
  <c r="AJ298" i="5" s="1"/>
  <c r="AD45" i="5"/>
  <c r="I84" i="5"/>
  <c r="Y84" i="5" s="1"/>
  <c r="Y83" i="9"/>
  <c r="Y85" i="9"/>
  <c r="Y202" i="9"/>
  <c r="Y50" i="9"/>
  <c r="Y123" i="9"/>
  <c r="Y209" i="9"/>
  <c r="Y53" i="9"/>
  <c r="Y49" i="9"/>
  <c r="Y22" i="9"/>
  <c r="Y91" i="9"/>
  <c r="Y18" i="9"/>
  <c r="Y213" i="9"/>
  <c r="Y212" i="9"/>
  <c r="Y43" i="9"/>
  <c r="Y45" i="9"/>
  <c r="Y39" i="9"/>
  <c r="Y203" i="9"/>
  <c r="Y77" i="9"/>
  <c r="Y120" i="9"/>
  <c r="Y75" i="9"/>
  <c r="Y90" i="9"/>
  <c r="Y70" i="9"/>
  <c r="Y201" i="9"/>
  <c r="G26" i="13"/>
  <c r="H71" i="4"/>
  <c r="AA20" i="4"/>
  <c r="AB20" i="4"/>
  <c r="R51" i="4"/>
  <c r="I51" i="4"/>
  <c r="N51" i="4"/>
  <c r="AD51" i="4" s="1"/>
  <c r="T51" i="4"/>
  <c r="S51" i="4"/>
  <c r="P51" i="4"/>
  <c r="R50" i="4"/>
  <c r="I50" i="4"/>
  <c r="N50" i="4"/>
  <c r="AD50" i="4" s="1"/>
  <c r="T50" i="4"/>
  <c r="P50" i="4"/>
  <c r="S50" i="4"/>
  <c r="R46" i="4"/>
  <c r="I46" i="4"/>
  <c r="N46" i="4"/>
  <c r="AD46" i="4" s="1"/>
  <c r="T46" i="4"/>
  <c r="S46" i="4"/>
  <c r="P46" i="4"/>
  <c r="R49" i="4"/>
  <c r="I49" i="4"/>
  <c r="N49" i="4"/>
  <c r="AD49" i="4" s="1"/>
  <c r="P49" i="4"/>
  <c r="S49" i="4"/>
  <c r="T49" i="4"/>
  <c r="AA19" i="4"/>
  <c r="AB19" i="4"/>
  <c r="AA23" i="4"/>
  <c r="AB23" i="4"/>
  <c r="AA27" i="4"/>
  <c r="AB27" i="4"/>
  <c r="AA22" i="4"/>
  <c r="AB22" i="4"/>
  <c r="AA26" i="4"/>
  <c r="AB26" i="4"/>
  <c r="R43" i="4"/>
  <c r="I43" i="4"/>
  <c r="N43" i="4"/>
  <c r="AD43" i="4" s="1"/>
  <c r="T43" i="4"/>
  <c r="S43" i="4"/>
  <c r="P43" i="4"/>
  <c r="AA21" i="4"/>
  <c r="AB21" i="4"/>
  <c r="AA25" i="4"/>
  <c r="AB25" i="4"/>
  <c r="AA24" i="4"/>
  <c r="AB24" i="4"/>
  <c r="R47" i="4"/>
  <c r="I47" i="4"/>
  <c r="N47" i="4"/>
  <c r="AD47" i="4" s="1"/>
  <c r="T47" i="4"/>
  <c r="S47" i="4"/>
  <c r="P47" i="4"/>
  <c r="R45" i="4"/>
  <c r="I45" i="4"/>
  <c r="N45" i="4"/>
  <c r="AD45" i="4" s="1"/>
  <c r="P45" i="4"/>
  <c r="S45" i="4"/>
  <c r="T45" i="4"/>
  <c r="R44" i="4"/>
  <c r="I44" i="4"/>
  <c r="N44" i="4"/>
  <c r="AD44" i="4" s="1"/>
  <c r="S44" i="4"/>
  <c r="T44" i="4"/>
  <c r="P44" i="4"/>
  <c r="R48" i="4"/>
  <c r="I48" i="4"/>
  <c r="N48" i="4"/>
  <c r="AD48" i="4" s="1"/>
  <c r="S48" i="4"/>
  <c r="P48" i="4"/>
  <c r="T48" i="4"/>
  <c r="Y63" i="9"/>
  <c r="Y24" i="9"/>
  <c r="Y206" i="9"/>
  <c r="Y72" i="9"/>
  <c r="Y80" i="9"/>
  <c r="Y207" i="9"/>
  <c r="Y52" i="9"/>
  <c r="Y96" i="9"/>
  <c r="AA17" i="5"/>
  <c r="AB17" i="5"/>
  <c r="H152" i="5"/>
  <c r="N86" i="5"/>
  <c r="AB18" i="5"/>
  <c r="AA18" i="5"/>
  <c r="N85" i="5"/>
  <c r="I153" i="5"/>
  <c r="N153" i="5"/>
  <c r="AD18" i="5"/>
  <c r="AA16" i="6"/>
  <c r="AB16" i="6"/>
  <c r="I49" i="6"/>
  <c r="Y49" i="6" s="1"/>
  <c r="N49" i="6"/>
  <c r="AD49" i="6" s="1"/>
  <c r="I42" i="4"/>
  <c r="Y42" i="4" s="1"/>
  <c r="N42" i="4"/>
  <c r="AA18" i="4"/>
  <c r="AB18" i="4"/>
  <c r="N84" i="5"/>
  <c r="P17" i="5"/>
  <c r="R17" i="5" s="1"/>
  <c r="AD16" i="5"/>
  <c r="P16" i="5"/>
  <c r="AH16" i="5"/>
  <c r="F114" i="6"/>
  <c r="AG92" i="6"/>
  <c r="AH92" i="6" s="1"/>
  <c r="N36" i="6"/>
  <c r="F93" i="6"/>
  <c r="F125" i="6" s="1"/>
  <c r="J88" i="6"/>
  <c r="N28" i="4"/>
  <c r="AG60" i="6"/>
  <c r="AH60" i="6" s="1"/>
  <c r="J85" i="6"/>
  <c r="J95" i="6"/>
  <c r="J127" i="6" s="1"/>
  <c r="J86" i="6"/>
  <c r="J118" i="6" s="1"/>
  <c r="J199" i="5"/>
  <c r="J172" i="5"/>
  <c r="J204" i="5"/>
  <c r="J202" i="5"/>
  <c r="J168" i="5"/>
  <c r="N71" i="5"/>
  <c r="J182" i="5"/>
  <c r="J198" i="5"/>
  <c r="J190" i="5"/>
  <c r="J174" i="5"/>
  <c r="J203" i="5"/>
  <c r="AG50" i="6"/>
  <c r="AH50" i="6" s="1"/>
  <c r="AG71" i="4"/>
  <c r="AH71" i="4" s="1"/>
  <c r="J169" i="5"/>
  <c r="J81" i="6"/>
  <c r="J151" i="5"/>
  <c r="J167" i="5"/>
  <c r="J187" i="5"/>
  <c r="J154" i="5"/>
  <c r="J188" i="5"/>
  <c r="J165" i="5"/>
  <c r="J177" i="5"/>
  <c r="J193" i="5"/>
  <c r="J132" i="6"/>
  <c r="J152" i="5"/>
  <c r="J98" i="6"/>
  <c r="J178" i="5"/>
  <c r="J194" i="5"/>
  <c r="J163" i="5"/>
  <c r="J176" i="5"/>
  <c r="J192" i="5"/>
  <c r="J161" i="5"/>
  <c r="J181" i="5"/>
  <c r="J197" i="5"/>
  <c r="J171" i="5"/>
  <c r="J220" i="5"/>
  <c r="J287" i="5" s="1"/>
  <c r="J354" i="5" s="1"/>
  <c r="J262" i="5"/>
  <c r="J164" i="5"/>
  <c r="J89" i="6"/>
  <c r="J90" i="6"/>
  <c r="J91" i="6"/>
  <c r="J93" i="6"/>
  <c r="J94" i="6"/>
  <c r="J96" i="6"/>
  <c r="J166" i="5"/>
  <c r="J159" i="5"/>
  <c r="J179" i="5"/>
  <c r="J162" i="5"/>
  <c r="J180" i="5"/>
  <c r="J185" i="5"/>
  <c r="J201" i="5"/>
  <c r="E66" i="4"/>
  <c r="E89" i="6"/>
  <c r="J160" i="5"/>
  <c r="J82" i="6"/>
  <c r="J83" i="6"/>
  <c r="J84" i="6"/>
  <c r="J87" i="6"/>
  <c r="J170" i="5"/>
  <c r="J186" i="5"/>
  <c r="J131" i="6"/>
  <c r="J155" i="5"/>
  <c r="J183" i="5"/>
  <c r="J158" i="5"/>
  <c r="J184" i="5"/>
  <c r="J200" i="5"/>
  <c r="AG95" i="6"/>
  <c r="AH95" i="6" s="1"/>
  <c r="AG63" i="6"/>
  <c r="AH63" i="6" s="1"/>
  <c r="AG68" i="4"/>
  <c r="AH68" i="4" s="1"/>
  <c r="J66" i="4"/>
  <c r="E182" i="5"/>
  <c r="E249" i="5" s="1"/>
  <c r="E316" i="5" s="1"/>
  <c r="E383" i="5" s="1"/>
  <c r="E450" i="5" s="1"/>
  <c r="E184" i="5"/>
  <c r="E251" i="5" s="1"/>
  <c r="E318" i="5" s="1"/>
  <c r="E385" i="5" s="1"/>
  <c r="E452" i="5" s="1"/>
  <c r="E196" i="5"/>
  <c r="E164" i="5"/>
  <c r="E231" i="5" s="1"/>
  <c r="E298" i="5" s="1"/>
  <c r="E365" i="5" s="1"/>
  <c r="E432" i="5" s="1"/>
  <c r="E165" i="5"/>
  <c r="E232" i="5" s="1"/>
  <c r="E299" i="5" s="1"/>
  <c r="E366" i="5" s="1"/>
  <c r="E433" i="5" s="1"/>
  <c r="E198" i="5"/>
  <c r="E172" i="5"/>
  <c r="E200" i="5"/>
  <c r="E267" i="5" s="1"/>
  <c r="E334" i="5" s="1"/>
  <c r="E401" i="5" s="1"/>
  <c r="E468" i="5" s="1"/>
  <c r="E174" i="5"/>
  <c r="E241" i="5" s="1"/>
  <c r="E308" i="5" s="1"/>
  <c r="E375" i="5" s="1"/>
  <c r="E442" i="5" s="1"/>
  <c r="E158" i="5"/>
  <c r="E157" i="5"/>
  <c r="E86" i="6"/>
  <c r="E118" i="6" s="1"/>
  <c r="E82" i="6"/>
  <c r="E95" i="6"/>
  <c r="H99" i="6"/>
  <c r="E91" i="6"/>
  <c r="E94" i="6"/>
  <c r="H84" i="6"/>
  <c r="AE36" i="6"/>
  <c r="E98" i="6"/>
  <c r="E100" i="6"/>
  <c r="AD36" i="6"/>
  <c r="H81" i="6"/>
  <c r="E189" i="5"/>
  <c r="J67" i="4"/>
  <c r="AG65" i="4"/>
  <c r="E190" i="5"/>
  <c r="E168" i="5"/>
  <c r="E235" i="5" s="1"/>
  <c r="E302" i="5" s="1"/>
  <c r="E369" i="5" s="1"/>
  <c r="E436" i="5" s="1"/>
  <c r="E161" i="5"/>
  <c r="F97" i="6"/>
  <c r="F129" i="6" s="1"/>
  <c r="F126" i="6"/>
  <c r="AG49" i="6"/>
  <c r="AH49" i="6" s="1"/>
  <c r="F81" i="6"/>
  <c r="AG53" i="6"/>
  <c r="AH53" i="6" s="1"/>
  <c r="F85" i="6"/>
  <c r="E96" i="6"/>
  <c r="H95" i="4"/>
  <c r="E89" i="4"/>
  <c r="E111" i="4" s="1"/>
  <c r="E133" i="4" s="1"/>
  <c r="E155" i="4" s="1"/>
  <c r="H96" i="4"/>
  <c r="H93" i="4"/>
  <c r="E185" i="5"/>
  <c r="E193" i="5"/>
  <c r="E163" i="5"/>
  <c r="E230" i="5" s="1"/>
  <c r="E297" i="5" s="1"/>
  <c r="E364" i="5" s="1"/>
  <c r="E431" i="5" s="1"/>
  <c r="E177" i="5"/>
  <c r="E155" i="5"/>
  <c r="E222" i="5" s="1"/>
  <c r="E289" i="5" s="1"/>
  <c r="E356" i="5" s="1"/>
  <c r="E423" i="5" s="1"/>
  <c r="E181" i="5"/>
  <c r="E248" i="5" s="1"/>
  <c r="E315" i="5" s="1"/>
  <c r="E382" i="5" s="1"/>
  <c r="E449" i="5" s="1"/>
  <c r="E197" i="5"/>
  <c r="E180" i="5"/>
  <c r="E192" i="5"/>
  <c r="E152" i="5"/>
  <c r="E233" i="5"/>
  <c r="E300" i="5" s="1"/>
  <c r="E367" i="5" s="1"/>
  <c r="E434" i="5" s="1"/>
  <c r="E159" i="5"/>
  <c r="E205" i="5"/>
  <c r="E170" i="5"/>
  <c r="E188" i="5"/>
  <c r="E178" i="5"/>
  <c r="E202" i="5"/>
  <c r="E204" i="5"/>
  <c r="E153" i="5"/>
  <c r="E156" i="5"/>
  <c r="E173" i="5"/>
  <c r="E218" i="5"/>
  <c r="E285" i="5" s="1"/>
  <c r="E352" i="5" s="1"/>
  <c r="E419" i="5" s="1"/>
  <c r="E160" i="5"/>
  <c r="AE28" i="4"/>
  <c r="E70" i="4"/>
  <c r="J70" i="4"/>
  <c r="H69" i="4"/>
  <c r="H67" i="4"/>
  <c r="H66" i="4"/>
  <c r="AG69" i="4"/>
  <c r="AH69" i="4" s="1"/>
  <c r="AG46" i="4"/>
  <c r="AH46" i="4" s="1"/>
  <c r="J68" i="4"/>
  <c r="J73" i="4"/>
  <c r="J69" i="4"/>
  <c r="E65" i="4"/>
  <c r="E74" i="4"/>
  <c r="AG74" i="4"/>
  <c r="AH74" i="4" s="1"/>
  <c r="AG51" i="4"/>
  <c r="AH51" i="4" s="1"/>
  <c r="E71" i="4"/>
  <c r="J74" i="4"/>
  <c r="AH18" i="4"/>
  <c r="AH28" i="4" s="1"/>
  <c r="AG28" i="4"/>
  <c r="J65" i="4"/>
  <c r="H70" i="4"/>
  <c r="J72" i="4"/>
  <c r="AH42" i="4"/>
  <c r="AG73" i="4"/>
  <c r="AH73" i="4" s="1"/>
  <c r="AG50" i="4"/>
  <c r="AH50" i="4" s="1"/>
  <c r="J52" i="4"/>
  <c r="F59" i="14" s="1"/>
  <c r="AG49" i="4"/>
  <c r="AH49" i="4" s="1"/>
  <c r="E72" i="4"/>
  <c r="E68" i="4"/>
  <c r="H68" i="4"/>
  <c r="J71" i="4"/>
  <c r="F225" i="5"/>
  <c r="F252" i="5"/>
  <c r="H188" i="5"/>
  <c r="AG66" i="4"/>
  <c r="AH66" i="4" s="1"/>
  <c r="F229" i="5"/>
  <c r="AG162" i="5"/>
  <c r="AH162" i="5" s="1"/>
  <c r="H190" i="5"/>
  <c r="F255" i="5"/>
  <c r="AG188" i="5"/>
  <c r="AH188" i="5" s="1"/>
  <c r="H158" i="5"/>
  <c r="H162" i="5"/>
  <c r="H164" i="5"/>
  <c r="H161" i="5"/>
  <c r="F182" i="5"/>
  <c r="AG182" i="5" s="1"/>
  <c r="AH182" i="5" s="1"/>
  <c r="AG115" i="5"/>
  <c r="AH115" i="5" s="1"/>
  <c r="H187" i="5"/>
  <c r="F200" i="5"/>
  <c r="AG200" i="5" s="1"/>
  <c r="AH200" i="5" s="1"/>
  <c r="AG133" i="5"/>
  <c r="AH133" i="5" s="1"/>
  <c r="H222" i="5"/>
  <c r="F177" i="5"/>
  <c r="AG177" i="5" s="1"/>
  <c r="AH177" i="5" s="1"/>
  <c r="AG110" i="5"/>
  <c r="AH110" i="5" s="1"/>
  <c r="F187" i="5"/>
  <c r="AG120" i="5"/>
  <c r="AH120" i="5" s="1"/>
  <c r="F219" i="5"/>
  <c r="AG152" i="5"/>
  <c r="AH152" i="5" s="1"/>
  <c r="H159" i="5"/>
  <c r="H182" i="5"/>
  <c r="H200" i="5"/>
  <c r="H156" i="5"/>
  <c r="F159" i="5"/>
  <c r="AG92" i="5"/>
  <c r="AH92" i="5" s="1"/>
  <c r="E154" i="5"/>
  <c r="F234" i="5"/>
  <c r="AG167" i="5"/>
  <c r="AH167" i="5" s="1"/>
  <c r="F189" i="5"/>
  <c r="AG189" i="5" s="1"/>
  <c r="AH189" i="5" s="1"/>
  <c r="AG122" i="5"/>
  <c r="AH122" i="5" s="1"/>
  <c r="H177" i="5"/>
  <c r="H205" i="5"/>
  <c r="F160" i="5"/>
  <c r="AG93" i="5"/>
  <c r="AH93" i="5" s="1"/>
  <c r="H175" i="5"/>
  <c r="F184" i="5"/>
  <c r="AG117" i="5"/>
  <c r="AH117" i="5" s="1"/>
  <c r="H184" i="5"/>
  <c r="H201" i="5"/>
  <c r="H153" i="5"/>
  <c r="F168" i="5"/>
  <c r="AG168" i="5" s="1"/>
  <c r="AH168" i="5" s="1"/>
  <c r="AG101" i="5"/>
  <c r="AH101" i="5" s="1"/>
  <c r="F266" i="5"/>
  <c r="AG199" i="5"/>
  <c r="AH199" i="5" s="1"/>
  <c r="E162" i="5"/>
  <c r="H193" i="5"/>
  <c r="H232" i="5"/>
  <c r="H169" i="5"/>
  <c r="H191" i="5"/>
  <c r="F156" i="5"/>
  <c r="AG156" i="5" s="1"/>
  <c r="AH156" i="5" s="1"/>
  <c r="AG89" i="5"/>
  <c r="AH89" i="5" s="1"/>
  <c r="F176" i="5"/>
  <c r="AG176" i="5" s="1"/>
  <c r="AH176" i="5" s="1"/>
  <c r="AG109" i="5"/>
  <c r="AH109" i="5" s="1"/>
  <c r="H157" i="5"/>
  <c r="E171" i="5"/>
  <c r="E187" i="5"/>
  <c r="H234" i="5"/>
  <c r="AJ194" i="5"/>
  <c r="AK194" i="5" s="1"/>
  <c r="AL194" i="5" s="1"/>
  <c r="F205" i="5"/>
  <c r="AG205" i="5" s="1"/>
  <c r="AH205" i="5" s="1"/>
  <c r="AG138" i="5"/>
  <c r="AH138" i="5" s="1"/>
  <c r="F195" i="5"/>
  <c r="AG128" i="5"/>
  <c r="AH128" i="5" s="1"/>
  <c r="H163" i="5"/>
  <c r="H170" i="5"/>
  <c r="H160" i="5"/>
  <c r="H154" i="5"/>
  <c r="H196" i="5"/>
  <c r="H151" i="5"/>
  <c r="H269" i="5"/>
  <c r="E169" i="5"/>
  <c r="F179" i="5"/>
  <c r="AG179" i="5" s="1"/>
  <c r="AH179" i="5" s="1"/>
  <c r="AJ192" i="5"/>
  <c r="AK192" i="5" s="1"/>
  <c r="AL192" i="5" s="1"/>
  <c r="G259" i="5"/>
  <c r="F197" i="5"/>
  <c r="F155" i="5"/>
  <c r="AG155" i="5" s="1"/>
  <c r="AH155" i="5" s="1"/>
  <c r="E179" i="5"/>
  <c r="E195" i="5"/>
  <c r="F203" i="5"/>
  <c r="H194" i="5"/>
  <c r="F180" i="5"/>
  <c r="AG180" i="5" s="1"/>
  <c r="AH180" i="5" s="1"/>
  <c r="F169" i="5"/>
  <c r="AG169" i="5" s="1"/>
  <c r="AH169" i="5" s="1"/>
  <c r="F250" i="5"/>
  <c r="F201" i="5"/>
  <c r="AG201" i="5" s="1"/>
  <c r="AH201" i="5" s="1"/>
  <c r="F164" i="5"/>
  <c r="AG164" i="5" s="1"/>
  <c r="AH164" i="5" s="1"/>
  <c r="AI260" i="5"/>
  <c r="AJ260" i="5" s="1"/>
  <c r="AK260" i="5" s="1"/>
  <c r="AL260" i="5" s="1"/>
  <c r="H204" i="5"/>
  <c r="AI199" i="5"/>
  <c r="AJ199" i="5" s="1"/>
  <c r="AK199" i="5" s="1"/>
  <c r="AL199" i="5" s="1"/>
  <c r="E191" i="5"/>
  <c r="G248" i="5"/>
  <c r="AJ137" i="5"/>
  <c r="AK137" i="5" s="1"/>
  <c r="AL137" i="5" s="1"/>
  <c r="AM137" i="5" s="1"/>
  <c r="F153" i="5"/>
  <c r="AG153" i="5" s="1"/>
  <c r="AH153" i="5" s="1"/>
  <c r="G261" i="5"/>
  <c r="F193" i="5"/>
  <c r="F157" i="5"/>
  <c r="AG157" i="5" s="1"/>
  <c r="AH157" i="5" s="1"/>
  <c r="J139" i="5"/>
  <c r="F60" i="14" s="1"/>
  <c r="G236" i="5"/>
  <c r="G204" i="5"/>
  <c r="AI204" i="5" s="1"/>
  <c r="AI245" i="5"/>
  <c r="AJ245" i="5" s="1"/>
  <c r="AK245" i="5" s="1"/>
  <c r="AL245" i="5" s="1"/>
  <c r="AI174" i="5"/>
  <c r="AJ174" i="5" s="1"/>
  <c r="AK174" i="5" s="1"/>
  <c r="AL174" i="5" s="1"/>
  <c r="AI241" i="5"/>
  <c r="AJ241" i="5" s="1"/>
  <c r="AK241" i="5" s="1"/>
  <c r="AL241" i="5" s="1"/>
  <c r="AI178" i="5"/>
  <c r="AJ178" i="5" s="1"/>
  <c r="AK178" i="5" s="1"/>
  <c r="AL178" i="5" s="1"/>
  <c r="E176" i="5"/>
  <c r="AI197" i="5"/>
  <c r="AJ197" i="5" s="1"/>
  <c r="AK197" i="5" s="1"/>
  <c r="AL197" i="5" s="1"/>
  <c r="F175" i="5"/>
  <c r="AG175" i="5" s="1"/>
  <c r="AH175" i="5" s="1"/>
  <c r="AJ113" i="5"/>
  <c r="AK113" i="5" s="1"/>
  <c r="AL113" i="5" s="1"/>
  <c r="AM113" i="5" s="1"/>
  <c r="H179" i="5"/>
  <c r="F181" i="5"/>
  <c r="AG181" i="5" s="1"/>
  <c r="AH181" i="5" s="1"/>
  <c r="G180" i="5"/>
  <c r="AI121" i="5"/>
  <c r="AJ121" i="5" s="1"/>
  <c r="AK121" i="5" s="1"/>
  <c r="AL121" i="5" s="1"/>
  <c r="AM121" i="5" s="1"/>
  <c r="G188" i="5"/>
  <c r="E199" i="5"/>
  <c r="G230" i="5"/>
  <c r="AI132" i="5"/>
  <c r="AJ132" i="5" s="1"/>
  <c r="AK132" i="5" s="1"/>
  <c r="AL132" i="5" s="1"/>
  <c r="AM132" i="5" s="1"/>
  <c r="AI193" i="5"/>
  <c r="AJ193" i="5" s="1"/>
  <c r="AK193" i="5" s="1"/>
  <c r="AL193" i="5" s="1"/>
  <c r="F186" i="5"/>
  <c r="AG186" i="5" s="1"/>
  <c r="AH186" i="5" s="1"/>
  <c r="AI187" i="5"/>
  <c r="AJ187" i="5" s="1"/>
  <c r="AK187" i="5" s="1"/>
  <c r="AL187" i="5" s="1"/>
  <c r="H168" i="5"/>
  <c r="I154" i="3"/>
  <c r="J36" i="11"/>
  <c r="K36" i="11" s="1"/>
  <c r="H33" i="16"/>
  <c r="Y88" i="9"/>
  <c r="Y15" i="9"/>
  <c r="Y107" i="9"/>
  <c r="Y21" i="9"/>
  <c r="Y31" i="9"/>
  <c r="Y93" i="9"/>
  <c r="Y76" i="9"/>
  <c r="Y30" i="9"/>
  <c r="Y89" i="9"/>
  <c r="Y109" i="9"/>
  <c r="Y200" i="9"/>
  <c r="Y28" i="9"/>
  <c r="Y117" i="9"/>
  <c r="Y210" i="9"/>
  <c r="Y44" i="9"/>
  <c r="Y108" i="9"/>
  <c r="T34" i="9"/>
  <c r="T208" i="9"/>
  <c r="T104" i="9"/>
  <c r="T110" i="9"/>
  <c r="T54" i="9"/>
  <c r="Y86" i="9"/>
  <c r="Y67" i="9"/>
  <c r="Y38" i="9"/>
  <c r="Y116" i="9"/>
  <c r="Y102" i="9"/>
  <c r="Y81" i="9"/>
  <c r="Y47" i="9"/>
  <c r="Y58" i="9"/>
  <c r="Y55" i="9"/>
  <c r="Y79" i="9"/>
  <c r="Y62" i="9"/>
  <c r="Y100" i="9"/>
  <c r="Y14" i="9"/>
  <c r="Y25" i="9"/>
  <c r="Y34" i="9"/>
  <c r="Y17" i="9"/>
  <c r="T62" i="9"/>
  <c r="T31" i="9"/>
  <c r="T59" i="9"/>
  <c r="T30" i="9"/>
  <c r="T39" i="9"/>
  <c r="T99" i="9"/>
  <c r="T109" i="9"/>
  <c r="T73" i="9"/>
  <c r="T120" i="9"/>
  <c r="L69" i="7"/>
  <c r="J26" i="11"/>
  <c r="I31" i="16" s="1"/>
  <c r="J77" i="7"/>
  <c r="I182" i="7" s="1"/>
  <c r="G63" i="11" s="1"/>
  <c r="K166" i="3"/>
  <c r="H58" i="16" s="1"/>
  <c r="AI266" i="5"/>
  <c r="AJ266" i="5" s="1"/>
  <c r="AK266" i="5" s="1"/>
  <c r="AL266" i="5" s="1"/>
  <c r="AI200" i="5"/>
  <c r="AJ200" i="5" s="1"/>
  <c r="AI158" i="5"/>
  <c r="AJ158" i="5" s="1"/>
  <c r="AK158" i="5" s="1"/>
  <c r="AL158" i="5" s="1"/>
  <c r="AI240" i="5"/>
  <c r="AJ240" i="5" s="1"/>
  <c r="AK240" i="5" s="1"/>
  <c r="AL240" i="5" s="1"/>
  <c r="AK163" i="5"/>
  <c r="AL163" i="5" s="1"/>
  <c r="F154" i="5"/>
  <c r="AG154" i="5" s="1"/>
  <c r="AH154" i="5" s="1"/>
  <c r="AI181" i="5"/>
  <c r="AJ181" i="5" s="1"/>
  <c r="AK181" i="5" s="1"/>
  <c r="AL181" i="5" s="1"/>
  <c r="H270" i="5"/>
  <c r="AJ169" i="5"/>
  <c r="AK169" i="5" s="1"/>
  <c r="AL169" i="5" s="1"/>
  <c r="AI173" i="5"/>
  <c r="AJ173" i="5" s="1"/>
  <c r="AK173" i="5" s="1"/>
  <c r="AL173" i="5" s="1"/>
  <c r="AM173" i="5" s="1"/>
  <c r="AI264" i="5"/>
  <c r="AJ264" i="5" s="1"/>
  <c r="AK264" i="5" s="1"/>
  <c r="AL264" i="5" s="1"/>
  <c r="H188" i="7"/>
  <c r="F70" i="11" s="1"/>
  <c r="Y36" i="9"/>
  <c r="Y78" i="9"/>
  <c r="Y211" i="9"/>
  <c r="Y19" i="9"/>
  <c r="Y40" i="9"/>
  <c r="Y32" i="9"/>
  <c r="Y73" i="9"/>
  <c r="Y46" i="9"/>
  <c r="Y118" i="9"/>
  <c r="Y97" i="9"/>
  <c r="Y51" i="9"/>
  <c r="Y61" i="9"/>
  <c r="Y69" i="9"/>
  <c r="Y204" i="9"/>
  <c r="Y125" i="9"/>
  <c r="Y56" i="9"/>
  <c r="Y199" i="9"/>
  <c r="Y37" i="9"/>
  <c r="Y121" i="9"/>
  <c r="Y48" i="9"/>
  <c r="Y104" i="9"/>
  <c r="Y41" i="9"/>
  <c r="Y119" i="9"/>
  <c r="Y27" i="9"/>
  <c r="Y68" i="9"/>
  <c r="Y82" i="9"/>
  <c r="Y124" i="9"/>
  <c r="Y26" i="9"/>
  <c r="Y87" i="9"/>
  <c r="Y60" i="9"/>
  <c r="Y106" i="9"/>
  <c r="J25" i="11"/>
  <c r="I30" i="16" s="1"/>
  <c r="G15" i="11"/>
  <c r="J62" i="7"/>
  <c r="I179" i="7" s="1"/>
  <c r="G61" i="11" s="1"/>
  <c r="K156" i="3"/>
  <c r="J103" i="3"/>
  <c r="J156" i="3"/>
  <c r="AJ232" i="5"/>
  <c r="AK232" i="5" s="1"/>
  <c r="AL232" i="5" s="1"/>
  <c r="AJ229" i="5"/>
  <c r="AK229" i="5" s="1"/>
  <c r="AL229" i="5" s="1"/>
  <c r="AJ227" i="5"/>
  <c r="AK227" i="5" s="1"/>
  <c r="AL227" i="5" s="1"/>
  <c r="AJ223" i="5"/>
  <c r="AK223" i="5" s="1"/>
  <c r="AL223" i="5" s="1"/>
  <c r="AJ249" i="5"/>
  <c r="AK249" i="5" s="1"/>
  <c r="AL249" i="5" s="1"/>
  <c r="T89" i="9"/>
  <c r="T58" i="9"/>
  <c r="T119" i="9"/>
  <c r="T28" i="9"/>
  <c r="T126" i="9"/>
  <c r="T88" i="9"/>
  <c r="T23" i="9"/>
  <c r="T57" i="9"/>
  <c r="T27" i="9"/>
  <c r="T32" i="9"/>
  <c r="T207" i="9"/>
  <c r="T52" i="9"/>
  <c r="T72" i="9"/>
  <c r="T85" i="9"/>
  <c r="T37" i="9"/>
  <c r="T96" i="9"/>
  <c r="T210" i="9"/>
  <c r="T43" i="9"/>
  <c r="T20" i="9"/>
  <c r="T49" i="9"/>
  <c r="T29" i="9"/>
  <c r="T206" i="9"/>
  <c r="T111" i="9"/>
  <c r="T125" i="9"/>
  <c r="T209" i="9"/>
  <c r="T203" i="9"/>
  <c r="T44" i="9"/>
  <c r="T68" i="9"/>
  <c r="T212" i="9"/>
  <c r="T24" i="9"/>
  <c r="T124" i="9"/>
  <c r="T79" i="9"/>
  <c r="T205" i="9"/>
  <c r="T97" i="9"/>
  <c r="T84" i="9"/>
  <c r="T94" i="9"/>
  <c r="T71" i="9"/>
  <c r="T202" i="9"/>
  <c r="T33" i="9"/>
  <c r="T83" i="9"/>
  <c r="T107" i="9"/>
  <c r="T121" i="9"/>
  <c r="T64" i="9"/>
  <c r="T56" i="9"/>
  <c r="T77" i="9"/>
  <c r="T21" i="9"/>
  <c r="T55" i="9"/>
  <c r="T122" i="9"/>
  <c r="T51" i="9"/>
  <c r="T106" i="9"/>
  <c r="T45" i="9"/>
  <c r="T22" i="9"/>
  <c r="T74" i="9"/>
  <c r="T201" i="9"/>
  <c r="T115" i="9"/>
  <c r="T70" i="9"/>
  <c r="T40" i="9"/>
  <c r="T16" i="9"/>
  <c r="T42" i="9"/>
  <c r="T18" i="9"/>
  <c r="T113" i="9"/>
  <c r="T76" i="9"/>
  <c r="T80" i="9"/>
  <c r="T50" i="9"/>
  <c r="T87" i="9"/>
  <c r="T63" i="9"/>
  <c r="T98" i="9"/>
  <c r="T19" i="9"/>
  <c r="T67" i="9"/>
  <c r="T211" i="9"/>
  <c r="T213" i="9"/>
  <c r="T48" i="9"/>
  <c r="T117" i="9"/>
  <c r="T69" i="9"/>
  <c r="T200" i="9"/>
  <c r="T47" i="9"/>
  <c r="T81" i="9"/>
  <c r="T92" i="9"/>
  <c r="T114" i="9"/>
  <c r="T53" i="9"/>
  <c r="T101" i="9"/>
  <c r="T95" i="9"/>
  <c r="T86" i="9"/>
  <c r="T103" i="9"/>
  <c r="T17" i="9"/>
  <c r="T75" i="9"/>
  <c r="T91" i="9"/>
  <c r="T108" i="9"/>
  <c r="T105" i="9"/>
  <c r="T118" i="9"/>
  <c r="T123" i="9"/>
  <c r="T100" i="9"/>
  <c r="U35" i="9"/>
  <c r="U136" i="9"/>
  <c r="U187" i="9"/>
  <c r="U196" i="9"/>
  <c r="U192" i="9"/>
  <c r="U162" i="9"/>
  <c r="U147" i="9"/>
  <c r="U163" i="9"/>
  <c r="U194" i="9"/>
  <c r="U129" i="9"/>
  <c r="U148" i="9"/>
  <c r="U149" i="9"/>
  <c r="U154" i="9"/>
  <c r="U185" i="9"/>
  <c r="U179" i="9"/>
  <c r="U193" i="9"/>
  <c r="U166" i="9"/>
  <c r="U175" i="9"/>
  <c r="U144" i="9"/>
  <c r="U188" i="9"/>
  <c r="U128" i="9"/>
  <c r="U132" i="9"/>
  <c r="U143" i="9"/>
  <c r="U156" i="9"/>
  <c r="U127" i="9"/>
  <c r="U139" i="9"/>
  <c r="U172" i="9"/>
  <c r="U181" i="9"/>
  <c r="U133" i="9"/>
  <c r="U141" i="9"/>
  <c r="U155" i="9"/>
  <c r="U186" i="9"/>
  <c r="U183" i="9"/>
  <c r="U160" i="9"/>
  <c r="U167" i="9"/>
  <c r="U140" i="9"/>
  <c r="U134" i="9"/>
  <c r="U142" i="9"/>
  <c r="U135" i="9"/>
  <c r="U130" i="9"/>
  <c r="U138" i="9"/>
  <c r="U170" i="9"/>
  <c r="U180" i="9"/>
  <c r="U150" i="9"/>
  <c r="U184" i="9"/>
  <c r="U146" i="9"/>
  <c r="U131" i="9"/>
  <c r="U137" i="9"/>
  <c r="U171" i="9"/>
  <c r="U197" i="9"/>
  <c r="U198" i="9"/>
  <c r="U158" i="9"/>
  <c r="U159" i="9"/>
  <c r="U161" i="9"/>
  <c r="U177" i="9"/>
  <c r="U189" i="9"/>
  <c r="U195" i="9"/>
  <c r="U165" i="9"/>
  <c r="U151" i="9"/>
  <c r="U152" i="9"/>
  <c r="U168" i="9"/>
  <c r="U173" i="9"/>
  <c r="U176" i="9"/>
  <c r="U145" i="9"/>
  <c r="U164" i="9"/>
  <c r="U191" i="9"/>
  <c r="U174" i="9"/>
  <c r="U190" i="9"/>
  <c r="U157" i="9"/>
  <c r="U178" i="9"/>
  <c r="U182" i="9"/>
  <c r="U153" i="9"/>
  <c r="U169" i="9"/>
  <c r="Y198" i="9"/>
  <c r="Y193" i="9"/>
  <c r="Y192" i="9"/>
  <c r="Y191" i="9"/>
  <c r="Y186" i="9"/>
  <c r="Y180" i="9"/>
  <c r="Y177" i="9"/>
  <c r="Y170" i="9"/>
  <c r="Y163" i="9"/>
  <c r="Y160" i="9"/>
  <c r="Y154" i="9"/>
  <c r="Y197" i="9"/>
  <c r="Y190" i="9"/>
  <c r="Y185" i="9"/>
  <c r="Y184" i="9"/>
  <c r="Y183" i="9"/>
  <c r="Y179" i="9"/>
  <c r="Y176" i="9"/>
  <c r="Y168" i="9"/>
  <c r="Y165" i="9"/>
  <c r="Y162" i="9"/>
  <c r="Y159" i="9"/>
  <c r="Y157" i="9"/>
  <c r="Y152" i="9"/>
  <c r="Y149" i="9"/>
  <c r="Y196" i="9"/>
  <c r="Y195" i="9"/>
  <c r="Y182" i="9"/>
  <c r="Y178" i="9"/>
  <c r="Y175" i="9"/>
  <c r="Y173" i="9"/>
  <c r="Y167" i="9"/>
  <c r="Y158" i="9"/>
  <c r="Y156" i="9"/>
  <c r="Y151" i="9"/>
  <c r="Y166" i="9"/>
  <c r="Y150" i="9"/>
  <c r="Y148" i="9"/>
  <c r="Y145" i="9"/>
  <c r="Y140" i="9"/>
  <c r="Y139" i="9"/>
  <c r="Y137" i="9"/>
  <c r="Y133" i="9"/>
  <c r="Y174" i="9"/>
  <c r="Y164" i="9"/>
  <c r="Y130" i="9"/>
  <c r="Y128" i="9"/>
  <c r="Y127" i="9"/>
  <c r="Y194" i="9"/>
  <c r="Y187" i="9"/>
  <c r="Y169" i="9"/>
  <c r="Y161" i="9"/>
  <c r="Y153" i="9"/>
  <c r="Y147" i="9"/>
  <c r="Y138" i="9"/>
  <c r="Y136" i="9"/>
  <c r="Y135" i="9"/>
  <c r="Y132" i="9"/>
  <c r="Y188" i="9"/>
  <c r="Y155" i="9"/>
  <c r="Y142" i="9"/>
  <c r="Y189" i="9"/>
  <c r="Y181" i="9"/>
  <c r="Y172" i="9"/>
  <c r="Y146" i="9"/>
  <c r="Y144" i="9"/>
  <c r="Y143" i="9"/>
  <c r="Y141" i="9"/>
  <c r="Y134" i="9"/>
  <c r="Y131" i="9"/>
  <c r="Y129" i="9"/>
  <c r="Y171" i="9"/>
  <c r="T26" i="9"/>
  <c r="T174" i="9"/>
  <c r="T170" i="9"/>
  <c r="T154" i="9"/>
  <c r="T190" i="9"/>
  <c r="T149" i="9"/>
  <c r="T142" i="9"/>
  <c r="T130" i="9"/>
  <c r="T138" i="9"/>
  <c r="T158" i="9"/>
  <c r="T178" i="9"/>
  <c r="T163" i="9"/>
  <c r="T176" i="9"/>
  <c r="T140" i="9"/>
  <c r="T164" i="9"/>
  <c r="T141" i="9"/>
  <c r="T152" i="9"/>
  <c r="T168" i="9"/>
  <c r="T175" i="9"/>
  <c r="T161" i="9"/>
  <c r="T177" i="9"/>
  <c r="T147" i="9"/>
  <c r="T127" i="9"/>
  <c r="T143" i="9"/>
  <c r="T162" i="9"/>
  <c r="T139" i="9"/>
  <c r="T179" i="9"/>
  <c r="T183" i="9"/>
  <c r="T129" i="9"/>
  <c r="T148" i="9"/>
  <c r="T155" i="9"/>
  <c r="T185" i="9"/>
  <c r="T193" i="9"/>
  <c r="T145" i="9"/>
  <c r="T167" i="9"/>
  <c r="T198" i="9"/>
  <c r="T128" i="9"/>
  <c r="T135" i="9"/>
  <c r="T156" i="9"/>
  <c r="T172" i="9"/>
  <c r="T181" i="9"/>
  <c r="T136" i="9"/>
  <c r="T144" i="9"/>
  <c r="T133" i="9"/>
  <c r="T160" i="9"/>
  <c r="T191" i="9"/>
  <c r="T137" i="9"/>
  <c r="T187" i="9"/>
  <c r="T165" i="9"/>
  <c r="T196" i="9"/>
  <c r="T159" i="9"/>
  <c r="T169" i="9"/>
  <c r="T184" i="9"/>
  <c r="T131" i="9"/>
  <c r="T157" i="9"/>
  <c r="T134" i="9"/>
  <c r="T180" i="9"/>
  <c r="T197" i="9"/>
  <c r="T186" i="9"/>
  <c r="T182" i="9"/>
  <c r="T132" i="9"/>
  <c r="T151" i="9"/>
  <c r="T150" i="9"/>
  <c r="T166" i="9"/>
  <c r="T189" i="9"/>
  <c r="T195" i="9"/>
  <c r="T153" i="9"/>
  <c r="T173" i="9"/>
  <c r="T188" i="9"/>
  <c r="T146" i="9"/>
  <c r="T194" i="9"/>
  <c r="T171" i="9"/>
  <c r="T192" i="9"/>
  <c r="S81" i="9"/>
  <c r="S181" i="9"/>
  <c r="S169" i="9"/>
  <c r="S153" i="9"/>
  <c r="S197" i="9"/>
  <c r="S165" i="9"/>
  <c r="S144" i="9"/>
  <c r="S141" i="9"/>
  <c r="S148" i="9"/>
  <c r="S145" i="9"/>
  <c r="S136" i="9"/>
  <c r="S140" i="9"/>
  <c r="S147" i="9"/>
  <c r="S137" i="9"/>
  <c r="S135" i="9"/>
  <c r="S157" i="9"/>
  <c r="S146" i="9"/>
  <c r="S133" i="9"/>
  <c r="S171" i="9"/>
  <c r="S173" i="9"/>
  <c r="S180" i="9"/>
  <c r="S191" i="9"/>
  <c r="S178" i="9"/>
  <c r="S151" i="9"/>
  <c r="S187" i="9"/>
  <c r="S159" i="9"/>
  <c r="S161" i="9"/>
  <c r="S174" i="9"/>
  <c r="S190" i="9"/>
  <c r="S193" i="9"/>
  <c r="S196" i="9"/>
  <c r="S134" i="9"/>
  <c r="S129" i="9"/>
  <c r="S142" i="9"/>
  <c r="S162" i="9"/>
  <c r="S131" i="9"/>
  <c r="S138" i="9"/>
  <c r="S163" i="9"/>
  <c r="S194" i="9"/>
  <c r="S176" i="9"/>
  <c r="S154" i="9"/>
  <c r="S164" i="9"/>
  <c r="S166" i="9"/>
  <c r="S132" i="9"/>
  <c r="S179" i="9"/>
  <c r="S183" i="9"/>
  <c r="S155" i="9"/>
  <c r="S186" i="9"/>
  <c r="S189" i="9"/>
  <c r="S128" i="9"/>
  <c r="S127" i="9"/>
  <c r="S160" i="9"/>
  <c r="S182" i="9"/>
  <c r="S152" i="9"/>
  <c r="S168" i="9"/>
  <c r="S188" i="9"/>
  <c r="S149" i="9"/>
  <c r="S177" i="9"/>
  <c r="S185" i="9"/>
  <c r="S156" i="9"/>
  <c r="S172" i="9"/>
  <c r="S150" i="9"/>
  <c r="S192" i="9"/>
  <c r="S130" i="9"/>
  <c r="S139" i="9"/>
  <c r="S170" i="9"/>
  <c r="S167" i="9"/>
  <c r="S198" i="9"/>
  <c r="S158" i="9"/>
  <c r="S175" i="9"/>
  <c r="S143" i="9"/>
  <c r="S195" i="9"/>
  <c r="S184" i="9"/>
  <c r="V8" i="9"/>
  <c r="V213" i="9" s="1"/>
  <c r="U80" i="9"/>
  <c r="U17" i="9"/>
  <c r="U22" i="9"/>
  <c r="U42" i="9"/>
  <c r="S207" i="9"/>
  <c r="S86" i="9"/>
  <c r="K187" i="7"/>
  <c r="I69" i="11" s="1"/>
  <c r="U66" i="9"/>
  <c r="U101" i="9"/>
  <c r="U85" i="9"/>
  <c r="U79" i="9"/>
  <c r="U65" i="9"/>
  <c r="U25" i="9"/>
  <c r="U100" i="9"/>
  <c r="U211" i="9"/>
  <c r="U95" i="9"/>
  <c r="U58" i="9"/>
  <c r="U206" i="9"/>
  <c r="U69" i="9"/>
  <c r="U18" i="9"/>
  <c r="U51" i="9"/>
  <c r="U105" i="9"/>
  <c r="U62" i="9"/>
  <c r="U82" i="9"/>
  <c r="U37" i="9"/>
  <c r="U112" i="9"/>
  <c r="U75" i="9"/>
  <c r="U43" i="9"/>
  <c r="AM156" i="5"/>
  <c r="F204" i="5"/>
  <c r="AG204" i="5" s="1"/>
  <c r="AH204" i="5" s="1"/>
  <c r="G270" i="5"/>
  <c r="G337" i="5" s="1"/>
  <c r="G404" i="5" s="1"/>
  <c r="S42" i="9"/>
  <c r="S50" i="9"/>
  <c r="S90" i="9"/>
  <c r="P12" i="9"/>
  <c r="AM153" i="5"/>
  <c r="E84" i="6"/>
  <c r="E99" i="6"/>
  <c r="E69" i="4"/>
  <c r="E183" i="5"/>
  <c r="E92" i="6"/>
  <c r="H195" i="5"/>
  <c r="H171" i="5"/>
  <c r="AG67" i="4"/>
  <c r="AH67" i="4" s="1"/>
  <c r="G246" i="5"/>
  <c r="G313" i="5" s="1"/>
  <c r="G380" i="5" s="1"/>
  <c r="AI179" i="5"/>
  <c r="AJ179" i="5" s="1"/>
  <c r="AK179" i="5" s="1"/>
  <c r="AL179" i="5" s="1"/>
  <c r="E73" i="4"/>
  <c r="E97" i="6"/>
  <c r="K134" i="3"/>
  <c r="E167" i="5"/>
  <c r="AI203" i="5"/>
  <c r="AJ203" i="5" s="1"/>
  <c r="AK203" i="5" s="1"/>
  <c r="AL203" i="5" s="1"/>
  <c r="H248" i="5"/>
  <c r="AK200" i="5"/>
  <c r="AL200" i="5" s="1"/>
  <c r="S36" i="9"/>
  <c r="S15" i="9"/>
  <c r="S34" i="9"/>
  <c r="S102" i="9"/>
  <c r="S33" i="9"/>
  <c r="S35" i="9"/>
  <c r="I37" i="13"/>
  <c r="K188" i="7"/>
  <c r="I70" i="11" s="1"/>
  <c r="I158" i="3"/>
  <c r="G18" i="11" s="1"/>
  <c r="J72" i="14" s="1"/>
  <c r="H199" i="5"/>
  <c r="H183" i="5"/>
  <c r="AI254" i="5"/>
  <c r="AJ254" i="5" s="1"/>
  <c r="AK254" i="5" s="1"/>
  <c r="AL254" i="5" s="1"/>
  <c r="E203" i="5"/>
  <c r="I46" i="12"/>
  <c r="J44" i="12"/>
  <c r="K44" i="12" s="1"/>
  <c r="AI100" i="5"/>
  <c r="AJ100" i="5" s="1"/>
  <c r="AK100" i="5" s="1"/>
  <c r="AL100" i="5" s="1"/>
  <c r="AM100" i="5" s="1"/>
  <c r="K181" i="7"/>
  <c r="AI161" i="5"/>
  <c r="AJ161" i="5" s="1"/>
  <c r="AK161" i="5" s="1"/>
  <c r="AL161" i="5" s="1"/>
  <c r="S105" i="9"/>
  <c r="S56" i="9"/>
  <c r="S95" i="9"/>
  <c r="S206" i="9"/>
  <c r="S104" i="9"/>
  <c r="AG36" i="6"/>
  <c r="F91" i="6"/>
  <c r="AG91" i="6" s="1"/>
  <c r="AH91" i="6" s="1"/>
  <c r="E85" i="6"/>
  <c r="E88" i="6"/>
  <c r="E83" i="6"/>
  <c r="E175" i="5"/>
  <c r="E90" i="6"/>
  <c r="F39" i="16"/>
  <c r="G44" i="13"/>
  <c r="J91" i="19"/>
  <c r="AG98" i="6"/>
  <c r="AH98" i="6" s="1"/>
  <c r="H67" i="14"/>
  <c r="F259" i="5"/>
  <c r="H239" i="5"/>
  <c r="F128" i="6"/>
  <c r="AG96" i="6"/>
  <c r="AH96" i="6" s="1"/>
  <c r="J134" i="3"/>
  <c r="H259" i="5"/>
  <c r="G28" i="13"/>
  <c r="U203" i="9"/>
  <c r="U99" i="9"/>
  <c r="U78" i="9"/>
  <c r="U40" i="9"/>
  <c r="S62" i="9"/>
  <c r="S60" i="9"/>
  <c r="S211" i="9"/>
  <c r="S46" i="9"/>
  <c r="S118" i="9"/>
  <c r="S77" i="9"/>
  <c r="S55" i="9"/>
  <c r="S18" i="9"/>
  <c r="U41" i="9"/>
  <c r="U92" i="9"/>
  <c r="U67" i="9"/>
  <c r="K24" i="7"/>
  <c r="F196" i="5"/>
  <c r="AG196" i="5" s="1"/>
  <c r="AH196" i="5" s="1"/>
  <c r="H83" i="6"/>
  <c r="H86" i="6"/>
  <c r="H88" i="6"/>
  <c r="H90" i="6"/>
  <c r="H92" i="6"/>
  <c r="H94" i="6"/>
  <c r="H96" i="6"/>
  <c r="H98" i="6"/>
  <c r="H100" i="6"/>
  <c r="H82" i="6"/>
  <c r="H85" i="6"/>
  <c r="H87" i="6"/>
  <c r="H91" i="6"/>
  <c r="H93" i="6"/>
  <c r="H95" i="6"/>
  <c r="H31" i="16"/>
  <c r="J187" i="7"/>
  <c r="H69" i="11" s="1"/>
  <c r="I38" i="12"/>
  <c r="I42" i="12" s="1"/>
  <c r="I16" i="8"/>
  <c r="I19" i="8" s="1"/>
  <c r="J182" i="7"/>
  <c r="U70" i="9"/>
  <c r="U113" i="9"/>
  <c r="U103" i="9"/>
  <c r="U117" i="9"/>
  <c r="U84" i="9"/>
  <c r="U76" i="9"/>
  <c r="U121" i="9"/>
  <c r="U60" i="9"/>
  <c r="U213" i="9"/>
  <c r="U54" i="9"/>
  <c r="U64" i="9"/>
  <c r="U93" i="9"/>
  <c r="U48" i="9"/>
  <c r="U30" i="9"/>
  <c r="U107" i="9"/>
  <c r="U32" i="9"/>
  <c r="U109" i="9"/>
  <c r="U205" i="9"/>
  <c r="U56" i="9"/>
  <c r="U52" i="9"/>
  <c r="AB8" i="9"/>
  <c r="U34" i="9"/>
  <c r="U44" i="9"/>
  <c r="U91" i="9"/>
  <c r="U86" i="9"/>
  <c r="U118" i="9"/>
  <c r="U110" i="9"/>
  <c r="U61" i="9"/>
  <c r="U53" i="9"/>
  <c r="U87" i="9"/>
  <c r="U200" i="9"/>
  <c r="U120" i="9"/>
  <c r="U88" i="9"/>
  <c r="U71" i="9"/>
  <c r="U15" i="9"/>
  <c r="U202" i="9"/>
  <c r="U106" i="9"/>
  <c r="U90" i="9"/>
  <c r="U73" i="9"/>
  <c r="U57" i="9"/>
  <c r="U33" i="9"/>
  <c r="U19" i="9"/>
  <c r="U204" i="9"/>
  <c r="U124" i="9"/>
  <c r="U116" i="9"/>
  <c r="U26" i="9"/>
  <c r="U199" i="9"/>
  <c r="U74" i="9"/>
  <c r="U38" i="9"/>
  <c r="U16" i="9"/>
  <c r="U46" i="9"/>
  <c r="U125" i="9"/>
  <c r="U89" i="9"/>
  <c r="U72" i="9"/>
  <c r="U50" i="9"/>
  <c r="U36" i="9"/>
  <c r="U115" i="9"/>
  <c r="U102" i="9"/>
  <c r="U77" i="9"/>
  <c r="U63" i="9"/>
  <c r="U55" i="9"/>
  <c r="U39" i="9"/>
  <c r="U31" i="9"/>
  <c r="U122" i="9"/>
  <c r="U114" i="9"/>
  <c r="U81" i="9"/>
  <c r="U27" i="9"/>
  <c r="U14" i="9"/>
  <c r="U119" i="9"/>
  <c r="U123" i="9"/>
  <c r="U201" i="9"/>
  <c r="U207" i="9"/>
  <c r="U68" i="9"/>
  <c r="U97" i="9"/>
  <c r="U24" i="9"/>
  <c r="U94" i="9"/>
  <c r="U29" i="9"/>
  <c r="U96" i="9"/>
  <c r="U47" i="9"/>
  <c r="U23" i="9"/>
  <c r="U210" i="9"/>
  <c r="U98" i="9"/>
  <c r="U212" i="9"/>
  <c r="U83" i="9"/>
  <c r="U59" i="9"/>
  <c r="U209" i="9"/>
  <c r="U111" i="9"/>
  <c r="U28" i="9"/>
  <c r="U126" i="9"/>
  <c r="U45" i="9"/>
  <c r="U21" i="9"/>
  <c r="U208" i="9"/>
  <c r="U104" i="9"/>
  <c r="U49" i="9"/>
  <c r="U20" i="9"/>
  <c r="S97" i="9"/>
  <c r="S84" i="9"/>
  <c r="S16" i="9"/>
  <c r="S54" i="9"/>
  <c r="S76" i="9"/>
  <c r="S121" i="9"/>
  <c r="Z8" i="9"/>
  <c r="S52" i="9"/>
  <c r="S66" i="9"/>
  <c r="S70" i="9"/>
  <c r="S48" i="9"/>
  <c r="S82" i="9"/>
  <c r="S111" i="9"/>
  <c r="S58" i="9"/>
  <c r="S113" i="9"/>
  <c r="S30" i="9"/>
  <c r="S32" i="9"/>
  <c r="S72" i="9"/>
  <c r="S119" i="9"/>
  <c r="S91" i="9"/>
  <c r="S22" i="9"/>
  <c r="S125" i="9"/>
  <c r="S93" i="9"/>
  <c r="S40" i="9"/>
  <c r="S201" i="9"/>
  <c r="S126" i="9"/>
  <c r="S85" i="9"/>
  <c r="S17" i="9"/>
  <c r="S208" i="9"/>
  <c r="S112" i="9"/>
  <c r="S88" i="9"/>
  <c r="S79" i="9"/>
  <c r="S63" i="9"/>
  <c r="S47" i="9"/>
  <c r="S39" i="9"/>
  <c r="S31" i="9"/>
  <c r="S202" i="9"/>
  <c r="S98" i="9"/>
  <c r="S73" i="9"/>
  <c r="S65" i="9"/>
  <c r="S57" i="9"/>
  <c r="S49" i="9"/>
  <c r="S41" i="9"/>
  <c r="S25" i="9"/>
  <c r="S14" i="9"/>
  <c r="S212" i="9"/>
  <c r="S124" i="9"/>
  <c r="S108" i="9"/>
  <c r="S100" i="9"/>
  <c r="S92" i="9"/>
  <c r="S83" i="9"/>
  <c r="S75" i="9"/>
  <c r="S59" i="9"/>
  <c r="S43" i="9"/>
  <c r="S27" i="9"/>
  <c r="S123" i="9"/>
  <c r="S74" i="9"/>
  <c r="S68" i="9"/>
  <c r="S38" i="9"/>
  <c r="S44" i="9"/>
  <c r="S203" i="9"/>
  <c r="S26" i="9"/>
  <c r="S103" i="9"/>
  <c r="S213" i="9"/>
  <c r="S109" i="9"/>
  <c r="S24" i="9"/>
  <c r="S89" i="9"/>
  <c r="S94" i="9"/>
  <c r="S61" i="9"/>
  <c r="S45" i="9"/>
  <c r="S29" i="9"/>
  <c r="S21" i="9"/>
  <c r="S87" i="9"/>
  <c r="S96" i="9"/>
  <c r="S23" i="9"/>
  <c r="S210" i="9"/>
  <c r="S106" i="9"/>
  <c r="S51" i="9"/>
  <c r="S20" i="9"/>
  <c r="S199" i="9"/>
  <c r="S99" i="9"/>
  <c r="S115" i="9"/>
  <c r="S101" i="9"/>
  <c r="S64" i="9"/>
  <c r="S28" i="9"/>
  <c r="S80" i="9"/>
  <c r="S117" i="9"/>
  <c r="S209" i="9"/>
  <c r="S205" i="9"/>
  <c r="S107" i="9"/>
  <c r="S78" i="9"/>
  <c r="S110" i="9"/>
  <c r="S71" i="9"/>
  <c r="S114" i="9"/>
  <c r="S204" i="9"/>
  <c r="S116" i="9"/>
  <c r="S67" i="9"/>
  <c r="S69" i="9"/>
  <c r="S53" i="9"/>
  <c r="S37" i="9"/>
  <c r="S200" i="9"/>
  <c r="S120" i="9"/>
  <c r="S122" i="9"/>
  <c r="S19" i="9"/>
  <c r="H26" i="11"/>
  <c r="J188" i="7"/>
  <c r="H70" i="11" s="1"/>
  <c r="I188" i="7"/>
  <c r="G70" i="11" s="1"/>
  <c r="L56" i="7"/>
  <c r="K62" i="7"/>
  <c r="K97" i="3"/>
  <c r="K103" i="3" s="1"/>
  <c r="J35" i="11"/>
  <c r="K35" i="11" s="1"/>
  <c r="J32" i="16" s="1"/>
  <c r="I38" i="11"/>
  <c r="H32" i="16"/>
  <c r="F78" i="14"/>
  <c r="F31" i="16"/>
  <c r="I9" i="7"/>
  <c r="Y105" i="9"/>
  <c r="Y103" i="9"/>
  <c r="Y101" i="9"/>
  <c r="Y57" i="9"/>
  <c r="Y66" i="9"/>
  <c r="Y111" i="9"/>
  <c r="Y65" i="9"/>
  <c r="Y110" i="9"/>
  <c r="Y84" i="9"/>
  <c r="Y33" i="9"/>
  <c r="Y122" i="9"/>
  <c r="Y98" i="9"/>
  <c r="Y74" i="9"/>
  <c r="Y112" i="9"/>
  <c r="Y114" i="9"/>
  <c r="Y20" i="9"/>
  <c r="Y126" i="9"/>
  <c r="Y29" i="9"/>
  <c r="Y94" i="9"/>
  <c r="Y208" i="9"/>
  <c r="Y16" i="9"/>
  <c r="Y205" i="9"/>
  <c r="Y92" i="9"/>
  <c r="Y115" i="9"/>
  <c r="Y59" i="9"/>
  <c r="Y71" i="9"/>
  <c r="Y35" i="9"/>
  <c r="Y23" i="9"/>
  <c r="Y64" i="9"/>
  <c r="Y95" i="9"/>
  <c r="Y42" i="9"/>
  <c r="Y99" i="9"/>
  <c r="Y113" i="9"/>
  <c r="F131" i="6"/>
  <c r="AG99" i="6"/>
  <c r="AH99" i="6" s="1"/>
  <c r="R15" i="9"/>
  <c r="T15" i="9"/>
  <c r="G25" i="11"/>
  <c r="F30" i="16" s="1"/>
  <c r="I187" i="7"/>
  <c r="G69" i="11" s="1"/>
  <c r="J19" i="12"/>
  <c r="F151" i="5"/>
  <c r="H94" i="4"/>
  <c r="F165" i="5"/>
  <c r="AG165" i="5" s="1"/>
  <c r="AH165" i="5" s="1"/>
  <c r="J20" i="12"/>
  <c r="H23" i="13"/>
  <c r="I55" i="12"/>
  <c r="J48" i="12"/>
  <c r="K48" i="12" s="1"/>
  <c r="H24" i="13"/>
  <c r="J21" i="12"/>
  <c r="F161" i="5"/>
  <c r="AG161" i="5" s="1"/>
  <c r="AH161" i="5" s="1"/>
  <c r="F173" i="5"/>
  <c r="AG173" i="5" s="1"/>
  <c r="AH173" i="5" s="1"/>
  <c r="F191" i="5"/>
  <c r="AG191" i="5" s="1"/>
  <c r="AH191" i="5" s="1"/>
  <c r="AG58" i="6"/>
  <c r="AH58" i="6" s="1"/>
  <c r="F90" i="6"/>
  <c r="AG70" i="4"/>
  <c r="AH70" i="4" s="1"/>
  <c r="H52" i="14"/>
  <c r="I41" i="16"/>
  <c r="K27" i="2"/>
  <c r="J37" i="2"/>
  <c r="H53" i="14"/>
  <c r="H44" i="16"/>
  <c r="F166" i="5"/>
  <c r="G175" i="5"/>
  <c r="AI108" i="5"/>
  <c r="AJ108" i="5" s="1"/>
  <c r="AK108" i="5" s="1"/>
  <c r="AL108" i="5" s="1"/>
  <c r="AM108" i="5" s="1"/>
  <c r="E194" i="5"/>
  <c r="E253" i="5"/>
  <c r="E320" i="5" s="1"/>
  <c r="E387" i="5" s="1"/>
  <c r="E454" i="5" s="1"/>
  <c r="F170" i="5"/>
  <c r="AG170" i="5" s="1"/>
  <c r="AH170" i="5" s="1"/>
  <c r="AM196" i="5"/>
  <c r="J263" i="5"/>
  <c r="AI116" i="5"/>
  <c r="AJ116" i="5" s="1"/>
  <c r="AK116" i="5" s="1"/>
  <c r="AL116" i="5" s="1"/>
  <c r="AM116" i="5" s="1"/>
  <c r="G183" i="5"/>
  <c r="G191" i="5"/>
  <c r="AI124" i="5"/>
  <c r="AJ124" i="5" s="1"/>
  <c r="AK124" i="5" s="1"/>
  <c r="AL124" i="5" s="1"/>
  <c r="AM124" i="5" s="1"/>
  <c r="F178" i="5"/>
  <c r="AG178" i="5" s="1"/>
  <c r="AH178" i="5" s="1"/>
  <c r="H197" i="5"/>
  <c r="G195" i="5"/>
  <c r="AI128" i="5"/>
  <c r="AJ128" i="5" s="1"/>
  <c r="AK128" i="5" s="1"/>
  <c r="AL128" i="5" s="1"/>
  <c r="AM128" i="5" s="1"/>
  <c r="AI269" i="5"/>
  <c r="AJ269" i="5" s="1"/>
  <c r="AK269" i="5" s="1"/>
  <c r="AL269" i="5" s="1"/>
  <c r="AI235" i="5"/>
  <c r="AJ235" i="5" s="1"/>
  <c r="AK235" i="5" s="1"/>
  <c r="AL235" i="5" s="1"/>
  <c r="AG87" i="6"/>
  <c r="AH87" i="6" s="1"/>
  <c r="F119" i="6"/>
  <c r="F265" i="5"/>
  <c r="F194" i="5"/>
  <c r="AG194" i="5" s="1"/>
  <c r="AH194" i="5" s="1"/>
  <c r="AI263" i="5"/>
  <c r="AJ263" i="5" s="1"/>
  <c r="AK263" i="5" s="1"/>
  <c r="AL263" i="5" s="1"/>
  <c r="F26" i="10"/>
  <c r="F172" i="5"/>
  <c r="AG172" i="5" s="1"/>
  <c r="AH172" i="5" s="1"/>
  <c r="F83" i="6"/>
  <c r="AG51" i="6"/>
  <c r="AH51" i="6" s="1"/>
  <c r="F8" i="14"/>
  <c r="F11" i="14" s="1"/>
  <c r="G8" i="13"/>
  <c r="F230" i="5"/>
  <c r="H240" i="5"/>
  <c r="AI198" i="5"/>
  <c r="AJ198" i="5" s="1"/>
  <c r="AK198" i="5" s="1"/>
  <c r="AL198" i="5" s="1"/>
  <c r="G265" i="5"/>
  <c r="G332" i="5" s="1"/>
  <c r="G399" i="5" s="1"/>
  <c r="AI201" i="5"/>
  <c r="AJ201" i="5" s="1"/>
  <c r="AK201" i="5" s="1"/>
  <c r="AL201" i="5" s="1"/>
  <c r="G268" i="5"/>
  <c r="G335" i="5" s="1"/>
  <c r="G402" i="5" s="1"/>
  <c r="J258" i="5"/>
  <c r="F202" i="5"/>
  <c r="AG202" i="5" s="1"/>
  <c r="AH202" i="5" s="1"/>
  <c r="AG68" i="6"/>
  <c r="AH68" i="6" s="1"/>
  <c r="F100" i="6"/>
  <c r="AI167" i="5"/>
  <c r="AJ167" i="5" s="1"/>
  <c r="AK167" i="5" s="1"/>
  <c r="AL167" i="5" s="1"/>
  <c r="G234" i="5"/>
  <c r="G301" i="5" s="1"/>
  <c r="G368" i="5" s="1"/>
  <c r="H129" i="6"/>
  <c r="F241" i="5"/>
  <c r="E268" i="5"/>
  <c r="E335" i="5" s="1"/>
  <c r="E402" i="5" s="1"/>
  <c r="E469" i="5" s="1"/>
  <c r="AI176" i="5"/>
  <c r="AJ176" i="5" s="1"/>
  <c r="AK176" i="5" s="1"/>
  <c r="AL176" i="5" s="1"/>
  <c r="G243" i="5"/>
  <c r="G310" i="5" s="1"/>
  <c r="G377" i="5" s="1"/>
  <c r="F257" i="5"/>
  <c r="H95" i="7"/>
  <c r="H241" i="5"/>
  <c r="G221" i="5"/>
  <c r="AI154" i="5"/>
  <c r="AJ154" i="5" s="1"/>
  <c r="AK154" i="5" s="1"/>
  <c r="AL154" i="5" s="1"/>
  <c r="H121" i="6"/>
  <c r="AI177" i="5"/>
  <c r="AJ177" i="5" s="1"/>
  <c r="AK177" i="5" s="1"/>
  <c r="AL177" i="5" s="1"/>
  <c r="G244" i="5"/>
  <c r="G311" i="5" s="1"/>
  <c r="G378" i="5" s="1"/>
  <c r="H243" i="5"/>
  <c r="H247" i="5"/>
  <c r="H245" i="5"/>
  <c r="AG56" i="6"/>
  <c r="AH56" i="6" s="1"/>
  <c r="F88" i="6"/>
  <c r="H253" i="5"/>
  <c r="J256" i="5"/>
  <c r="J242" i="5"/>
  <c r="AI186" i="5"/>
  <c r="AJ186" i="5" s="1"/>
  <c r="AK186" i="5" s="1"/>
  <c r="AL186" i="5" s="1"/>
  <c r="G253" i="5"/>
  <c r="G320" i="5" s="1"/>
  <c r="G387" i="5" s="1"/>
  <c r="G238" i="5"/>
  <c r="G305" i="5" s="1"/>
  <c r="G372" i="5" s="1"/>
  <c r="AI171" i="5"/>
  <c r="AJ171" i="5" s="1"/>
  <c r="AK171" i="5" s="1"/>
  <c r="AL171" i="5" s="1"/>
  <c r="G256" i="5"/>
  <c r="G323" i="5" s="1"/>
  <c r="G390" i="5" s="1"/>
  <c r="AI189" i="5"/>
  <c r="AJ189" i="5" s="1"/>
  <c r="AK189" i="5" s="1"/>
  <c r="AL189" i="5" s="1"/>
  <c r="AM189" i="5" s="1"/>
  <c r="J240" i="5"/>
  <c r="AI184" i="5"/>
  <c r="AJ184" i="5" s="1"/>
  <c r="AK184" i="5" s="1"/>
  <c r="AL184" i="5" s="1"/>
  <c r="G251" i="5"/>
  <c r="G318" i="5" s="1"/>
  <c r="G385" i="5" s="1"/>
  <c r="H256" i="5"/>
  <c r="J272" i="5"/>
  <c r="G239" i="5"/>
  <c r="G306" i="5" s="1"/>
  <c r="G373" i="5" s="1"/>
  <c r="AI172" i="5"/>
  <c r="AJ172" i="5" s="1"/>
  <c r="AK172" i="5" s="1"/>
  <c r="AL172" i="5" s="1"/>
  <c r="AI190" i="5"/>
  <c r="AJ190" i="5" s="1"/>
  <c r="AK190" i="5" s="1"/>
  <c r="AL190" i="5" s="1"/>
  <c r="G257" i="5"/>
  <c r="G324" i="5" s="1"/>
  <c r="G391" i="5" s="1"/>
  <c r="AI166" i="5"/>
  <c r="AJ166" i="5" s="1"/>
  <c r="AK166" i="5" s="1"/>
  <c r="AL166" i="5" s="1"/>
  <c r="G233" i="5"/>
  <c r="G300" i="5" s="1"/>
  <c r="G367" i="5" s="1"/>
  <c r="G272" i="5"/>
  <c r="G339" i="5" s="1"/>
  <c r="G406" i="5" s="1"/>
  <c r="AI205" i="5"/>
  <c r="AJ205" i="5" s="1"/>
  <c r="AK205" i="5" s="1"/>
  <c r="AL205" i="5" s="1"/>
  <c r="AM205" i="5" s="1"/>
  <c r="F238" i="5"/>
  <c r="H252" i="5"/>
  <c r="E93" i="6"/>
  <c r="J37" i="10"/>
  <c r="AI185" i="5"/>
  <c r="AJ185" i="5" s="1"/>
  <c r="AK185" i="5" s="1"/>
  <c r="AL185" i="5" s="1"/>
  <c r="G252" i="5"/>
  <c r="G319" i="5" s="1"/>
  <c r="G386" i="5" s="1"/>
  <c r="E119" i="6"/>
  <c r="E151" i="6" s="1"/>
  <c r="E183" i="6" s="1"/>
  <c r="E215" i="6" s="1"/>
  <c r="J223" i="5"/>
  <c r="AI170" i="5"/>
  <c r="AJ170" i="5" s="1"/>
  <c r="AK170" i="5" s="1"/>
  <c r="AL170" i="5" s="1"/>
  <c r="G237" i="5"/>
  <c r="G304" i="5" s="1"/>
  <c r="G371" i="5" s="1"/>
  <c r="J124" i="6"/>
  <c r="G224" i="5"/>
  <c r="G291" i="5" s="1"/>
  <c r="G358" i="5" s="1"/>
  <c r="AI157" i="5"/>
  <c r="AJ157" i="5" s="1"/>
  <c r="AK157" i="5" s="1"/>
  <c r="AL157" i="5" s="1"/>
  <c r="AM157" i="5" s="1"/>
  <c r="J224" i="5"/>
  <c r="AI159" i="5"/>
  <c r="AJ159" i="5" s="1"/>
  <c r="AK159" i="5" s="1"/>
  <c r="AL159" i="5" s="1"/>
  <c r="G226" i="5"/>
  <c r="G293" i="5" s="1"/>
  <c r="G360" i="5" s="1"/>
  <c r="J154" i="3"/>
  <c r="K83" i="3"/>
  <c r="L78" i="3"/>
  <c r="AH36" i="6"/>
  <c r="AH23" i="5"/>
  <c r="AG71" i="5"/>
  <c r="J55" i="10"/>
  <c r="K12" i="10" s="1"/>
  <c r="H56" i="10"/>
  <c r="J97" i="6"/>
  <c r="J69" i="6"/>
  <c r="F61" i="14" s="1"/>
  <c r="I19" i="3" l="1"/>
  <c r="I27" i="3" s="1"/>
  <c r="I35" i="2"/>
  <c r="J35" i="2" s="1"/>
  <c r="L94" i="3"/>
  <c r="G43" i="16"/>
  <c r="J19" i="3"/>
  <c r="AA106" i="9"/>
  <c r="AA191" i="9"/>
  <c r="J53" i="2"/>
  <c r="L39" i="3"/>
  <c r="L44" i="3" s="1"/>
  <c r="L34" i="3"/>
  <c r="L20" i="3"/>
  <c r="L33" i="3"/>
  <c r="L36" i="3"/>
  <c r="L35" i="3"/>
  <c r="L48" i="12"/>
  <c r="L55" i="12" s="1"/>
  <c r="K55" i="12"/>
  <c r="K46" i="12"/>
  <c r="L44" i="12"/>
  <c r="L46" i="12" s="1"/>
  <c r="I24" i="13"/>
  <c r="K21" i="12"/>
  <c r="L21" i="12" s="1"/>
  <c r="I23" i="13"/>
  <c r="K20" i="12"/>
  <c r="L20" i="12" s="1"/>
  <c r="I22" i="13"/>
  <c r="K19" i="12"/>
  <c r="J22" i="13" s="1"/>
  <c r="I21" i="3"/>
  <c r="I18" i="3"/>
  <c r="I17" i="3"/>
  <c r="J41" i="16"/>
  <c r="AA187" i="9"/>
  <c r="AA67" i="9"/>
  <c r="AA88" i="9"/>
  <c r="AA184" i="9"/>
  <c r="AA47" i="9"/>
  <c r="AA95" i="9"/>
  <c r="AA131" i="9"/>
  <c r="AA127" i="9"/>
  <c r="AA144" i="9"/>
  <c r="AA148" i="9"/>
  <c r="AA151" i="9"/>
  <c r="AA109" i="9"/>
  <c r="AA63" i="9"/>
  <c r="AA50" i="9"/>
  <c r="AA137" i="9"/>
  <c r="AA190" i="9"/>
  <c r="AA173" i="9"/>
  <c r="AA78" i="9"/>
  <c r="AA76" i="9"/>
  <c r="AA126" i="9"/>
  <c r="AA28" i="9"/>
  <c r="AA65" i="9"/>
  <c r="AA96" i="9"/>
  <c r="AA118" i="9"/>
  <c r="AA35" i="9"/>
  <c r="AA176" i="9"/>
  <c r="AA161" i="9"/>
  <c r="AA204" i="9"/>
  <c r="AA24" i="9"/>
  <c r="AA152" i="9"/>
  <c r="AA162" i="9"/>
  <c r="AA170" i="9"/>
  <c r="AA171" i="9"/>
  <c r="AA195" i="9"/>
  <c r="AA61" i="9"/>
  <c r="AA20" i="9"/>
  <c r="AA122" i="9"/>
  <c r="AA21" i="9"/>
  <c r="AB67" i="6"/>
  <c r="AC67" i="6" s="1"/>
  <c r="AA62" i="6"/>
  <c r="AC62" i="6" s="1"/>
  <c r="F62" i="14"/>
  <c r="F68" i="14" s="1"/>
  <c r="J62" i="11"/>
  <c r="M94" i="3"/>
  <c r="M155" i="3" s="1"/>
  <c r="K17" i="11" s="1"/>
  <c r="J25" i="16" s="1"/>
  <c r="AK377" i="5"/>
  <c r="AL377" i="5" s="1"/>
  <c r="G444" i="5"/>
  <c r="AI377" i="5"/>
  <c r="AJ377" i="5" s="1"/>
  <c r="Y92" i="6"/>
  <c r="AF92" i="6"/>
  <c r="L77" i="7"/>
  <c r="M69" i="7"/>
  <c r="H301" i="5"/>
  <c r="AF234" i="5"/>
  <c r="Y234" i="5"/>
  <c r="H289" i="5"/>
  <c r="AF222" i="5"/>
  <c r="Y222" i="5"/>
  <c r="Y190" i="5"/>
  <c r="AF190" i="5"/>
  <c r="Y66" i="4"/>
  <c r="AF66" i="4"/>
  <c r="Y95" i="4"/>
  <c r="AF95" i="4"/>
  <c r="Y84" i="6"/>
  <c r="AF84" i="6"/>
  <c r="AI354" i="5"/>
  <c r="AJ354" i="5" s="1"/>
  <c r="G421" i="5"/>
  <c r="AK354" i="5"/>
  <c r="AL354" i="5" s="1"/>
  <c r="AM354" i="5" s="1"/>
  <c r="Y97" i="6"/>
  <c r="AF97" i="6"/>
  <c r="AK467" i="5"/>
  <c r="AL467" i="5" s="1"/>
  <c r="AI467" i="5"/>
  <c r="AJ467" i="5" s="1"/>
  <c r="H312" i="5"/>
  <c r="AF245" i="5"/>
  <c r="Y245" i="5"/>
  <c r="G435" i="5"/>
  <c r="AI368" i="5"/>
  <c r="AJ368" i="5" s="1"/>
  <c r="AK368" i="5"/>
  <c r="AL368" i="5" s="1"/>
  <c r="Y98" i="6"/>
  <c r="AF98" i="6"/>
  <c r="G471" i="5"/>
  <c r="AI404" i="5"/>
  <c r="AJ404" i="5" s="1"/>
  <c r="AK404" i="5"/>
  <c r="AL404" i="5" s="1"/>
  <c r="H71" i="14"/>
  <c r="J71" i="14"/>
  <c r="AF151" i="5"/>
  <c r="Y170" i="5"/>
  <c r="AF170" i="5"/>
  <c r="H236" i="5"/>
  <c r="Y169" i="5"/>
  <c r="AF169" i="5"/>
  <c r="Y153" i="5"/>
  <c r="AF153" i="5"/>
  <c r="H272" i="5"/>
  <c r="Y205" i="5"/>
  <c r="AF205" i="5"/>
  <c r="Y159" i="5"/>
  <c r="AF159" i="5"/>
  <c r="Y158" i="5"/>
  <c r="AF158" i="5"/>
  <c r="Y70" i="4"/>
  <c r="AF70" i="4"/>
  <c r="Y67" i="4"/>
  <c r="AF67" i="4"/>
  <c r="Y93" i="4"/>
  <c r="AF93" i="4"/>
  <c r="H219" i="5"/>
  <c r="Y152" i="5"/>
  <c r="AF152" i="5"/>
  <c r="Y71" i="4"/>
  <c r="AF71" i="4"/>
  <c r="T175" i="5"/>
  <c r="O175" i="5"/>
  <c r="AD175" i="5" s="1"/>
  <c r="Y89" i="6"/>
  <c r="AF89" i="6"/>
  <c r="AG159" i="6"/>
  <c r="AH159" i="6" s="1"/>
  <c r="F191" i="6"/>
  <c r="AG150" i="6"/>
  <c r="AH150" i="6" s="1"/>
  <c r="F182" i="6"/>
  <c r="Y176" i="5"/>
  <c r="AF176" i="5"/>
  <c r="Y186" i="5"/>
  <c r="AF186" i="5"/>
  <c r="Y52" i="4"/>
  <c r="Y174" i="5"/>
  <c r="AF174" i="5"/>
  <c r="AK441" i="5"/>
  <c r="AL441" i="5" s="1"/>
  <c r="AI441" i="5"/>
  <c r="AJ441" i="5" s="1"/>
  <c r="Y178" i="5"/>
  <c r="AF178" i="5"/>
  <c r="Y181" i="5"/>
  <c r="AF181" i="5"/>
  <c r="Y155" i="5"/>
  <c r="AF155" i="5"/>
  <c r="AK465" i="5"/>
  <c r="AL465" i="5" s="1"/>
  <c r="AI465" i="5"/>
  <c r="AJ465" i="5" s="1"/>
  <c r="AK464" i="5"/>
  <c r="AL464" i="5" s="1"/>
  <c r="AI464" i="5"/>
  <c r="AJ464" i="5" s="1"/>
  <c r="AK406" i="5"/>
  <c r="AL406" i="5" s="1"/>
  <c r="AM406" i="5" s="1"/>
  <c r="G473" i="5"/>
  <c r="AI406" i="5"/>
  <c r="G439" i="5"/>
  <c r="AK372" i="5"/>
  <c r="AL372" i="5" s="1"/>
  <c r="AI372" i="5"/>
  <c r="Y129" i="6"/>
  <c r="AF129" i="6"/>
  <c r="Y100" i="6"/>
  <c r="AF100" i="6"/>
  <c r="H315" i="5"/>
  <c r="AF248" i="5"/>
  <c r="Y248" i="5"/>
  <c r="Y168" i="5"/>
  <c r="AF168" i="5"/>
  <c r="H336" i="5"/>
  <c r="AF269" i="5"/>
  <c r="Y269" i="5"/>
  <c r="H258" i="5"/>
  <c r="Y191" i="5"/>
  <c r="AF191" i="5"/>
  <c r="Y182" i="5"/>
  <c r="AF182" i="5"/>
  <c r="H255" i="5"/>
  <c r="Y188" i="5"/>
  <c r="AF188" i="5"/>
  <c r="S354" i="5"/>
  <c r="J421" i="5"/>
  <c r="P354" i="5"/>
  <c r="T354" i="5"/>
  <c r="N354" i="5"/>
  <c r="I354" i="5"/>
  <c r="O354" i="5"/>
  <c r="R354" i="5"/>
  <c r="AI352" i="5"/>
  <c r="AJ352" i="5" s="1"/>
  <c r="AK352" i="5" s="1"/>
  <c r="AL352" i="5" s="1"/>
  <c r="G419" i="5"/>
  <c r="AF109" i="4"/>
  <c r="H131" i="4"/>
  <c r="AK430" i="5"/>
  <c r="AL430" i="5" s="1"/>
  <c r="AI430" i="5"/>
  <c r="AJ430" i="5" s="1"/>
  <c r="Y167" i="5"/>
  <c r="AF167" i="5"/>
  <c r="Y198" i="5"/>
  <c r="AF198" i="5"/>
  <c r="AI461" i="5"/>
  <c r="AK461" i="5"/>
  <c r="AL461" i="5" s="1"/>
  <c r="AK432" i="5"/>
  <c r="AL432" i="5" s="1"/>
  <c r="AI432" i="5"/>
  <c r="AJ432" i="5" s="1"/>
  <c r="AK455" i="5"/>
  <c r="AL455" i="5" s="1"/>
  <c r="AI455" i="5"/>
  <c r="AJ455" i="5" s="1"/>
  <c r="Y166" i="5"/>
  <c r="AF166" i="5"/>
  <c r="AK371" i="5"/>
  <c r="AL371" i="5" s="1"/>
  <c r="G438" i="5"/>
  <c r="AI371" i="5"/>
  <c r="AJ371" i="5" s="1"/>
  <c r="AK386" i="5"/>
  <c r="AL386" i="5" s="1"/>
  <c r="G453" i="5"/>
  <c r="AI386" i="5"/>
  <c r="AJ386" i="5" s="1"/>
  <c r="H319" i="5"/>
  <c r="AF252" i="5"/>
  <c r="Y252" i="5"/>
  <c r="Y87" i="6"/>
  <c r="AA87" i="6" s="1"/>
  <c r="AF87" i="6"/>
  <c r="Y90" i="6"/>
  <c r="AF90" i="6"/>
  <c r="L83" i="3"/>
  <c r="M78" i="3"/>
  <c r="M83" i="3" s="1"/>
  <c r="AI360" i="5"/>
  <c r="AJ360" i="5" s="1"/>
  <c r="G427" i="5"/>
  <c r="AK360" i="5"/>
  <c r="AL360" i="5" s="1"/>
  <c r="AI358" i="5"/>
  <c r="AJ358" i="5" s="1"/>
  <c r="G425" i="5"/>
  <c r="AK358" i="5"/>
  <c r="AL358" i="5" s="1"/>
  <c r="AI385" i="5"/>
  <c r="AJ385" i="5" s="1"/>
  <c r="G452" i="5"/>
  <c r="AK385" i="5"/>
  <c r="AL385" i="5" s="1"/>
  <c r="G457" i="5"/>
  <c r="AI390" i="5"/>
  <c r="AJ390" i="5" s="1"/>
  <c r="AK390" i="5"/>
  <c r="AL390" i="5" s="1"/>
  <c r="AM390" i="5" s="1"/>
  <c r="AI387" i="5"/>
  <c r="G454" i="5"/>
  <c r="AK387" i="5"/>
  <c r="AL387" i="5" s="1"/>
  <c r="H320" i="5"/>
  <c r="AF253" i="5"/>
  <c r="Y253" i="5"/>
  <c r="H314" i="5"/>
  <c r="AF247" i="5"/>
  <c r="Y247" i="5"/>
  <c r="Y121" i="6"/>
  <c r="AF121" i="6"/>
  <c r="AK399" i="5"/>
  <c r="AL399" i="5" s="1"/>
  <c r="G466" i="5"/>
  <c r="AI399" i="5"/>
  <c r="AJ399" i="5" s="1"/>
  <c r="Y197" i="5"/>
  <c r="AF197" i="5"/>
  <c r="Y94" i="4"/>
  <c r="AF94" i="4"/>
  <c r="Y95" i="6"/>
  <c r="AF95" i="6"/>
  <c r="Y85" i="6"/>
  <c r="AF85" i="6"/>
  <c r="Y96" i="6"/>
  <c r="AF96" i="6"/>
  <c r="Y88" i="6"/>
  <c r="AF88" i="6"/>
  <c r="Y195" i="5"/>
  <c r="AF195" i="5"/>
  <c r="K38" i="11"/>
  <c r="J33" i="16"/>
  <c r="Y194" i="5"/>
  <c r="AF194" i="5"/>
  <c r="Y196" i="5"/>
  <c r="AF196" i="5"/>
  <c r="Y163" i="5"/>
  <c r="AF163" i="5"/>
  <c r="H299" i="5"/>
  <c r="AF232" i="5"/>
  <c r="Y232" i="5"/>
  <c r="Y201" i="5"/>
  <c r="AF201" i="5"/>
  <c r="H242" i="5"/>
  <c r="Y175" i="5"/>
  <c r="AF175" i="5"/>
  <c r="Y177" i="5"/>
  <c r="AF177" i="5"/>
  <c r="Y156" i="5"/>
  <c r="AF156" i="5"/>
  <c r="Y161" i="5"/>
  <c r="AF161" i="5"/>
  <c r="Y69" i="4"/>
  <c r="AF69" i="4"/>
  <c r="Y96" i="4"/>
  <c r="AF96" i="4"/>
  <c r="AF81" i="6"/>
  <c r="AK401" i="5"/>
  <c r="AL401" i="5" s="1"/>
  <c r="G468" i="5"/>
  <c r="AI401" i="5"/>
  <c r="AJ401" i="5" s="1"/>
  <c r="AK359" i="5"/>
  <c r="AL359" i="5" s="1"/>
  <c r="G426" i="5"/>
  <c r="AI359" i="5"/>
  <c r="AJ359" i="5" s="1"/>
  <c r="P175" i="5"/>
  <c r="I175" i="5"/>
  <c r="AJ406" i="5"/>
  <c r="AJ387" i="5"/>
  <c r="AI433" i="5"/>
  <c r="AJ433" i="5" s="1"/>
  <c r="AK433" i="5"/>
  <c r="AL433" i="5" s="1"/>
  <c r="Y185" i="5"/>
  <c r="AF185" i="5"/>
  <c r="AI436" i="5"/>
  <c r="AJ436" i="5" s="1"/>
  <c r="AK436" i="5"/>
  <c r="AL436" i="5" s="1"/>
  <c r="Y73" i="4"/>
  <c r="AF73" i="4"/>
  <c r="Y189" i="5"/>
  <c r="AF189" i="5"/>
  <c r="AK442" i="5"/>
  <c r="AL442" i="5" s="1"/>
  <c r="AI442" i="5"/>
  <c r="AJ442" i="5" s="1"/>
  <c r="AK470" i="5"/>
  <c r="AL470" i="5" s="1"/>
  <c r="AI470" i="5"/>
  <c r="AJ470" i="5" s="1"/>
  <c r="AK424" i="5"/>
  <c r="AL424" i="5" s="1"/>
  <c r="AI424" i="5"/>
  <c r="AJ424" i="5" s="1"/>
  <c r="Y203" i="5"/>
  <c r="AF203" i="5"/>
  <c r="AK446" i="5"/>
  <c r="AL446" i="5" s="1"/>
  <c r="AI446" i="5"/>
  <c r="AJ446" i="5" s="1"/>
  <c r="M181" i="7"/>
  <c r="M77" i="7"/>
  <c r="M182" i="7" s="1"/>
  <c r="Y192" i="5"/>
  <c r="AF192" i="5"/>
  <c r="M188" i="7"/>
  <c r="K70" i="11" s="1"/>
  <c r="K26" i="11"/>
  <c r="AK391" i="5"/>
  <c r="AL391" i="5" s="1"/>
  <c r="AI391" i="5"/>
  <c r="AJ391" i="5" s="1"/>
  <c r="G458" i="5"/>
  <c r="G445" i="5"/>
  <c r="AK378" i="5"/>
  <c r="AL378" i="5" s="1"/>
  <c r="AI378" i="5"/>
  <c r="AJ378" i="5" s="1"/>
  <c r="H307" i="5"/>
  <c r="AF240" i="5"/>
  <c r="Y240" i="5"/>
  <c r="Y91" i="6"/>
  <c r="AF91" i="6"/>
  <c r="Y83" i="6"/>
  <c r="AF83" i="6"/>
  <c r="Y199" i="5"/>
  <c r="AF199" i="5"/>
  <c r="Y160" i="5"/>
  <c r="AF160" i="5"/>
  <c r="Y162" i="5"/>
  <c r="AF162" i="5"/>
  <c r="Y68" i="4"/>
  <c r="AF68" i="4"/>
  <c r="AI362" i="5"/>
  <c r="AJ362" i="5" s="1"/>
  <c r="G429" i="5"/>
  <c r="AK362" i="5"/>
  <c r="AL362" i="5" s="1"/>
  <c r="AI356" i="5"/>
  <c r="AJ356" i="5" s="1"/>
  <c r="G423" i="5"/>
  <c r="AK356" i="5"/>
  <c r="AL356" i="5" s="1"/>
  <c r="AG153" i="6"/>
  <c r="AH153" i="6" s="1"/>
  <c r="F185" i="6"/>
  <c r="Y202" i="5"/>
  <c r="AF202" i="5"/>
  <c r="AK367" i="5"/>
  <c r="AL367" i="5" s="1"/>
  <c r="G434" i="5"/>
  <c r="AI367" i="5"/>
  <c r="AJ367" i="5" s="1"/>
  <c r="H323" i="5"/>
  <c r="AF256" i="5"/>
  <c r="Y256" i="5"/>
  <c r="H233" i="5"/>
  <c r="H308" i="5"/>
  <c r="AF241" i="5"/>
  <c r="Y241" i="5"/>
  <c r="L62" i="7"/>
  <c r="L179" i="7" s="1"/>
  <c r="M56" i="7"/>
  <c r="M62" i="7" s="1"/>
  <c r="M179" i="7" s="1"/>
  <c r="Y171" i="5"/>
  <c r="AF171" i="5"/>
  <c r="H265" i="5"/>
  <c r="AK373" i="5"/>
  <c r="AL373" i="5" s="1"/>
  <c r="G440" i="5"/>
  <c r="AI373" i="5"/>
  <c r="AJ373" i="5" s="1"/>
  <c r="H310" i="5"/>
  <c r="AF243" i="5"/>
  <c r="Y243" i="5"/>
  <c r="G469" i="5"/>
  <c r="AI402" i="5"/>
  <c r="AJ402" i="5" s="1"/>
  <c r="AK402" i="5"/>
  <c r="AL402" i="5" s="1"/>
  <c r="Y93" i="6"/>
  <c r="AF93" i="6"/>
  <c r="Y82" i="6"/>
  <c r="AF82" i="6"/>
  <c r="Y94" i="6"/>
  <c r="AF94" i="6"/>
  <c r="Y86" i="6"/>
  <c r="AF86" i="6"/>
  <c r="H326" i="5"/>
  <c r="AF259" i="5"/>
  <c r="Y259" i="5"/>
  <c r="H306" i="5"/>
  <c r="AF239" i="5"/>
  <c r="Y239" i="5"/>
  <c r="Y183" i="5"/>
  <c r="AF183" i="5"/>
  <c r="AK380" i="5"/>
  <c r="AL380" i="5" s="1"/>
  <c r="G447" i="5"/>
  <c r="AI380" i="5"/>
  <c r="AJ380" i="5" s="1"/>
  <c r="H337" i="5"/>
  <c r="AF270" i="5"/>
  <c r="Y270" i="5"/>
  <c r="Y179" i="5"/>
  <c r="AF179" i="5"/>
  <c r="Y204" i="5"/>
  <c r="AF204" i="5"/>
  <c r="Y154" i="5"/>
  <c r="AF154" i="5"/>
  <c r="Y157" i="5"/>
  <c r="AF157" i="5"/>
  <c r="Y193" i="5"/>
  <c r="AF193" i="5"/>
  <c r="H251" i="5"/>
  <c r="Y184" i="5"/>
  <c r="AF184" i="5"/>
  <c r="Y200" i="5"/>
  <c r="AF200" i="5"/>
  <c r="H254" i="5"/>
  <c r="Y187" i="5"/>
  <c r="AF187" i="5"/>
  <c r="Y164" i="5"/>
  <c r="AF164" i="5"/>
  <c r="Y99" i="6"/>
  <c r="AF99" i="6"/>
  <c r="Y139" i="5"/>
  <c r="AA139" i="5" s="1"/>
  <c r="AK353" i="5"/>
  <c r="AL353" i="5" s="1"/>
  <c r="AM353" i="5" s="1"/>
  <c r="G420" i="5"/>
  <c r="AI353" i="5"/>
  <c r="AJ353" i="5" s="1"/>
  <c r="S175" i="5"/>
  <c r="Y72" i="4"/>
  <c r="AF72" i="4"/>
  <c r="AG156" i="6"/>
  <c r="AH156" i="6" s="1"/>
  <c r="F188" i="6"/>
  <c r="AG162" i="6"/>
  <c r="AH162" i="6" s="1"/>
  <c r="F194" i="6"/>
  <c r="AG148" i="6"/>
  <c r="AH148" i="6" s="1"/>
  <c r="F180" i="6"/>
  <c r="AJ372" i="5"/>
  <c r="AJ461" i="5"/>
  <c r="AK428" i="5"/>
  <c r="AL428" i="5" s="1"/>
  <c r="AI428" i="5"/>
  <c r="AJ428" i="5" s="1"/>
  <c r="Y69" i="6"/>
  <c r="Y180" i="5"/>
  <c r="AF180" i="5"/>
  <c r="Y173" i="5"/>
  <c r="AF173" i="5"/>
  <c r="Y165" i="5"/>
  <c r="AF165" i="5"/>
  <c r="Y172" i="5"/>
  <c r="AF172" i="5"/>
  <c r="L188" i="7"/>
  <c r="J70" i="11" s="1"/>
  <c r="J42" i="16"/>
  <c r="L27" i="2"/>
  <c r="AA159" i="9"/>
  <c r="AA142" i="9"/>
  <c r="AA128" i="9"/>
  <c r="AA146" i="9"/>
  <c r="AA177" i="9"/>
  <c r="AA150" i="9"/>
  <c r="AA172" i="9"/>
  <c r="AA156" i="9"/>
  <c r="AA196" i="9"/>
  <c r="AA53" i="9"/>
  <c r="AA125" i="9"/>
  <c r="AA25" i="9"/>
  <c r="AA213" i="9"/>
  <c r="AA48" i="9"/>
  <c r="AA44" i="9"/>
  <c r="AA203" i="9"/>
  <c r="AA18" i="9"/>
  <c r="AA97" i="9"/>
  <c r="AA80" i="9"/>
  <c r="AA57" i="9"/>
  <c r="AA45" i="9"/>
  <c r="AA75" i="9"/>
  <c r="AA46" i="9"/>
  <c r="AA52" i="9"/>
  <c r="AA37" i="9"/>
  <c r="AA120" i="9"/>
  <c r="AA58" i="9"/>
  <c r="AA117" i="9"/>
  <c r="AA116" i="9"/>
  <c r="AA85" i="9"/>
  <c r="AA40" i="9"/>
  <c r="AA92" i="9"/>
  <c r="AA55" i="9"/>
  <c r="AA69" i="9"/>
  <c r="AA41" i="9"/>
  <c r="AA139" i="9"/>
  <c r="AA185" i="9"/>
  <c r="AA197" i="9"/>
  <c r="AA134" i="9"/>
  <c r="AA154" i="9"/>
  <c r="AA192" i="9"/>
  <c r="AA164" i="9"/>
  <c r="AA188" i="9"/>
  <c r="AA175" i="9"/>
  <c r="AA59" i="9"/>
  <c r="AA49" i="9"/>
  <c r="AA91" i="9"/>
  <c r="AA14" i="9"/>
  <c r="AA119" i="9"/>
  <c r="AA87" i="9"/>
  <c r="AA114" i="9"/>
  <c r="AA34" i="9"/>
  <c r="AA124" i="9"/>
  <c r="AA26" i="9"/>
  <c r="AA121" i="9"/>
  <c r="AA82" i="9"/>
  <c r="AA23" i="9"/>
  <c r="J14" i="3"/>
  <c r="AD8" i="9"/>
  <c r="W20" i="9"/>
  <c r="W28" i="9"/>
  <c r="W36" i="9"/>
  <c r="W44" i="9"/>
  <c r="W52" i="9"/>
  <c r="W60" i="9"/>
  <c r="W68" i="9"/>
  <c r="W76" i="9"/>
  <c r="W84" i="9"/>
  <c r="W92" i="9"/>
  <c r="W97" i="9"/>
  <c r="W103" i="9"/>
  <c r="W108" i="9"/>
  <c r="W113" i="9"/>
  <c r="W119" i="9"/>
  <c r="W124" i="9"/>
  <c r="W129" i="9"/>
  <c r="W135" i="9"/>
  <c r="W140" i="9"/>
  <c r="W145" i="9"/>
  <c r="W151" i="9"/>
  <c r="W156" i="9"/>
  <c r="W161" i="9"/>
  <c r="W167" i="9"/>
  <c r="W172" i="9"/>
  <c r="W177" i="9"/>
  <c r="W183" i="9"/>
  <c r="W188" i="9"/>
  <c r="W193" i="9"/>
  <c r="W199" i="9"/>
  <c r="W204" i="9"/>
  <c r="W209" i="9"/>
  <c r="W21" i="9"/>
  <c r="W29" i="9"/>
  <c r="W37" i="9"/>
  <c r="W45" i="9"/>
  <c r="W61" i="9"/>
  <c r="W69" i="9"/>
  <c r="W77" i="9"/>
  <c r="W93" i="9"/>
  <c r="W99" i="9"/>
  <c r="W109" i="9"/>
  <c r="W115" i="9"/>
  <c r="W125" i="9"/>
  <c r="W131" i="9"/>
  <c r="W141" i="9"/>
  <c r="W53" i="9"/>
  <c r="W85" i="9"/>
  <c r="W104" i="9"/>
  <c r="W120" i="9"/>
  <c r="W136" i="9"/>
  <c r="W16" i="9"/>
  <c r="W24" i="9"/>
  <c r="W32" i="9"/>
  <c r="W40" i="9"/>
  <c r="W48" i="9"/>
  <c r="W56" i="9"/>
  <c r="W64" i="9"/>
  <c r="W72" i="9"/>
  <c r="W80" i="9"/>
  <c r="W88" i="9"/>
  <c r="W95" i="9"/>
  <c r="W100" i="9"/>
  <c r="W105" i="9"/>
  <c r="W111" i="9"/>
  <c r="W116" i="9"/>
  <c r="W121" i="9"/>
  <c r="W127" i="9"/>
  <c r="W132" i="9"/>
  <c r="W137" i="9"/>
  <c r="W143" i="9"/>
  <c r="W148" i="9"/>
  <c r="W153" i="9"/>
  <c r="W159" i="9"/>
  <c r="W164" i="9"/>
  <c r="W169" i="9"/>
  <c r="W175" i="9"/>
  <c r="W180" i="9"/>
  <c r="W185" i="9"/>
  <c r="W191" i="9"/>
  <c r="W196" i="9"/>
  <c r="W201" i="9"/>
  <c r="W207" i="9"/>
  <c r="W212" i="9"/>
  <c r="W17" i="9"/>
  <c r="W25" i="9"/>
  <c r="W49" i="9"/>
  <c r="W81" i="9"/>
  <c r="W107" i="9"/>
  <c r="W128" i="9"/>
  <c r="W147" i="9"/>
  <c r="W157" i="9"/>
  <c r="W168" i="9"/>
  <c r="W179" i="9"/>
  <c r="W189" i="9"/>
  <c r="W200" i="9"/>
  <c r="W211" i="9"/>
  <c r="W57" i="9"/>
  <c r="W89" i="9"/>
  <c r="W112" i="9"/>
  <c r="W133" i="9"/>
  <c r="W149" i="9"/>
  <c r="W160" i="9"/>
  <c r="W171" i="9"/>
  <c r="W181" i="9"/>
  <c r="W192" i="9"/>
  <c r="W203" i="9"/>
  <c r="W213" i="9"/>
  <c r="W33" i="9"/>
  <c r="W65" i="9"/>
  <c r="W96" i="9"/>
  <c r="W117" i="9"/>
  <c r="W139" i="9"/>
  <c r="W152" i="9"/>
  <c r="W163" i="9"/>
  <c r="W173" i="9"/>
  <c r="W184" i="9"/>
  <c r="W195" i="9"/>
  <c r="W205" i="9"/>
  <c r="W41" i="9"/>
  <c r="W73" i="9"/>
  <c r="W101" i="9"/>
  <c r="W123" i="9"/>
  <c r="W144" i="9"/>
  <c r="W155" i="9"/>
  <c r="W165" i="9"/>
  <c r="W176" i="9"/>
  <c r="W187" i="9"/>
  <c r="W197" i="9"/>
  <c r="W208" i="9"/>
  <c r="W87" i="9"/>
  <c r="W71" i="9"/>
  <c r="W55" i="9"/>
  <c r="W39" i="9"/>
  <c r="W23" i="9"/>
  <c r="W202" i="9"/>
  <c r="W186" i="9"/>
  <c r="W170" i="9"/>
  <c r="W154" i="9"/>
  <c r="W138" i="9"/>
  <c r="W122" i="9"/>
  <c r="W106" i="9"/>
  <c r="W90" i="9"/>
  <c r="W74" i="9"/>
  <c r="W58" i="9"/>
  <c r="W42" i="9"/>
  <c r="W26" i="9"/>
  <c r="W83" i="9"/>
  <c r="W67" i="9"/>
  <c r="W51" i="9"/>
  <c r="W35" i="9"/>
  <c r="W19" i="9"/>
  <c r="W198" i="9"/>
  <c r="W182" i="9"/>
  <c r="W166" i="9"/>
  <c r="W150" i="9"/>
  <c r="W134" i="9"/>
  <c r="W118" i="9"/>
  <c r="W102" i="9"/>
  <c r="W86" i="9"/>
  <c r="W70" i="9"/>
  <c r="W54" i="9"/>
  <c r="W38" i="9"/>
  <c r="W22" i="9"/>
  <c r="W79" i="9"/>
  <c r="W63" i="9"/>
  <c r="W47" i="9"/>
  <c r="W31" i="9"/>
  <c r="W210" i="9"/>
  <c r="W194" i="9"/>
  <c r="W178" i="9"/>
  <c r="W162" i="9"/>
  <c r="W146" i="9"/>
  <c r="W130" i="9"/>
  <c r="W114" i="9"/>
  <c r="W98" i="9"/>
  <c r="W82" i="9"/>
  <c r="W66" i="9"/>
  <c r="W50" i="9"/>
  <c r="W34" i="9"/>
  <c r="W18" i="9"/>
  <c r="W91" i="9"/>
  <c r="W75" i="9"/>
  <c r="W59" i="9"/>
  <c r="W43" i="9"/>
  <c r="W27" i="9"/>
  <c r="W206" i="9"/>
  <c r="W190" i="9"/>
  <c r="W174" i="9"/>
  <c r="W158" i="9"/>
  <c r="W142" i="9"/>
  <c r="W126" i="9"/>
  <c r="W110" i="9"/>
  <c r="W94" i="9"/>
  <c r="W78" i="9"/>
  <c r="W62" i="9"/>
  <c r="W46" i="9"/>
  <c r="W30" i="9"/>
  <c r="W15" i="9"/>
  <c r="W14" i="9"/>
  <c r="AC51" i="5"/>
  <c r="AC29" i="6"/>
  <c r="AC17" i="6"/>
  <c r="O84" i="5"/>
  <c r="AD84" i="5" s="1"/>
  <c r="F27" i="10"/>
  <c r="F25" i="10"/>
  <c r="F38" i="10"/>
  <c r="H96" i="7" s="1"/>
  <c r="F36" i="10"/>
  <c r="H94" i="7" s="1"/>
  <c r="G38" i="10"/>
  <c r="I96" i="7" s="1"/>
  <c r="G36" i="10"/>
  <c r="I94" i="7" s="1"/>
  <c r="I38" i="10"/>
  <c r="K96" i="7" s="1"/>
  <c r="I36" i="10"/>
  <c r="K94" i="7" s="1"/>
  <c r="H27" i="10"/>
  <c r="H38" i="10"/>
  <c r="J96" i="7" s="1"/>
  <c r="H36" i="10"/>
  <c r="AA209" i="9"/>
  <c r="AA207" i="9"/>
  <c r="AA147" i="9"/>
  <c r="AA140" i="9"/>
  <c r="AA168" i="9"/>
  <c r="AA132" i="9"/>
  <c r="AA149" i="9"/>
  <c r="AA135" i="9"/>
  <c r="AA130" i="9"/>
  <c r="AA141" i="9"/>
  <c r="AA157" i="9"/>
  <c r="AA160" i="9"/>
  <c r="AA180" i="9"/>
  <c r="AA193" i="9"/>
  <c r="AA153" i="9"/>
  <c r="AA166" i="9"/>
  <c r="AA174" i="9"/>
  <c r="AA189" i="9"/>
  <c r="AA158" i="9"/>
  <c r="AA178" i="9"/>
  <c r="AA98" i="9"/>
  <c r="AA15" i="9"/>
  <c r="AA102" i="9"/>
  <c r="AA68" i="9"/>
  <c r="AA202" i="9"/>
  <c r="AA89" i="9"/>
  <c r="AA30" i="9"/>
  <c r="AA64" i="9"/>
  <c r="AA86" i="9"/>
  <c r="AA54" i="9"/>
  <c r="AA29" i="9"/>
  <c r="AA56" i="9"/>
  <c r="AA27" i="9"/>
  <c r="AA74" i="9"/>
  <c r="AA93" i="9"/>
  <c r="AA51" i="9"/>
  <c r="AA19" i="9"/>
  <c r="AA101" i="9"/>
  <c r="AA210" i="9"/>
  <c r="AA104" i="9"/>
  <c r="AA22" i="9"/>
  <c r="AA113" i="9"/>
  <c r="AA38" i="9"/>
  <c r="AA205" i="9"/>
  <c r="AA43" i="9"/>
  <c r="AA33" i="9"/>
  <c r="AA66" i="9"/>
  <c r="V208" i="9"/>
  <c r="R12" i="9"/>
  <c r="AA77" i="9"/>
  <c r="AA103" i="9"/>
  <c r="AA208" i="9"/>
  <c r="AA110" i="9"/>
  <c r="AA100" i="9"/>
  <c r="AA112" i="9"/>
  <c r="AA111" i="9"/>
  <c r="AA42" i="9"/>
  <c r="AA16" i="9"/>
  <c r="AA133" i="9"/>
  <c r="AA145" i="9"/>
  <c r="AA179" i="9"/>
  <c r="AA138" i="9"/>
  <c r="AA165" i="9"/>
  <c r="AA136" i="9"/>
  <c r="AA129" i="9"/>
  <c r="AA143" i="9"/>
  <c r="AA183" i="9"/>
  <c r="AA163" i="9"/>
  <c r="AA186" i="9"/>
  <c r="AA198" i="9"/>
  <c r="AA155" i="9"/>
  <c r="AA169" i="9"/>
  <c r="AA181" i="9"/>
  <c r="AA194" i="9"/>
  <c r="AA167" i="9"/>
  <c r="AA182" i="9"/>
  <c r="AA83" i="9"/>
  <c r="AA31" i="9"/>
  <c r="AA71" i="9"/>
  <c r="AA60" i="9"/>
  <c r="AA62" i="9"/>
  <c r="AA39" i="9"/>
  <c r="AA73" i="9"/>
  <c r="AA17" i="9"/>
  <c r="AA72" i="9"/>
  <c r="AA99" i="9"/>
  <c r="AA107" i="9"/>
  <c r="AA206" i="9"/>
  <c r="AA200" i="9"/>
  <c r="AA79" i="9"/>
  <c r="AA123" i="9"/>
  <c r="AA90" i="9"/>
  <c r="AA212" i="9"/>
  <c r="AA84" i="9"/>
  <c r="AA211" i="9"/>
  <c r="AA201" i="9"/>
  <c r="AA94" i="9"/>
  <c r="AA70" i="9"/>
  <c r="AA115" i="9"/>
  <c r="AA32" i="9"/>
  <c r="AA36" i="9"/>
  <c r="AA105" i="9"/>
  <c r="AA81" i="9"/>
  <c r="AA199" i="9"/>
  <c r="K55" i="10"/>
  <c r="I34" i="14"/>
  <c r="I67" i="14"/>
  <c r="AD105" i="5"/>
  <c r="AD123" i="5"/>
  <c r="AC34" i="6"/>
  <c r="AC35" i="6"/>
  <c r="AC20" i="6"/>
  <c r="AC30" i="6"/>
  <c r="AC18" i="6"/>
  <c r="AC28" i="6"/>
  <c r="AD98" i="5"/>
  <c r="AC37" i="5"/>
  <c r="AC60" i="5"/>
  <c r="AC26" i="5"/>
  <c r="AC44" i="5"/>
  <c r="AC24" i="5"/>
  <c r="AC53" i="5"/>
  <c r="AC46" i="5"/>
  <c r="AC57" i="5"/>
  <c r="AC61" i="5"/>
  <c r="AC50" i="5"/>
  <c r="I62" i="11"/>
  <c r="AC20" i="5"/>
  <c r="AC68" i="5"/>
  <c r="AC59" i="5"/>
  <c r="AC29" i="5"/>
  <c r="AC38" i="5"/>
  <c r="AC23" i="5"/>
  <c r="AH71" i="5"/>
  <c r="AD110" i="5"/>
  <c r="AD132" i="5"/>
  <c r="AD136" i="5"/>
  <c r="AC21" i="6"/>
  <c r="AC26" i="6"/>
  <c r="AC33" i="6"/>
  <c r="AC25" i="6"/>
  <c r="AC24" i="6"/>
  <c r="AC19" i="6"/>
  <c r="AC22" i="6"/>
  <c r="AC32" i="6"/>
  <c r="AC27" i="6"/>
  <c r="AB59" i="6"/>
  <c r="AA59" i="6"/>
  <c r="AG129" i="6"/>
  <c r="AH129" i="6" s="1"/>
  <c r="F161" i="6"/>
  <c r="R82" i="6"/>
  <c r="I82" i="6"/>
  <c r="N82" i="6"/>
  <c r="AD82" i="6" s="1"/>
  <c r="P82" i="6"/>
  <c r="T82" i="6"/>
  <c r="S82" i="6"/>
  <c r="R89" i="6"/>
  <c r="I89" i="6"/>
  <c r="N89" i="6"/>
  <c r="AD89" i="6" s="1"/>
  <c r="S89" i="6"/>
  <c r="P89" i="6"/>
  <c r="T89" i="6"/>
  <c r="AG125" i="6"/>
  <c r="AH125" i="6" s="1"/>
  <c r="F157" i="6"/>
  <c r="R97" i="6"/>
  <c r="I97" i="6"/>
  <c r="N97" i="6"/>
  <c r="AD97" i="6" s="1"/>
  <c r="S97" i="6"/>
  <c r="P97" i="6"/>
  <c r="T97" i="6"/>
  <c r="H131" i="6"/>
  <c r="R87" i="6"/>
  <c r="I87" i="6"/>
  <c r="AB87" i="6" s="1"/>
  <c r="N87" i="6"/>
  <c r="AD87" i="6" s="1"/>
  <c r="T87" i="6"/>
  <c r="S87" i="6"/>
  <c r="P87" i="6"/>
  <c r="R93" i="6"/>
  <c r="I93" i="6"/>
  <c r="N93" i="6"/>
  <c r="AD93" i="6" s="1"/>
  <c r="S93" i="6"/>
  <c r="P93" i="6"/>
  <c r="T93" i="6"/>
  <c r="J164" i="6"/>
  <c r="J196" i="6" s="1"/>
  <c r="R132" i="6"/>
  <c r="I132" i="6"/>
  <c r="N132" i="6"/>
  <c r="AD132" i="6" s="1"/>
  <c r="T132" i="6"/>
  <c r="S132" i="6"/>
  <c r="P132" i="6"/>
  <c r="AC31" i="6"/>
  <c r="H153" i="6"/>
  <c r="R94" i="6"/>
  <c r="I94" i="6"/>
  <c r="N94" i="6"/>
  <c r="AD94" i="6" s="1"/>
  <c r="P94" i="6"/>
  <c r="T94" i="6"/>
  <c r="S94" i="6"/>
  <c r="AG131" i="6"/>
  <c r="AH131" i="6" s="1"/>
  <c r="F163" i="6"/>
  <c r="AG128" i="6"/>
  <c r="AH128" i="6" s="1"/>
  <c r="F160" i="6"/>
  <c r="J163" i="6"/>
  <c r="J195" i="6" s="1"/>
  <c r="R131" i="6"/>
  <c r="I131" i="6"/>
  <c r="N131" i="6"/>
  <c r="AD131" i="6" s="1"/>
  <c r="P131" i="6"/>
  <c r="T131" i="6"/>
  <c r="S131" i="6"/>
  <c r="R84" i="6"/>
  <c r="I84" i="6"/>
  <c r="N84" i="6"/>
  <c r="AD84" i="6" s="1"/>
  <c r="T84" i="6"/>
  <c r="S84" i="6"/>
  <c r="P84" i="6"/>
  <c r="R91" i="6"/>
  <c r="I91" i="6"/>
  <c r="N91" i="6"/>
  <c r="AD91" i="6" s="1"/>
  <c r="T91" i="6"/>
  <c r="S91" i="6"/>
  <c r="P91" i="6"/>
  <c r="R98" i="6"/>
  <c r="I98" i="6"/>
  <c r="N98" i="6"/>
  <c r="AD98" i="6" s="1"/>
  <c r="P98" i="6"/>
  <c r="T98" i="6"/>
  <c r="S98" i="6"/>
  <c r="R86" i="6"/>
  <c r="I86" i="6"/>
  <c r="N86" i="6"/>
  <c r="AD86" i="6" s="1"/>
  <c r="P86" i="6"/>
  <c r="T86" i="6"/>
  <c r="S86" i="6"/>
  <c r="R99" i="6"/>
  <c r="I99" i="6"/>
  <c r="N99" i="6"/>
  <c r="AD99" i="6" s="1"/>
  <c r="T99" i="6"/>
  <c r="S99" i="6"/>
  <c r="P99" i="6"/>
  <c r="AG119" i="6"/>
  <c r="AH119" i="6" s="1"/>
  <c r="F151" i="6"/>
  <c r="J117" i="6"/>
  <c r="R85" i="6"/>
  <c r="I85" i="6"/>
  <c r="N85" i="6"/>
  <c r="AD85" i="6" s="1"/>
  <c r="S85" i="6"/>
  <c r="P85" i="6"/>
  <c r="T85" i="6"/>
  <c r="J150" i="6"/>
  <c r="J182" i="6" s="1"/>
  <c r="R118" i="6"/>
  <c r="I118" i="6"/>
  <c r="N118" i="6"/>
  <c r="AD118" i="6" s="1"/>
  <c r="S118" i="6"/>
  <c r="P118" i="6"/>
  <c r="T118" i="6"/>
  <c r="J156" i="6"/>
  <c r="J188" i="6" s="1"/>
  <c r="R124" i="6"/>
  <c r="I124" i="6"/>
  <c r="N124" i="6"/>
  <c r="AD124" i="6" s="1"/>
  <c r="T124" i="6"/>
  <c r="S124" i="6"/>
  <c r="P124" i="6"/>
  <c r="H161" i="6"/>
  <c r="J159" i="6"/>
  <c r="J191" i="6" s="1"/>
  <c r="R127" i="6"/>
  <c r="I127" i="6"/>
  <c r="N127" i="6"/>
  <c r="AD127" i="6" s="1"/>
  <c r="P127" i="6"/>
  <c r="T127" i="6"/>
  <c r="S127" i="6"/>
  <c r="AG126" i="6"/>
  <c r="AH126" i="6" s="1"/>
  <c r="F158" i="6"/>
  <c r="E150" i="6"/>
  <c r="E182" i="6" s="1"/>
  <c r="E214" i="6" s="1"/>
  <c r="R83" i="6"/>
  <c r="I83" i="6"/>
  <c r="N83" i="6"/>
  <c r="AD83" i="6" s="1"/>
  <c r="T83" i="6"/>
  <c r="S83" i="6"/>
  <c r="P83" i="6"/>
  <c r="R96" i="6"/>
  <c r="I96" i="6"/>
  <c r="N96" i="6"/>
  <c r="AD96" i="6" s="1"/>
  <c r="T96" i="6"/>
  <c r="S96" i="6"/>
  <c r="P96" i="6"/>
  <c r="R90" i="6"/>
  <c r="I90" i="6"/>
  <c r="N90" i="6"/>
  <c r="AD90" i="6" s="1"/>
  <c r="P90" i="6"/>
  <c r="T90" i="6"/>
  <c r="S90" i="6"/>
  <c r="R95" i="6"/>
  <c r="I95" i="6"/>
  <c r="N95" i="6"/>
  <c r="AD95" i="6" s="1"/>
  <c r="T95" i="6"/>
  <c r="S95" i="6"/>
  <c r="P95" i="6"/>
  <c r="J120" i="6"/>
  <c r="R88" i="6"/>
  <c r="I88" i="6"/>
  <c r="N88" i="6"/>
  <c r="AD88" i="6" s="1"/>
  <c r="T88" i="6"/>
  <c r="S88" i="6"/>
  <c r="P88" i="6"/>
  <c r="AG114" i="6"/>
  <c r="AH114" i="6" s="1"/>
  <c r="F146" i="6"/>
  <c r="AC23" i="6"/>
  <c r="AC45" i="5"/>
  <c r="AC48" i="5"/>
  <c r="AD122" i="5"/>
  <c r="AC35" i="5"/>
  <c r="AD134" i="5"/>
  <c r="AD108" i="5"/>
  <c r="AD104" i="5"/>
  <c r="AC22" i="5"/>
  <c r="AC49" i="5"/>
  <c r="AC70" i="5"/>
  <c r="AC63" i="5"/>
  <c r="AD120" i="5"/>
  <c r="AD95" i="5"/>
  <c r="AD135" i="5"/>
  <c r="AD137" i="5"/>
  <c r="AD111" i="5"/>
  <c r="AD133" i="5"/>
  <c r="H115" i="4"/>
  <c r="H116" i="4"/>
  <c r="H117" i="4"/>
  <c r="H118" i="4"/>
  <c r="I151" i="5"/>
  <c r="O151" i="5" s="1"/>
  <c r="AD129" i="5"/>
  <c r="AD103" i="5"/>
  <c r="AD89" i="5"/>
  <c r="AD99" i="5"/>
  <c r="AC28" i="5"/>
  <c r="AC21" i="5"/>
  <c r="AC62" i="5"/>
  <c r="AC30" i="5"/>
  <c r="AC58" i="5"/>
  <c r="AC25" i="5"/>
  <c r="AC66" i="5"/>
  <c r="AC34" i="5"/>
  <c r="AC41" i="5"/>
  <c r="AC52" i="5"/>
  <c r="AC43" i="5"/>
  <c r="AC54" i="5"/>
  <c r="AC33" i="5"/>
  <c r="AD96" i="5"/>
  <c r="AD189" i="5"/>
  <c r="AD114" i="5"/>
  <c r="AD117" i="5"/>
  <c r="AC69" i="5"/>
  <c r="AC27" i="5"/>
  <c r="AC19" i="5"/>
  <c r="AD109" i="5"/>
  <c r="AD92" i="5"/>
  <c r="AD131" i="5"/>
  <c r="AD173" i="5"/>
  <c r="AD130" i="5"/>
  <c r="AI221" i="5"/>
  <c r="AJ221" i="5" s="1"/>
  <c r="AK221" i="5" s="1"/>
  <c r="AL221" i="5" s="1"/>
  <c r="G288" i="5"/>
  <c r="G355" i="5" s="1"/>
  <c r="AG241" i="5"/>
  <c r="AH241" i="5" s="1"/>
  <c r="F308" i="5"/>
  <c r="R197" i="5"/>
  <c r="I197" i="5"/>
  <c r="O197" i="5"/>
  <c r="N197" i="5"/>
  <c r="P197" i="5"/>
  <c r="T197" i="5"/>
  <c r="S197" i="5"/>
  <c r="AI285" i="5"/>
  <c r="AI291" i="5"/>
  <c r="AJ291" i="5" s="1"/>
  <c r="AK291" i="5"/>
  <c r="AL291" i="5" s="1"/>
  <c r="AK304" i="5"/>
  <c r="AL304" i="5" s="1"/>
  <c r="AI304" i="5"/>
  <c r="AJ304" i="5" s="1"/>
  <c r="AG238" i="5"/>
  <c r="AH238" i="5" s="1"/>
  <c r="F305" i="5"/>
  <c r="AK318" i="5"/>
  <c r="AL318" i="5" s="1"/>
  <c r="AI318" i="5"/>
  <c r="AJ318" i="5" s="1"/>
  <c r="AK323" i="5"/>
  <c r="AL323" i="5" s="1"/>
  <c r="AI323" i="5"/>
  <c r="AJ323" i="5" s="1"/>
  <c r="AK320" i="5"/>
  <c r="AL320" i="5" s="1"/>
  <c r="AI320" i="5"/>
  <c r="AJ320" i="5" s="1"/>
  <c r="J323" i="5"/>
  <c r="J390" i="5" s="1"/>
  <c r="R256" i="5"/>
  <c r="I256" i="5"/>
  <c r="O256" i="5"/>
  <c r="N256" i="5"/>
  <c r="P256" i="5"/>
  <c r="T256" i="5"/>
  <c r="S256" i="5"/>
  <c r="AK310" i="5"/>
  <c r="AL310" i="5" s="1"/>
  <c r="AI310" i="5"/>
  <c r="AJ310" i="5" s="1"/>
  <c r="AG265" i="5"/>
  <c r="AH265" i="5" s="1"/>
  <c r="F332" i="5"/>
  <c r="AI236" i="5"/>
  <c r="AJ236" i="5" s="1"/>
  <c r="G303" i="5"/>
  <c r="G370" i="5" s="1"/>
  <c r="AI248" i="5"/>
  <c r="AJ248" i="5" s="1"/>
  <c r="G315" i="5"/>
  <c r="G382" i="5" s="1"/>
  <c r="AG219" i="5"/>
  <c r="AH219" i="5" s="1"/>
  <c r="F286" i="5"/>
  <c r="AG255" i="5"/>
  <c r="AH255" i="5" s="1"/>
  <c r="F322" i="5"/>
  <c r="AG225" i="5"/>
  <c r="AH225" i="5" s="1"/>
  <c r="F292" i="5"/>
  <c r="R158" i="5"/>
  <c r="I158" i="5"/>
  <c r="N158" i="5"/>
  <c r="O158" i="5"/>
  <c r="P158" i="5"/>
  <c r="T158" i="5"/>
  <c r="S158" i="5"/>
  <c r="R186" i="5"/>
  <c r="I186" i="5"/>
  <c r="N186" i="5"/>
  <c r="O186" i="5"/>
  <c r="P186" i="5"/>
  <c r="T186" i="5"/>
  <c r="S186" i="5"/>
  <c r="R162" i="5"/>
  <c r="I162" i="5"/>
  <c r="N162" i="5"/>
  <c r="O162" i="5"/>
  <c r="P162" i="5"/>
  <c r="T162" i="5"/>
  <c r="S162" i="5"/>
  <c r="J329" i="5"/>
  <c r="J396" i="5" s="1"/>
  <c r="R262" i="5"/>
  <c r="I262" i="5"/>
  <c r="O262" i="5"/>
  <c r="N262" i="5"/>
  <c r="S262" i="5"/>
  <c r="P262" i="5"/>
  <c r="T262" i="5"/>
  <c r="R181" i="5"/>
  <c r="I181" i="5"/>
  <c r="O181" i="5"/>
  <c r="N181" i="5"/>
  <c r="P181" i="5"/>
  <c r="T181" i="5"/>
  <c r="S181" i="5"/>
  <c r="R163" i="5"/>
  <c r="I163" i="5"/>
  <c r="O163" i="5"/>
  <c r="N163" i="5"/>
  <c r="S163" i="5"/>
  <c r="P163" i="5"/>
  <c r="T163" i="5"/>
  <c r="R193" i="5"/>
  <c r="I193" i="5"/>
  <c r="O193" i="5"/>
  <c r="N193" i="5"/>
  <c r="P193" i="5"/>
  <c r="T193" i="5"/>
  <c r="S193" i="5"/>
  <c r="R154" i="5"/>
  <c r="I154" i="5"/>
  <c r="N154" i="5"/>
  <c r="O154" i="5"/>
  <c r="P154" i="5"/>
  <c r="T154" i="5"/>
  <c r="S154" i="5"/>
  <c r="R190" i="5"/>
  <c r="I190" i="5"/>
  <c r="N190" i="5"/>
  <c r="O190" i="5"/>
  <c r="P190" i="5"/>
  <c r="T190" i="5"/>
  <c r="S190" i="5"/>
  <c r="AC64" i="5"/>
  <c r="AC55" i="5"/>
  <c r="AD126" i="5"/>
  <c r="AD119" i="5"/>
  <c r="AD205" i="5"/>
  <c r="AC40" i="5"/>
  <c r="AC31" i="5"/>
  <c r="AD138" i="5"/>
  <c r="AD91" i="5"/>
  <c r="AD115" i="5"/>
  <c r="AD102" i="5"/>
  <c r="AI295" i="5"/>
  <c r="AJ295" i="5" s="1"/>
  <c r="AK295" i="5"/>
  <c r="AL295" i="5" s="1"/>
  <c r="AC65" i="5"/>
  <c r="AC39" i="5"/>
  <c r="AD94" i="5"/>
  <c r="AD101" i="5"/>
  <c r="AC56" i="5"/>
  <c r="AD118" i="5"/>
  <c r="AD87" i="5"/>
  <c r="AD88" i="5"/>
  <c r="AD127" i="5"/>
  <c r="AD196" i="5"/>
  <c r="AI293" i="5"/>
  <c r="AJ293" i="5" s="1"/>
  <c r="AK293" i="5"/>
  <c r="AL293" i="5" s="1"/>
  <c r="AI311" i="5"/>
  <c r="AJ311" i="5" s="1"/>
  <c r="AK311" i="5"/>
  <c r="AL311" i="5" s="1"/>
  <c r="AG257" i="5"/>
  <c r="AH257" i="5" s="1"/>
  <c r="F324" i="5"/>
  <c r="AK335" i="5"/>
  <c r="AL335" i="5" s="1"/>
  <c r="AI335" i="5"/>
  <c r="AJ335" i="5" s="1"/>
  <c r="AK313" i="5"/>
  <c r="AL313" i="5" s="1"/>
  <c r="AI313" i="5"/>
  <c r="AJ313" i="5" s="1"/>
  <c r="AG250" i="5"/>
  <c r="AH250" i="5" s="1"/>
  <c r="F317" i="5"/>
  <c r="R184" i="5"/>
  <c r="I184" i="5"/>
  <c r="N184" i="5"/>
  <c r="O184" i="5"/>
  <c r="P184" i="5"/>
  <c r="T184" i="5"/>
  <c r="S184" i="5"/>
  <c r="R166" i="5"/>
  <c r="I166" i="5"/>
  <c r="N166" i="5"/>
  <c r="O166" i="5"/>
  <c r="P166" i="5"/>
  <c r="T166" i="5"/>
  <c r="S166" i="5"/>
  <c r="R176" i="5"/>
  <c r="I176" i="5"/>
  <c r="N176" i="5"/>
  <c r="O176" i="5"/>
  <c r="P176" i="5"/>
  <c r="T176" i="5"/>
  <c r="S176" i="5"/>
  <c r="R169" i="5"/>
  <c r="I169" i="5"/>
  <c r="O169" i="5"/>
  <c r="N169" i="5"/>
  <c r="P169" i="5"/>
  <c r="T169" i="5"/>
  <c r="S169" i="5"/>
  <c r="J266" i="5"/>
  <c r="R199" i="5"/>
  <c r="I199" i="5"/>
  <c r="O199" i="5"/>
  <c r="N199" i="5"/>
  <c r="S199" i="5"/>
  <c r="P199" i="5"/>
  <c r="T199" i="5"/>
  <c r="AK286" i="5"/>
  <c r="AL286" i="5" s="1"/>
  <c r="AI286" i="5"/>
  <c r="AJ286" i="5" s="1"/>
  <c r="AI287" i="5"/>
  <c r="AJ287" i="5" s="1"/>
  <c r="AK287" i="5"/>
  <c r="AL287" i="5" s="1"/>
  <c r="AM287" i="5" s="1"/>
  <c r="J291" i="5"/>
  <c r="J358" i="5" s="1"/>
  <c r="R224" i="5"/>
  <c r="I224" i="5"/>
  <c r="O224" i="5"/>
  <c r="N224" i="5"/>
  <c r="P224" i="5"/>
  <c r="T224" i="5"/>
  <c r="S224" i="5"/>
  <c r="AI319" i="5"/>
  <c r="AJ319" i="5" s="1"/>
  <c r="AK319" i="5"/>
  <c r="AL319" i="5" s="1"/>
  <c r="AK306" i="5"/>
  <c r="AL306" i="5" s="1"/>
  <c r="AI306" i="5"/>
  <c r="AJ306" i="5" s="1"/>
  <c r="AI301" i="5"/>
  <c r="AJ301" i="5" s="1"/>
  <c r="AK301" i="5"/>
  <c r="AL301" i="5" s="1"/>
  <c r="AG230" i="5"/>
  <c r="AH230" i="5" s="1"/>
  <c r="F297" i="5"/>
  <c r="J330" i="5"/>
  <c r="R263" i="5"/>
  <c r="I263" i="5"/>
  <c r="N263" i="5"/>
  <c r="O263" i="5"/>
  <c r="S263" i="5"/>
  <c r="P263" i="5"/>
  <c r="T263" i="5"/>
  <c r="AK337" i="5"/>
  <c r="AL337" i="5" s="1"/>
  <c r="AI337" i="5"/>
  <c r="AJ337" i="5" s="1"/>
  <c r="AI261" i="5"/>
  <c r="AJ261" i="5" s="1"/>
  <c r="G328" i="5"/>
  <c r="G395" i="5" s="1"/>
  <c r="AG229" i="5"/>
  <c r="AH229" i="5" s="1"/>
  <c r="F296" i="5"/>
  <c r="AG252" i="5"/>
  <c r="AH252" i="5" s="1"/>
  <c r="F319" i="5"/>
  <c r="R183" i="5"/>
  <c r="I183" i="5"/>
  <c r="O183" i="5"/>
  <c r="N183" i="5"/>
  <c r="S183" i="5"/>
  <c r="P183" i="5"/>
  <c r="T183" i="5"/>
  <c r="R170" i="5"/>
  <c r="I170" i="5"/>
  <c r="N170" i="5"/>
  <c r="O170" i="5"/>
  <c r="P170" i="5"/>
  <c r="T170" i="5"/>
  <c r="S170" i="5"/>
  <c r="R201" i="5"/>
  <c r="I201" i="5"/>
  <c r="O201" i="5"/>
  <c r="N201" i="5"/>
  <c r="P201" i="5"/>
  <c r="T201" i="5"/>
  <c r="S201" i="5"/>
  <c r="R179" i="5"/>
  <c r="I179" i="5"/>
  <c r="O179" i="5"/>
  <c r="N179" i="5"/>
  <c r="S179" i="5"/>
  <c r="P179" i="5"/>
  <c r="T179" i="5"/>
  <c r="O287" i="5"/>
  <c r="T287" i="5"/>
  <c r="N287" i="5"/>
  <c r="R287" i="5"/>
  <c r="P287" i="5"/>
  <c r="I287" i="5"/>
  <c r="S287" i="5"/>
  <c r="R161" i="5"/>
  <c r="I161" i="5"/>
  <c r="O161" i="5"/>
  <c r="N161" i="5"/>
  <c r="P161" i="5"/>
  <c r="T161" i="5"/>
  <c r="S161" i="5"/>
  <c r="R194" i="5"/>
  <c r="I194" i="5"/>
  <c r="N194" i="5"/>
  <c r="O194" i="5"/>
  <c r="P194" i="5"/>
  <c r="T194" i="5"/>
  <c r="S194" i="5"/>
  <c r="R177" i="5"/>
  <c r="I177" i="5"/>
  <c r="O177" i="5"/>
  <c r="N177" i="5"/>
  <c r="P177" i="5"/>
  <c r="T177" i="5"/>
  <c r="S177" i="5"/>
  <c r="R187" i="5"/>
  <c r="I187" i="5"/>
  <c r="O187" i="5"/>
  <c r="N187" i="5"/>
  <c r="S187" i="5"/>
  <c r="P187" i="5"/>
  <c r="T187" i="5"/>
  <c r="R198" i="5"/>
  <c r="I198" i="5"/>
  <c r="N198" i="5"/>
  <c r="O198" i="5"/>
  <c r="P198" i="5"/>
  <c r="T198" i="5"/>
  <c r="S198" i="5"/>
  <c r="J235" i="5"/>
  <c r="R168" i="5"/>
  <c r="I168" i="5"/>
  <c r="N168" i="5"/>
  <c r="O168" i="5"/>
  <c r="P168" i="5"/>
  <c r="T168" i="5"/>
  <c r="S168" i="5"/>
  <c r="J271" i="5"/>
  <c r="R204" i="5"/>
  <c r="I204" i="5"/>
  <c r="N204" i="5"/>
  <c r="O204" i="5"/>
  <c r="P204" i="5"/>
  <c r="T204" i="5"/>
  <c r="S204" i="5"/>
  <c r="AK334" i="5"/>
  <c r="AL334" i="5" s="1"/>
  <c r="AI334" i="5"/>
  <c r="AJ334" i="5" s="1"/>
  <c r="AI289" i="5"/>
  <c r="AJ289" i="5" s="1"/>
  <c r="AK289" i="5"/>
  <c r="AL289" i="5" s="1"/>
  <c r="AC42" i="5"/>
  <c r="AK300" i="5"/>
  <c r="AL300" i="5" s="1"/>
  <c r="AI300" i="5"/>
  <c r="AJ300" i="5" s="1"/>
  <c r="AI230" i="5"/>
  <c r="AJ230" i="5" s="1"/>
  <c r="AK230" i="5" s="1"/>
  <c r="AL230" i="5" s="1"/>
  <c r="G297" i="5"/>
  <c r="G364" i="5" s="1"/>
  <c r="AG234" i="5"/>
  <c r="AH234" i="5" s="1"/>
  <c r="F301" i="5"/>
  <c r="R180" i="5"/>
  <c r="I180" i="5"/>
  <c r="N180" i="5"/>
  <c r="O180" i="5"/>
  <c r="P180" i="5"/>
  <c r="T180" i="5"/>
  <c r="S180" i="5"/>
  <c r="R188" i="5"/>
  <c r="I188" i="5"/>
  <c r="N188" i="5"/>
  <c r="O188" i="5"/>
  <c r="P188" i="5"/>
  <c r="T188" i="5"/>
  <c r="S188" i="5"/>
  <c r="R174" i="5"/>
  <c r="I174" i="5"/>
  <c r="N174" i="5"/>
  <c r="O174" i="5"/>
  <c r="P174" i="5"/>
  <c r="T174" i="5"/>
  <c r="S174" i="5"/>
  <c r="J290" i="5"/>
  <c r="J357" i="5" s="1"/>
  <c r="AM357" i="5" s="1"/>
  <c r="R223" i="5"/>
  <c r="I223" i="5"/>
  <c r="N223" i="5"/>
  <c r="O223" i="5"/>
  <c r="S223" i="5"/>
  <c r="P223" i="5"/>
  <c r="T223" i="5"/>
  <c r="AI339" i="5"/>
  <c r="AJ339" i="5" s="1"/>
  <c r="AK339" i="5"/>
  <c r="AL339" i="5" s="1"/>
  <c r="AK324" i="5"/>
  <c r="AL324" i="5" s="1"/>
  <c r="AI324" i="5"/>
  <c r="AJ324" i="5" s="1"/>
  <c r="J339" i="5"/>
  <c r="J406" i="5" s="1"/>
  <c r="R272" i="5"/>
  <c r="I272" i="5"/>
  <c r="O272" i="5"/>
  <c r="N272" i="5"/>
  <c r="P272" i="5"/>
  <c r="T272" i="5"/>
  <c r="S272" i="5"/>
  <c r="J307" i="5"/>
  <c r="J374" i="5" s="1"/>
  <c r="AM374" i="5" s="1"/>
  <c r="R240" i="5"/>
  <c r="I240" i="5"/>
  <c r="O240" i="5"/>
  <c r="N240" i="5"/>
  <c r="P240" i="5"/>
  <c r="T240" i="5"/>
  <c r="S240" i="5"/>
  <c r="AI305" i="5"/>
  <c r="AJ305" i="5" s="1"/>
  <c r="AK305" i="5"/>
  <c r="AL305" i="5" s="1"/>
  <c r="J309" i="5"/>
  <c r="J376" i="5" s="1"/>
  <c r="R242" i="5"/>
  <c r="I242" i="5"/>
  <c r="O242" i="5"/>
  <c r="N242" i="5"/>
  <c r="S242" i="5"/>
  <c r="P242" i="5"/>
  <c r="T242" i="5"/>
  <c r="J325" i="5"/>
  <c r="J392" i="5" s="1"/>
  <c r="R258" i="5"/>
  <c r="I258" i="5"/>
  <c r="O258" i="5"/>
  <c r="N258" i="5"/>
  <c r="S258" i="5"/>
  <c r="P258" i="5"/>
  <c r="T258" i="5"/>
  <c r="AI332" i="5"/>
  <c r="AJ332" i="5" s="1"/>
  <c r="AK332" i="5"/>
  <c r="AL332" i="5" s="1"/>
  <c r="AG259" i="5"/>
  <c r="AH259" i="5" s="1"/>
  <c r="F326" i="5"/>
  <c r="AI259" i="5"/>
  <c r="AJ259" i="5" s="1"/>
  <c r="AK259" i="5" s="1"/>
  <c r="AL259" i="5" s="1"/>
  <c r="G326" i="5"/>
  <c r="G393" i="5" s="1"/>
  <c r="AG266" i="5"/>
  <c r="AH266" i="5" s="1"/>
  <c r="F333" i="5"/>
  <c r="R200" i="5"/>
  <c r="I200" i="5"/>
  <c r="N200" i="5"/>
  <c r="O200" i="5"/>
  <c r="P200" i="5"/>
  <c r="T200" i="5"/>
  <c r="S200" i="5"/>
  <c r="R155" i="5"/>
  <c r="I155" i="5"/>
  <c r="O155" i="5"/>
  <c r="N155" i="5"/>
  <c r="S155" i="5"/>
  <c r="P155" i="5"/>
  <c r="T155" i="5"/>
  <c r="R160" i="5"/>
  <c r="I160" i="5"/>
  <c r="N160" i="5"/>
  <c r="O160" i="5"/>
  <c r="P160" i="5"/>
  <c r="T160" i="5"/>
  <c r="S160" i="5"/>
  <c r="R185" i="5"/>
  <c r="I185" i="5"/>
  <c r="O185" i="5"/>
  <c r="N185" i="5"/>
  <c r="P185" i="5"/>
  <c r="T185" i="5"/>
  <c r="S185" i="5"/>
  <c r="R159" i="5"/>
  <c r="I159" i="5"/>
  <c r="O159" i="5"/>
  <c r="N159" i="5"/>
  <c r="S159" i="5"/>
  <c r="P159" i="5"/>
  <c r="T159" i="5"/>
  <c r="R164" i="5"/>
  <c r="I164" i="5"/>
  <c r="N164" i="5"/>
  <c r="O164" i="5"/>
  <c r="P164" i="5"/>
  <c r="T164" i="5"/>
  <c r="S164" i="5"/>
  <c r="R171" i="5"/>
  <c r="I171" i="5"/>
  <c r="O171" i="5"/>
  <c r="N171" i="5"/>
  <c r="S171" i="5"/>
  <c r="P171" i="5"/>
  <c r="T171" i="5"/>
  <c r="R192" i="5"/>
  <c r="I192" i="5"/>
  <c r="N192" i="5"/>
  <c r="O192" i="5"/>
  <c r="P192" i="5"/>
  <c r="T192" i="5"/>
  <c r="S192" i="5"/>
  <c r="R178" i="5"/>
  <c r="I178" i="5"/>
  <c r="N178" i="5"/>
  <c r="O178" i="5"/>
  <c r="P178" i="5"/>
  <c r="T178" i="5"/>
  <c r="S178" i="5"/>
  <c r="R165" i="5"/>
  <c r="I165" i="5"/>
  <c r="O165" i="5"/>
  <c r="N165" i="5"/>
  <c r="P165" i="5"/>
  <c r="T165" i="5"/>
  <c r="S165" i="5"/>
  <c r="R167" i="5"/>
  <c r="I167" i="5"/>
  <c r="O167" i="5"/>
  <c r="N167" i="5"/>
  <c r="S167" i="5"/>
  <c r="P167" i="5"/>
  <c r="T167" i="5"/>
  <c r="R203" i="5"/>
  <c r="I203" i="5"/>
  <c r="O203" i="5"/>
  <c r="N203" i="5"/>
  <c r="S203" i="5"/>
  <c r="P203" i="5"/>
  <c r="T203" i="5"/>
  <c r="J249" i="5"/>
  <c r="AM249" i="5" s="1"/>
  <c r="R182" i="5"/>
  <c r="I182" i="5"/>
  <c r="N182" i="5"/>
  <c r="O182" i="5"/>
  <c r="P182" i="5"/>
  <c r="T182" i="5"/>
  <c r="S182" i="5"/>
  <c r="J269" i="5"/>
  <c r="R202" i="5"/>
  <c r="I202" i="5"/>
  <c r="N202" i="5"/>
  <c r="O202" i="5"/>
  <c r="P202" i="5"/>
  <c r="T202" i="5"/>
  <c r="S202" i="5"/>
  <c r="R172" i="5"/>
  <c r="I172" i="5"/>
  <c r="N172" i="5"/>
  <c r="O172" i="5"/>
  <c r="P172" i="5"/>
  <c r="T172" i="5"/>
  <c r="S172" i="5"/>
  <c r="AC67" i="5"/>
  <c r="AD90" i="5"/>
  <c r="R157" i="5"/>
  <c r="I157" i="5"/>
  <c r="O157" i="5"/>
  <c r="N157" i="5"/>
  <c r="P157" i="5"/>
  <c r="T157" i="5"/>
  <c r="S157" i="5"/>
  <c r="AD113" i="5"/>
  <c r="AD116" i="5"/>
  <c r="R156" i="5"/>
  <c r="I156" i="5"/>
  <c r="N156" i="5"/>
  <c r="O156" i="5"/>
  <c r="P156" i="5"/>
  <c r="T156" i="5"/>
  <c r="S156" i="5"/>
  <c r="AC47" i="5"/>
  <c r="AD106" i="5"/>
  <c r="AD125" i="5"/>
  <c r="AD128" i="5"/>
  <c r="R195" i="5"/>
  <c r="I195" i="5"/>
  <c r="O195" i="5"/>
  <c r="N195" i="5"/>
  <c r="S195" i="5"/>
  <c r="P195" i="5"/>
  <c r="T195" i="5"/>
  <c r="AD112" i="5"/>
  <c r="AD97" i="5"/>
  <c r="AK292" i="5"/>
  <c r="AL292" i="5" s="1"/>
  <c r="AI292" i="5"/>
  <c r="AJ292" i="5" s="1"/>
  <c r="AC36" i="5"/>
  <c r="AD100" i="5"/>
  <c r="AD107" i="5"/>
  <c r="AD191" i="5"/>
  <c r="AC32" i="5"/>
  <c r="AD121" i="5"/>
  <c r="AD124" i="5"/>
  <c r="AD93" i="5"/>
  <c r="V114" i="9"/>
  <c r="V57" i="9"/>
  <c r="V19" i="9"/>
  <c r="L134" i="3"/>
  <c r="M164" i="3" s="1"/>
  <c r="K22" i="11" s="1"/>
  <c r="J28" i="16" s="1"/>
  <c r="AC25" i="4"/>
  <c r="AC22" i="4"/>
  <c r="AC23" i="4"/>
  <c r="AC20" i="4"/>
  <c r="AC26" i="4"/>
  <c r="AC27" i="4"/>
  <c r="AC24" i="4"/>
  <c r="AC21" i="4"/>
  <c r="AC19" i="4"/>
  <c r="R74" i="4"/>
  <c r="I74" i="4"/>
  <c r="N74" i="4"/>
  <c r="AD74" i="4" s="1"/>
  <c r="P74" i="4"/>
  <c r="T74" i="4"/>
  <c r="S74" i="4"/>
  <c r="R73" i="4"/>
  <c r="I73" i="4"/>
  <c r="N73" i="4"/>
  <c r="AD73" i="4" s="1"/>
  <c r="S73" i="4"/>
  <c r="T73" i="4"/>
  <c r="P73" i="4"/>
  <c r="R67" i="4"/>
  <c r="I67" i="4"/>
  <c r="AA67" i="4" s="1"/>
  <c r="N67" i="4"/>
  <c r="AD67" i="4" s="1"/>
  <c r="T67" i="4"/>
  <c r="S67" i="4"/>
  <c r="P67" i="4"/>
  <c r="R66" i="4"/>
  <c r="I66" i="4"/>
  <c r="N66" i="4"/>
  <c r="AD66" i="4" s="1"/>
  <c r="P66" i="4"/>
  <c r="S66" i="4"/>
  <c r="T66" i="4"/>
  <c r="R71" i="4"/>
  <c r="I71" i="4"/>
  <c r="N71" i="4"/>
  <c r="AD71" i="4" s="1"/>
  <c r="P71" i="4"/>
  <c r="T71" i="4"/>
  <c r="S71" i="4"/>
  <c r="R72" i="4"/>
  <c r="I72" i="4"/>
  <c r="N72" i="4"/>
  <c r="AD72" i="4" s="1"/>
  <c r="T72" i="4"/>
  <c r="S72" i="4"/>
  <c r="P72" i="4"/>
  <c r="R69" i="4"/>
  <c r="I69" i="4"/>
  <c r="N69" i="4"/>
  <c r="AD69" i="4" s="1"/>
  <c r="S69" i="4"/>
  <c r="P69" i="4"/>
  <c r="T69" i="4"/>
  <c r="R70" i="4"/>
  <c r="I70" i="4"/>
  <c r="N70" i="4"/>
  <c r="AD70" i="4" s="1"/>
  <c r="P70" i="4"/>
  <c r="S70" i="4"/>
  <c r="T70" i="4"/>
  <c r="R68" i="4"/>
  <c r="I68" i="4"/>
  <c r="N68" i="4"/>
  <c r="AD68" i="4" s="1"/>
  <c r="T68" i="4"/>
  <c r="S68" i="4"/>
  <c r="P68" i="4"/>
  <c r="AC18" i="5"/>
  <c r="AC16" i="6"/>
  <c r="S16" i="6" s="1"/>
  <c r="AC17" i="5"/>
  <c r="I152" i="5"/>
  <c r="N152" i="5"/>
  <c r="I220" i="5"/>
  <c r="N220" i="5"/>
  <c r="P49" i="6"/>
  <c r="P69" i="6" s="1"/>
  <c r="I81" i="6"/>
  <c r="Y81" i="6" s="1"/>
  <c r="N81" i="6"/>
  <c r="AD81" i="6" s="1"/>
  <c r="R16" i="6"/>
  <c r="AC18" i="4"/>
  <c r="I65" i="4"/>
  <c r="N65" i="4"/>
  <c r="AB58" i="6"/>
  <c r="AA58" i="6"/>
  <c r="AA53" i="6"/>
  <c r="AB53" i="6"/>
  <c r="AB60" i="6"/>
  <c r="AA60" i="6"/>
  <c r="AA64" i="6"/>
  <c r="AB64" i="6"/>
  <c r="AB66" i="6"/>
  <c r="AA66" i="6"/>
  <c r="AB63" i="6"/>
  <c r="AA63" i="6"/>
  <c r="AA61" i="6"/>
  <c r="AB61" i="6"/>
  <c r="AA56" i="6"/>
  <c r="AB56" i="6"/>
  <c r="AB55" i="6"/>
  <c r="AA55" i="6"/>
  <c r="AB50" i="6"/>
  <c r="AA50" i="6"/>
  <c r="AB68" i="6"/>
  <c r="AA68" i="6"/>
  <c r="AA65" i="6"/>
  <c r="AB65" i="6"/>
  <c r="AB54" i="6"/>
  <c r="AA54" i="6"/>
  <c r="AB52" i="6"/>
  <c r="AA52" i="6"/>
  <c r="AA57" i="6"/>
  <c r="AB57" i="6"/>
  <c r="AB51" i="6"/>
  <c r="AA51" i="6"/>
  <c r="AA49" i="6"/>
  <c r="AB92" i="5"/>
  <c r="AA92" i="5"/>
  <c r="AB106" i="5"/>
  <c r="AA106" i="5"/>
  <c r="AA127" i="5"/>
  <c r="AB127" i="5"/>
  <c r="AB136" i="5"/>
  <c r="AA136" i="5"/>
  <c r="AB116" i="5"/>
  <c r="AA116" i="5"/>
  <c r="AB102" i="5"/>
  <c r="AA102" i="5"/>
  <c r="AA95" i="5"/>
  <c r="AB95" i="5"/>
  <c r="AA135" i="5"/>
  <c r="AB135" i="5"/>
  <c r="AA87" i="5"/>
  <c r="AB87" i="5"/>
  <c r="AB114" i="5"/>
  <c r="AA114" i="5"/>
  <c r="AB130" i="5"/>
  <c r="AA130" i="5"/>
  <c r="AB96" i="5"/>
  <c r="AA96" i="5"/>
  <c r="AB121" i="5"/>
  <c r="AA121" i="5"/>
  <c r="AB134" i="5"/>
  <c r="AA134" i="5"/>
  <c r="AB98" i="5"/>
  <c r="AA98" i="5"/>
  <c r="AB108" i="5"/>
  <c r="AA108" i="5"/>
  <c r="AB100" i="5"/>
  <c r="AA100" i="5"/>
  <c r="AB132" i="5"/>
  <c r="AA132" i="5"/>
  <c r="AB109" i="5"/>
  <c r="AA109" i="5"/>
  <c r="AB128" i="5"/>
  <c r="AA128" i="5"/>
  <c r="AB101" i="5"/>
  <c r="AA101" i="5"/>
  <c r="AB117" i="5"/>
  <c r="AA117" i="5"/>
  <c r="AA111" i="5"/>
  <c r="AB111" i="5"/>
  <c r="O85" i="5"/>
  <c r="P85" i="5" s="1"/>
  <c r="R85" i="5" s="1"/>
  <c r="AB89" i="5"/>
  <c r="AA89" i="5"/>
  <c r="AB97" i="5"/>
  <c r="AA97" i="5"/>
  <c r="AB124" i="5"/>
  <c r="AA124" i="5"/>
  <c r="AB133" i="5"/>
  <c r="AA133" i="5"/>
  <c r="AB129" i="5"/>
  <c r="AA129" i="5"/>
  <c r="AB88" i="5"/>
  <c r="AA88" i="5"/>
  <c r="AA103" i="5"/>
  <c r="AB103" i="5"/>
  <c r="AA99" i="5"/>
  <c r="AB99" i="5"/>
  <c r="AB126" i="5"/>
  <c r="AA126" i="5"/>
  <c r="AA119" i="5"/>
  <c r="AB119" i="5"/>
  <c r="AB110" i="5"/>
  <c r="AA110" i="5"/>
  <c r="O86" i="5"/>
  <c r="AB113" i="5"/>
  <c r="AA113" i="5"/>
  <c r="AA115" i="5"/>
  <c r="AB115" i="5"/>
  <c r="AB122" i="5"/>
  <c r="AA122" i="5"/>
  <c r="AA131" i="5"/>
  <c r="AB131" i="5"/>
  <c r="AB104" i="5"/>
  <c r="AA104" i="5"/>
  <c r="AB118" i="5"/>
  <c r="AA118" i="5"/>
  <c r="AB125" i="5"/>
  <c r="AA125" i="5"/>
  <c r="AB112" i="5"/>
  <c r="AA112" i="5"/>
  <c r="AB120" i="5"/>
  <c r="AA120" i="5"/>
  <c r="AB137" i="5"/>
  <c r="AA137" i="5"/>
  <c r="AB105" i="5"/>
  <c r="AA105" i="5"/>
  <c r="AB93" i="5"/>
  <c r="AA93" i="5"/>
  <c r="AB138" i="5"/>
  <c r="AA138" i="5"/>
  <c r="AB94" i="5"/>
  <c r="AA94" i="5"/>
  <c r="AA123" i="5"/>
  <c r="AB123" i="5"/>
  <c r="AA91" i="5"/>
  <c r="AB91" i="5"/>
  <c r="AA107" i="5"/>
  <c r="AB107" i="5"/>
  <c r="AB90" i="5"/>
  <c r="AA90" i="5"/>
  <c r="AA44" i="4"/>
  <c r="AB44" i="4"/>
  <c r="AA46" i="4"/>
  <c r="AB46" i="4"/>
  <c r="AB47" i="4"/>
  <c r="AA47" i="4"/>
  <c r="AB43" i="4"/>
  <c r="AA43" i="4"/>
  <c r="AB48" i="4"/>
  <c r="AA48" i="4"/>
  <c r="AA50" i="4"/>
  <c r="AB50" i="4"/>
  <c r="AB49" i="4"/>
  <c r="AA49" i="4"/>
  <c r="AB51" i="4"/>
  <c r="AA51" i="4"/>
  <c r="AB45" i="4"/>
  <c r="AA45" i="4"/>
  <c r="P18" i="4"/>
  <c r="R18" i="4" s="1"/>
  <c r="AD28" i="4"/>
  <c r="N151" i="5"/>
  <c r="AM152" i="5"/>
  <c r="S17" i="5"/>
  <c r="T17" i="5" s="1"/>
  <c r="AA84" i="5"/>
  <c r="AA16" i="5"/>
  <c r="AB16" i="5"/>
  <c r="R16" i="5" s="1"/>
  <c r="AG90" i="4"/>
  <c r="AH90" i="4" s="1"/>
  <c r="AG93" i="6"/>
  <c r="AH93" i="6" s="1"/>
  <c r="AG93" i="4"/>
  <c r="AH93" i="4" s="1"/>
  <c r="N52" i="4"/>
  <c r="N69" i="6"/>
  <c r="J88" i="4"/>
  <c r="J110" i="4" s="1"/>
  <c r="J132" i="4" s="1"/>
  <c r="AM172" i="5"/>
  <c r="AM185" i="5"/>
  <c r="AM202" i="5"/>
  <c r="AM200" i="5"/>
  <c r="AM159" i="5"/>
  <c r="J257" i="5"/>
  <c r="AM176" i="5"/>
  <c r="AM193" i="5"/>
  <c r="AM198" i="5"/>
  <c r="AM182" i="5"/>
  <c r="AM203" i="5"/>
  <c r="AM158" i="5"/>
  <c r="J239" i="5"/>
  <c r="AM161" i="5"/>
  <c r="AM154" i="5"/>
  <c r="AM199" i="5"/>
  <c r="AM220" i="5"/>
  <c r="J270" i="5"/>
  <c r="AM168" i="5"/>
  <c r="J265" i="5"/>
  <c r="N139" i="5"/>
  <c r="AM190" i="5"/>
  <c r="AM201" i="5"/>
  <c r="E225" i="5"/>
  <c r="E292" i="5" s="1"/>
  <c r="E359" i="5" s="1"/>
  <c r="E426" i="5" s="1"/>
  <c r="AM151" i="5"/>
  <c r="J241" i="5"/>
  <c r="AM174" i="5"/>
  <c r="AM160" i="5"/>
  <c r="AM169" i="5"/>
  <c r="AM163" i="5"/>
  <c r="AM266" i="5"/>
  <c r="AM166" i="5"/>
  <c r="AM177" i="5"/>
  <c r="AM184" i="5"/>
  <c r="AM187" i="5"/>
  <c r="AM186" i="5"/>
  <c r="E121" i="6"/>
  <c r="E153" i="6" s="1"/>
  <c r="E185" i="6" s="1"/>
  <c r="E217" i="6" s="1"/>
  <c r="J206" i="5"/>
  <c r="G60" i="14" s="1"/>
  <c r="AM170" i="5"/>
  <c r="AM197" i="5"/>
  <c r="AM194" i="5"/>
  <c r="AM179" i="5"/>
  <c r="E88" i="4"/>
  <c r="E110" i="4" s="1"/>
  <c r="E132" i="4" s="1"/>
  <c r="E154" i="4" s="1"/>
  <c r="AM167" i="5"/>
  <c r="AM181" i="5"/>
  <c r="AM165" i="5"/>
  <c r="AM171" i="5"/>
  <c r="AM178" i="5"/>
  <c r="AM192" i="5"/>
  <c r="E130" i="6"/>
  <c r="E162" i="6" s="1"/>
  <c r="E194" i="6" s="1"/>
  <c r="E226" i="6" s="1"/>
  <c r="J225" i="5"/>
  <c r="J237" i="5"/>
  <c r="J252" i="5"/>
  <c r="J226" i="5"/>
  <c r="J126" i="6"/>
  <c r="J125" i="6"/>
  <c r="J231" i="5"/>
  <c r="J264" i="5"/>
  <c r="J261" i="5"/>
  <c r="J244" i="5"/>
  <c r="J254" i="5"/>
  <c r="J250" i="5"/>
  <c r="J119" i="6"/>
  <c r="J247" i="5"/>
  <c r="J233" i="5"/>
  <c r="J128" i="6"/>
  <c r="J238" i="5"/>
  <c r="J248" i="5"/>
  <c r="J259" i="5"/>
  <c r="J245" i="5"/>
  <c r="J130" i="6"/>
  <c r="J232" i="5"/>
  <c r="J234" i="5"/>
  <c r="J236" i="5"/>
  <c r="J89" i="4"/>
  <c r="J111" i="4" s="1"/>
  <c r="J133" i="4" s="1"/>
  <c r="J267" i="5"/>
  <c r="J222" i="5"/>
  <c r="J116" i="6"/>
  <c r="J115" i="6"/>
  <c r="J114" i="6"/>
  <c r="J229" i="5"/>
  <c r="AM164" i="5"/>
  <c r="J228" i="5"/>
  <c r="J243" i="5"/>
  <c r="J219" i="5"/>
  <c r="J286" i="5" s="1"/>
  <c r="J353" i="5" s="1"/>
  <c r="J255" i="5"/>
  <c r="J218" i="5"/>
  <c r="J113" i="6"/>
  <c r="J145" i="6" s="1"/>
  <c r="J177" i="6" s="1"/>
  <c r="AM162" i="5"/>
  <c r="J251" i="5"/>
  <c r="J253" i="5"/>
  <c r="J227" i="5"/>
  <c r="J268" i="5"/>
  <c r="J246" i="5"/>
  <c r="J123" i="6"/>
  <c r="J122" i="6"/>
  <c r="J121" i="6"/>
  <c r="AM155" i="5"/>
  <c r="J230" i="5"/>
  <c r="J260" i="5"/>
  <c r="J221" i="5"/>
  <c r="H116" i="6"/>
  <c r="E256" i="5"/>
  <c r="E239" i="5"/>
  <c r="E263" i="5"/>
  <c r="E330" i="5" s="1"/>
  <c r="E397" i="5" s="1"/>
  <c r="E464" i="5" s="1"/>
  <c r="E219" i="5"/>
  <c r="E286" i="5" s="1"/>
  <c r="E353" i="5" s="1"/>
  <c r="E420" i="5" s="1"/>
  <c r="F243" i="5"/>
  <c r="E226" i="5"/>
  <c r="E293" i="5" s="1"/>
  <c r="E360" i="5" s="1"/>
  <c r="E427" i="5" s="1"/>
  <c r="E224" i="5"/>
  <c r="E291" i="5" s="1"/>
  <c r="E358" i="5" s="1"/>
  <c r="E425" i="5" s="1"/>
  <c r="E265" i="5"/>
  <c r="E332" i="5" s="1"/>
  <c r="E399" i="5" s="1"/>
  <c r="E466" i="5" s="1"/>
  <c r="E223" i="5"/>
  <c r="E290" i="5" s="1"/>
  <c r="E357" i="5" s="1"/>
  <c r="E424" i="5" s="1"/>
  <c r="E252" i="5"/>
  <c r="AG87" i="4"/>
  <c r="AH87" i="4" s="1"/>
  <c r="AD69" i="6"/>
  <c r="AE69" i="6"/>
  <c r="E123" i="6"/>
  <c r="E155" i="6" s="1"/>
  <c r="E187" i="6" s="1"/>
  <c r="E219" i="6" s="1"/>
  <c r="E127" i="6"/>
  <c r="E126" i="6"/>
  <c r="E158" i="6" s="1"/>
  <c r="E190" i="6" s="1"/>
  <c r="E222" i="6" s="1"/>
  <c r="AG97" i="6"/>
  <c r="AH97" i="6" s="1"/>
  <c r="E132" i="6"/>
  <c r="E164" i="6" s="1"/>
  <c r="E196" i="6" s="1"/>
  <c r="E228" i="6" s="1"/>
  <c r="E114" i="6"/>
  <c r="E146" i="6" s="1"/>
  <c r="E178" i="6" s="1"/>
  <c r="E210" i="6" s="1"/>
  <c r="H113" i="6"/>
  <c r="E244" i="5"/>
  <c r="E311" i="5" s="1"/>
  <c r="E378" i="5" s="1"/>
  <c r="E445" i="5" s="1"/>
  <c r="E228" i="5"/>
  <c r="E295" i="5" s="1"/>
  <c r="E362" i="5" s="1"/>
  <c r="E429" i="5" s="1"/>
  <c r="E257" i="5"/>
  <c r="E324" i="5" s="1"/>
  <c r="E391" i="5" s="1"/>
  <c r="E458" i="5" s="1"/>
  <c r="E262" i="5"/>
  <c r="E329" i="5" s="1"/>
  <c r="E396" i="5" s="1"/>
  <c r="E463" i="5" s="1"/>
  <c r="E247" i="5"/>
  <c r="E314" i="5" s="1"/>
  <c r="E381" i="5" s="1"/>
  <c r="E448" i="5" s="1"/>
  <c r="E255" i="5"/>
  <c r="AK261" i="5"/>
  <c r="AL261" i="5" s="1"/>
  <c r="E220" i="5"/>
  <c r="E287" i="5" s="1"/>
  <c r="E354" i="5" s="1"/>
  <c r="E421" i="5" s="1"/>
  <c r="E237" i="5"/>
  <c r="E304" i="5" s="1"/>
  <c r="E371" i="5" s="1"/>
  <c r="E438" i="5" s="1"/>
  <c r="E260" i="5"/>
  <c r="E327" i="5" s="1"/>
  <c r="E394" i="5" s="1"/>
  <c r="E461" i="5" s="1"/>
  <c r="E271" i="5"/>
  <c r="E338" i="5" s="1"/>
  <c r="E405" i="5" s="1"/>
  <c r="E472" i="5" s="1"/>
  <c r="E264" i="5"/>
  <c r="E331" i="5" s="1"/>
  <c r="E398" i="5" s="1"/>
  <c r="E465" i="5" s="1"/>
  <c r="F123" i="6"/>
  <c r="F113" i="6"/>
  <c r="AG81" i="6"/>
  <c r="AH81" i="6" s="1"/>
  <c r="AG85" i="6"/>
  <c r="AH85" i="6" s="1"/>
  <c r="F117" i="6"/>
  <c r="E128" i="6"/>
  <c r="E160" i="6" s="1"/>
  <c r="E192" i="6" s="1"/>
  <c r="E224" i="6" s="1"/>
  <c r="H89" i="4"/>
  <c r="J94" i="4"/>
  <c r="J116" i="4" s="1"/>
  <c r="J138" i="4" s="1"/>
  <c r="AE52" i="4"/>
  <c r="H88" i="4"/>
  <c r="H91" i="4"/>
  <c r="H90" i="4"/>
  <c r="J96" i="4"/>
  <c r="J118" i="4" s="1"/>
  <c r="J140" i="4" s="1"/>
  <c r="J93" i="4"/>
  <c r="J115" i="4" s="1"/>
  <c r="J137" i="4" s="1"/>
  <c r="AG94" i="4"/>
  <c r="AH94" i="4" s="1"/>
  <c r="AG72" i="4"/>
  <c r="AH72" i="4" s="1"/>
  <c r="E245" i="5"/>
  <c r="E312" i="5" s="1"/>
  <c r="E379" i="5" s="1"/>
  <c r="E446" i="5" s="1"/>
  <c r="E259" i="5"/>
  <c r="E326" i="5" s="1"/>
  <c r="E393" i="5" s="1"/>
  <c r="E460" i="5" s="1"/>
  <c r="E254" i="5"/>
  <c r="E321" i="5" s="1"/>
  <c r="E388" i="5" s="1"/>
  <c r="E455" i="5" s="1"/>
  <c r="E269" i="5"/>
  <c r="E336" i="5" s="1"/>
  <c r="E403" i="5" s="1"/>
  <c r="E470" i="5" s="1"/>
  <c r="E236" i="5"/>
  <c r="E303" i="5" s="1"/>
  <c r="E370" i="5" s="1"/>
  <c r="E437" i="5" s="1"/>
  <c r="E238" i="5"/>
  <c r="E305" i="5" s="1"/>
  <c r="E372" i="5" s="1"/>
  <c r="E439" i="5" s="1"/>
  <c r="E227" i="5"/>
  <c r="E294" i="5" s="1"/>
  <c r="E361" i="5" s="1"/>
  <c r="E428" i="5" s="1"/>
  <c r="E240" i="5"/>
  <c r="E307" i="5" s="1"/>
  <c r="E374" i="5" s="1"/>
  <c r="E441" i="5" s="1"/>
  <c r="E272" i="5"/>
  <c r="E339" i="5" s="1"/>
  <c r="E406" i="5" s="1"/>
  <c r="E473" i="5" s="1"/>
  <c r="AG95" i="4"/>
  <c r="AH95" i="4" s="1"/>
  <c r="H92" i="4"/>
  <c r="E96" i="4"/>
  <c r="E118" i="4" s="1"/>
  <c r="E140" i="4" s="1"/>
  <c r="E162" i="4" s="1"/>
  <c r="J91" i="4"/>
  <c r="J113" i="4" s="1"/>
  <c r="J135" i="4" s="1"/>
  <c r="J75" i="4"/>
  <c r="G59" i="14" s="1"/>
  <c r="F59" i="16" s="1"/>
  <c r="AG52" i="4"/>
  <c r="E93" i="4"/>
  <c r="E115" i="4" s="1"/>
  <c r="E137" i="4" s="1"/>
  <c r="E159" i="4" s="1"/>
  <c r="AG96" i="4"/>
  <c r="AH96" i="4" s="1"/>
  <c r="J90" i="4"/>
  <c r="J112" i="4" s="1"/>
  <c r="J134" i="4" s="1"/>
  <c r="J92" i="4"/>
  <c r="J114" i="4" s="1"/>
  <c r="J136" i="4" s="1"/>
  <c r="E90" i="4"/>
  <c r="E112" i="4" s="1"/>
  <c r="E134" i="4" s="1"/>
  <c r="E156" i="4" s="1"/>
  <c r="E94" i="4"/>
  <c r="E116" i="4" s="1"/>
  <c r="E138" i="4" s="1"/>
  <c r="E160" i="4" s="1"/>
  <c r="AH52" i="4"/>
  <c r="E87" i="4"/>
  <c r="E109" i="4" s="1"/>
  <c r="E131" i="4" s="1"/>
  <c r="E153" i="4" s="1"/>
  <c r="AG91" i="4"/>
  <c r="AH91" i="4" s="1"/>
  <c r="J87" i="4"/>
  <c r="J109" i="4" s="1"/>
  <c r="J131" i="4" s="1"/>
  <c r="J95" i="4"/>
  <c r="J117" i="4" s="1"/>
  <c r="J139" i="4" s="1"/>
  <c r="E92" i="4"/>
  <c r="E114" i="4" s="1"/>
  <c r="E136" i="4" s="1"/>
  <c r="E158" i="4" s="1"/>
  <c r="F267" i="5"/>
  <c r="F224" i="5"/>
  <c r="H257" i="5"/>
  <c r="AG88" i="4"/>
  <c r="AH88" i="4" s="1"/>
  <c r="F235" i="5"/>
  <c r="F249" i="5"/>
  <c r="F256" i="5"/>
  <c r="F223" i="5"/>
  <c r="F233" i="5"/>
  <c r="AG166" i="5"/>
  <c r="AH166" i="5" s="1"/>
  <c r="F272" i="5"/>
  <c r="F260" i="5"/>
  <c r="AG193" i="5"/>
  <c r="AH193" i="5" s="1"/>
  <c r="H261" i="5"/>
  <c r="H221" i="5"/>
  <c r="H230" i="5"/>
  <c r="E229" i="5"/>
  <c r="E296" i="5" s="1"/>
  <c r="E363" i="5" s="1"/>
  <c r="E430" i="5" s="1"/>
  <c r="F226" i="5"/>
  <c r="AG159" i="5"/>
  <c r="AH159" i="5" s="1"/>
  <c r="H226" i="5"/>
  <c r="AH139" i="5"/>
  <c r="H228" i="5"/>
  <c r="H237" i="5"/>
  <c r="F251" i="5"/>
  <c r="AG184" i="5"/>
  <c r="AH184" i="5" s="1"/>
  <c r="H231" i="5"/>
  <c r="F246" i="5"/>
  <c r="F270" i="5"/>
  <c r="AG203" i="5"/>
  <c r="AH203" i="5" s="1"/>
  <c r="H263" i="5"/>
  <c r="H220" i="5"/>
  <c r="H225" i="5"/>
  <c r="F218" i="5"/>
  <c r="AG151" i="5"/>
  <c r="E246" i="5"/>
  <c r="E313" i="5" s="1"/>
  <c r="E380" i="5" s="1"/>
  <c r="E447" i="5" s="1"/>
  <c r="H224" i="5"/>
  <c r="H267" i="5"/>
  <c r="H249" i="5"/>
  <c r="F254" i="5"/>
  <c r="AG187" i="5"/>
  <c r="AH187" i="5" s="1"/>
  <c r="AG139" i="5"/>
  <c r="H244" i="5"/>
  <c r="F244" i="5"/>
  <c r="H246" i="5"/>
  <c r="F268" i="5"/>
  <c r="E258" i="5"/>
  <c r="E325" i="5" s="1"/>
  <c r="E392" i="5" s="1"/>
  <c r="E459" i="5" s="1"/>
  <c r="F264" i="5"/>
  <c r="AG197" i="5"/>
  <c r="AH197" i="5" s="1"/>
  <c r="H218" i="5"/>
  <c r="H227" i="5"/>
  <c r="F262" i="5"/>
  <c r="AG195" i="5"/>
  <c r="AH195" i="5" s="1"/>
  <c r="H260" i="5"/>
  <c r="H268" i="5"/>
  <c r="F227" i="5"/>
  <c r="AG160" i="5"/>
  <c r="AH160" i="5" s="1"/>
  <c r="E221" i="5"/>
  <c r="E288" i="5" s="1"/>
  <c r="E355" i="5" s="1"/>
  <c r="E422" i="5" s="1"/>
  <c r="H223" i="5"/>
  <c r="H229" i="5"/>
  <c r="O71" i="5"/>
  <c r="H271" i="5"/>
  <c r="G271" i="5"/>
  <c r="G338" i="5" s="1"/>
  <c r="G405" i="5" s="1"/>
  <c r="AJ204" i="5"/>
  <c r="AK204" i="5" s="1"/>
  <c r="AL204" i="5" s="1"/>
  <c r="AM204" i="5" s="1"/>
  <c r="F236" i="5"/>
  <c r="F247" i="5"/>
  <c r="G247" i="5"/>
  <c r="F222" i="5"/>
  <c r="F231" i="5"/>
  <c r="AI180" i="5"/>
  <c r="AJ180" i="5" s="1"/>
  <c r="AK180" i="5" s="1"/>
  <c r="AL180" i="5" s="1"/>
  <c r="AM180" i="5" s="1"/>
  <c r="AK248" i="5"/>
  <c r="AL248" i="5" s="1"/>
  <c r="AK236" i="5"/>
  <c r="AL236" i="5" s="1"/>
  <c r="E243" i="5"/>
  <c r="E310" i="5" s="1"/>
  <c r="E377" i="5" s="1"/>
  <c r="E444" i="5" s="1"/>
  <c r="F220" i="5"/>
  <c r="F242" i="5"/>
  <c r="E234" i="5"/>
  <c r="E301" i="5" s="1"/>
  <c r="E368" i="5" s="1"/>
  <c r="E435" i="5" s="1"/>
  <c r="E266" i="5"/>
  <c r="E333" i="5" s="1"/>
  <c r="E400" i="5" s="1"/>
  <c r="E467" i="5" s="1"/>
  <c r="AI270" i="5"/>
  <c r="AJ270" i="5" s="1"/>
  <c r="AK270" i="5" s="1"/>
  <c r="AL270" i="5" s="1"/>
  <c r="H235" i="5"/>
  <c r="G255" i="5"/>
  <c r="G322" i="5" s="1"/>
  <c r="G389" i="5" s="1"/>
  <c r="AI188" i="5"/>
  <c r="AJ188" i="5" s="1"/>
  <c r="AK188" i="5" s="1"/>
  <c r="AL188" i="5" s="1"/>
  <c r="AM188" i="5" s="1"/>
  <c r="F248" i="5"/>
  <c r="F253" i="5"/>
  <c r="AM235" i="5"/>
  <c r="J158" i="3"/>
  <c r="H18" i="11" s="1"/>
  <c r="G26" i="16" s="1"/>
  <c r="H63" i="11"/>
  <c r="I33" i="16"/>
  <c r="V84" i="9"/>
  <c r="V21" i="9"/>
  <c r="V126" i="9"/>
  <c r="V17" i="9"/>
  <c r="I78" i="14"/>
  <c r="F271" i="5"/>
  <c r="F221" i="5"/>
  <c r="K182" i="7"/>
  <c r="I63" i="11" s="1"/>
  <c r="I71" i="14"/>
  <c r="F71" i="14"/>
  <c r="G71" i="14"/>
  <c r="F23" i="16"/>
  <c r="K164" i="3"/>
  <c r="I22" i="11" s="1"/>
  <c r="V41" i="9"/>
  <c r="V96" i="9"/>
  <c r="V35" i="9"/>
  <c r="V15" i="9"/>
  <c r="V83" i="9"/>
  <c r="V65" i="9"/>
  <c r="V100" i="9"/>
  <c r="V79" i="9"/>
  <c r="V69" i="9"/>
  <c r="V74" i="9"/>
  <c r="V18" i="9"/>
  <c r="V104" i="9"/>
  <c r="V51" i="9"/>
  <c r="V63" i="9"/>
  <c r="V98" i="9"/>
  <c r="V81" i="9"/>
  <c r="V124" i="9"/>
  <c r="V112" i="9"/>
  <c r="V102" i="9"/>
  <c r="V82" i="9"/>
  <c r="V38" i="9"/>
  <c r="V27" i="9"/>
  <c r="V118" i="9"/>
  <c r="V108" i="9"/>
  <c r="V94" i="9"/>
  <c r="V31" i="9"/>
  <c r="V88" i="9"/>
  <c r="V73" i="9"/>
  <c r="V87" i="9"/>
  <c r="V207" i="9"/>
  <c r="H15" i="11"/>
  <c r="G23" i="16" s="1"/>
  <c r="L164" i="3"/>
  <c r="J22" i="11" s="1"/>
  <c r="V123" i="9"/>
  <c r="V109" i="9"/>
  <c r="V59" i="9"/>
  <c r="V23" i="9"/>
  <c r="V90" i="9"/>
  <c r="V37" i="9"/>
  <c r="V206" i="9"/>
  <c r="V67" i="9"/>
  <c r="V33" i="9"/>
  <c r="V45" i="9"/>
  <c r="V43" i="9"/>
  <c r="V106" i="9"/>
  <c r="V77" i="9"/>
  <c r="V210" i="9"/>
  <c r="V110" i="9"/>
  <c r="V204" i="9"/>
  <c r="V202" i="9"/>
  <c r="V120" i="9"/>
  <c r="V29" i="9"/>
  <c r="V24" i="9"/>
  <c r="V56" i="9"/>
  <c r="V26" i="9"/>
  <c r="V32" i="9"/>
  <c r="V25" i="9"/>
  <c r="V71" i="9"/>
  <c r="V39" i="9"/>
  <c r="V85" i="9"/>
  <c r="V22" i="9"/>
  <c r="V92" i="9"/>
  <c r="V49" i="9"/>
  <c r="V53" i="9"/>
  <c r="V75" i="9"/>
  <c r="V122" i="9"/>
  <c r="V116" i="9"/>
  <c r="V55" i="9"/>
  <c r="V20" i="9"/>
  <c r="V212" i="9"/>
  <c r="V47" i="9"/>
  <c r="V200" i="9"/>
  <c r="V61" i="9"/>
  <c r="V107" i="9"/>
  <c r="V93" i="9"/>
  <c r="V205" i="9"/>
  <c r="V46" i="9"/>
  <c r="V203" i="9"/>
  <c r="V36" i="9"/>
  <c r="V86" i="9"/>
  <c r="V28" i="9"/>
  <c r="V105" i="9"/>
  <c r="V62" i="9"/>
  <c r="V115" i="9"/>
  <c r="V201" i="9"/>
  <c r="AC8" i="9"/>
  <c r="AC100" i="9" s="1"/>
  <c r="V125" i="9"/>
  <c r="V54" i="9"/>
  <c r="V95" i="9"/>
  <c r="V70" i="9"/>
  <c r="V58" i="9"/>
  <c r="V209" i="9"/>
  <c r="V44" i="9"/>
  <c r="V211" i="9"/>
  <c r="V42" i="9"/>
  <c r="V30" i="9"/>
  <c r="V68" i="9"/>
  <c r="V119" i="9"/>
  <c r="V52" i="9"/>
  <c r="V117" i="9"/>
  <c r="V111" i="9"/>
  <c r="V121" i="9"/>
  <c r="V76" i="9"/>
  <c r="V72" i="9"/>
  <c r="V78" i="9"/>
  <c r="V91" i="9"/>
  <c r="V101" i="9"/>
  <c r="V34" i="9"/>
  <c r="V64" i="9"/>
  <c r="T12" i="9"/>
  <c r="V199" i="9"/>
  <c r="V89" i="9"/>
  <c r="V14" i="9"/>
  <c r="V16" i="9"/>
  <c r="V103" i="9"/>
  <c r="V50" i="9"/>
  <c r="V113" i="9"/>
  <c r="V48" i="9"/>
  <c r="V40" i="9"/>
  <c r="V188" i="9"/>
  <c r="V192" i="9"/>
  <c r="V184" i="9"/>
  <c r="V140" i="9"/>
  <c r="V144" i="9"/>
  <c r="V196" i="9"/>
  <c r="V156" i="9"/>
  <c r="V136" i="9"/>
  <c r="V128" i="9"/>
  <c r="V132" i="9"/>
  <c r="V130" i="9"/>
  <c r="V172" i="9"/>
  <c r="V170" i="9"/>
  <c r="V150" i="9"/>
  <c r="V157" i="9"/>
  <c r="V160" i="9"/>
  <c r="V198" i="9"/>
  <c r="V158" i="9"/>
  <c r="V189" i="9"/>
  <c r="V169" i="9"/>
  <c r="V146" i="9"/>
  <c r="V171" i="9"/>
  <c r="V177" i="9"/>
  <c r="V191" i="9"/>
  <c r="V178" i="9"/>
  <c r="V151" i="9"/>
  <c r="V153" i="9"/>
  <c r="V147" i="9"/>
  <c r="V127" i="9"/>
  <c r="V133" i="9"/>
  <c r="V143" i="9"/>
  <c r="V162" i="9"/>
  <c r="V129" i="9"/>
  <c r="V131" i="9"/>
  <c r="V139" i="9"/>
  <c r="V145" i="9"/>
  <c r="V163" i="9"/>
  <c r="V194" i="9"/>
  <c r="V173" i="9"/>
  <c r="V176" i="9"/>
  <c r="V149" i="9"/>
  <c r="V154" i="9"/>
  <c r="V161" i="9"/>
  <c r="V164" i="9"/>
  <c r="V185" i="9"/>
  <c r="V193" i="9"/>
  <c r="V148" i="9"/>
  <c r="V166" i="9"/>
  <c r="V141" i="9"/>
  <c r="V135" i="9"/>
  <c r="V155" i="9"/>
  <c r="V195" i="9"/>
  <c r="V168" i="9"/>
  <c r="V183" i="9"/>
  <c r="V186" i="9"/>
  <c r="V175" i="9"/>
  <c r="V190" i="9"/>
  <c r="V134" i="9"/>
  <c r="V138" i="9"/>
  <c r="V182" i="9"/>
  <c r="V187" i="9"/>
  <c r="V152" i="9"/>
  <c r="V165" i="9"/>
  <c r="V142" i="9"/>
  <c r="V179" i="9"/>
  <c r="V181" i="9"/>
  <c r="V159" i="9"/>
  <c r="V180" i="9"/>
  <c r="V137" i="9"/>
  <c r="V167" i="9"/>
  <c r="V197" i="9"/>
  <c r="V174" i="9"/>
  <c r="AB194" i="9"/>
  <c r="AB189" i="9"/>
  <c r="AB188" i="9"/>
  <c r="AB187" i="9"/>
  <c r="AB181" i="9"/>
  <c r="AB174" i="9"/>
  <c r="AB172" i="9"/>
  <c r="AB171" i="9"/>
  <c r="AB169" i="9"/>
  <c r="AB166" i="9"/>
  <c r="AB164" i="9"/>
  <c r="AB161" i="9"/>
  <c r="AB155" i="9"/>
  <c r="AB153" i="9"/>
  <c r="AB150" i="9"/>
  <c r="AB198" i="9"/>
  <c r="AB193" i="9"/>
  <c r="AB192" i="9"/>
  <c r="AB191" i="9"/>
  <c r="AB186" i="9"/>
  <c r="AB180" i="9"/>
  <c r="AB177" i="9"/>
  <c r="AB170" i="9"/>
  <c r="AB163" i="9"/>
  <c r="AB160" i="9"/>
  <c r="AB154" i="9"/>
  <c r="AB197" i="9"/>
  <c r="AB190" i="9"/>
  <c r="AB185" i="9"/>
  <c r="AB184" i="9"/>
  <c r="AB183" i="9"/>
  <c r="AB179" i="9"/>
  <c r="AB176" i="9"/>
  <c r="AB168" i="9"/>
  <c r="AB165" i="9"/>
  <c r="AB162" i="9"/>
  <c r="AB159" i="9"/>
  <c r="AB157" i="9"/>
  <c r="AB152" i="9"/>
  <c r="AB149" i="9"/>
  <c r="AB182" i="9"/>
  <c r="AB173" i="9"/>
  <c r="AB142" i="9"/>
  <c r="AB130" i="9"/>
  <c r="AB128" i="9"/>
  <c r="AB127" i="9"/>
  <c r="AB132" i="9"/>
  <c r="AB196" i="9"/>
  <c r="AB175" i="9"/>
  <c r="AB156" i="9"/>
  <c r="AB145" i="9"/>
  <c r="AB140" i="9"/>
  <c r="AB139" i="9"/>
  <c r="AB137" i="9"/>
  <c r="AB133" i="9"/>
  <c r="AB146" i="9"/>
  <c r="AB143" i="9"/>
  <c r="AB134" i="9"/>
  <c r="AB131" i="9"/>
  <c r="AB129" i="9"/>
  <c r="AB178" i="9"/>
  <c r="AB167" i="9"/>
  <c r="AB158" i="9"/>
  <c r="AB151" i="9"/>
  <c r="AB147" i="9"/>
  <c r="AB138" i="9"/>
  <c r="AB136" i="9"/>
  <c r="AB135" i="9"/>
  <c r="AB195" i="9"/>
  <c r="AB148" i="9"/>
  <c r="AB144" i="9"/>
  <c r="AB141" i="9"/>
  <c r="Z197" i="9"/>
  <c r="Z190" i="9"/>
  <c r="Z185" i="9"/>
  <c r="Z184" i="9"/>
  <c r="Z183" i="9"/>
  <c r="Z179" i="9"/>
  <c r="Z176" i="9"/>
  <c r="Z168" i="9"/>
  <c r="Z165" i="9"/>
  <c r="Z162" i="9"/>
  <c r="Z159" i="9"/>
  <c r="Z157" i="9"/>
  <c r="Z152" i="9"/>
  <c r="Z149" i="9"/>
  <c r="Z196" i="9"/>
  <c r="Z195" i="9"/>
  <c r="Z182" i="9"/>
  <c r="Z178" i="9"/>
  <c r="Z175" i="9"/>
  <c r="Z173" i="9"/>
  <c r="Z167" i="9"/>
  <c r="Z158" i="9"/>
  <c r="Z156" i="9"/>
  <c r="Z151" i="9"/>
  <c r="Z194" i="9"/>
  <c r="Z189" i="9"/>
  <c r="Z188" i="9"/>
  <c r="Z187" i="9"/>
  <c r="Z181" i="9"/>
  <c r="Z174" i="9"/>
  <c r="Z172" i="9"/>
  <c r="Z171" i="9"/>
  <c r="Z169" i="9"/>
  <c r="Z166" i="9"/>
  <c r="Z164" i="9"/>
  <c r="Z161" i="9"/>
  <c r="Z155" i="9"/>
  <c r="Z153" i="9"/>
  <c r="Z150" i="9"/>
  <c r="Z148" i="9"/>
  <c r="Z198" i="9"/>
  <c r="Z191" i="9"/>
  <c r="Z177" i="9"/>
  <c r="Z147" i="9"/>
  <c r="Z138" i="9"/>
  <c r="Z136" i="9"/>
  <c r="Z135" i="9"/>
  <c r="Z132" i="9"/>
  <c r="Z129" i="9"/>
  <c r="Z128" i="9"/>
  <c r="Z170" i="9"/>
  <c r="Z154" i="9"/>
  <c r="Z139" i="9"/>
  <c r="Z133" i="9"/>
  <c r="Z186" i="9"/>
  <c r="Z146" i="9"/>
  <c r="Z144" i="9"/>
  <c r="Z143" i="9"/>
  <c r="Z141" i="9"/>
  <c r="Z134" i="9"/>
  <c r="Z131" i="9"/>
  <c r="Z130" i="9"/>
  <c r="Z127" i="9"/>
  <c r="Z145" i="9"/>
  <c r="Z140" i="9"/>
  <c r="Z137" i="9"/>
  <c r="Z193" i="9"/>
  <c r="Z192" i="9"/>
  <c r="Z180" i="9"/>
  <c r="Z160" i="9"/>
  <c r="Z142" i="9"/>
  <c r="Z163" i="9"/>
  <c r="V80" i="9"/>
  <c r="V60" i="9"/>
  <c r="V99" i="9"/>
  <c r="V66" i="9"/>
  <c r="V97" i="9"/>
  <c r="Y12" i="9"/>
  <c r="E242" i="5"/>
  <c r="E309" i="5" s="1"/>
  <c r="E376" i="5" s="1"/>
  <c r="E443" i="5" s="1"/>
  <c r="H266" i="5"/>
  <c r="E117" i="6"/>
  <c r="E149" i="6" s="1"/>
  <c r="E181" i="6" s="1"/>
  <c r="E213" i="6" s="1"/>
  <c r="E124" i="6"/>
  <c r="E156" i="6" s="1"/>
  <c r="E188" i="6" s="1"/>
  <c r="E220" i="6" s="1"/>
  <c r="E91" i="4"/>
  <c r="E113" i="4" s="1"/>
  <c r="E135" i="4" s="1"/>
  <c r="E157" i="4" s="1"/>
  <c r="E120" i="6"/>
  <c r="E152" i="6" s="1"/>
  <c r="E184" i="6" s="1"/>
  <c r="E216" i="6" s="1"/>
  <c r="E115" i="6"/>
  <c r="E147" i="6" s="1"/>
  <c r="E179" i="6" s="1"/>
  <c r="E211" i="6" s="1"/>
  <c r="J46" i="12"/>
  <c r="H250" i="5"/>
  <c r="E129" i="6"/>
  <c r="E161" i="6" s="1"/>
  <c r="E193" i="6" s="1"/>
  <c r="E225" i="6" s="1"/>
  <c r="AI246" i="5"/>
  <c r="AJ246" i="5" s="1"/>
  <c r="AK246" i="5" s="1"/>
  <c r="AL246" i="5" s="1"/>
  <c r="H238" i="5"/>
  <c r="E131" i="6"/>
  <c r="E163" i="6" s="1"/>
  <c r="E195" i="6" s="1"/>
  <c r="E227" i="6" s="1"/>
  <c r="E270" i="5"/>
  <c r="E337" i="5" s="1"/>
  <c r="E404" i="5" s="1"/>
  <c r="E471" i="5" s="1"/>
  <c r="F26" i="16"/>
  <c r="G72" i="14"/>
  <c r="F72" i="14"/>
  <c r="H72" i="14"/>
  <c r="I72" i="14"/>
  <c r="AG89" i="4"/>
  <c r="AH89" i="4" s="1"/>
  <c r="E116" i="6"/>
  <c r="E148" i="6" s="1"/>
  <c r="E180" i="6" s="1"/>
  <c r="E212" i="6" s="1"/>
  <c r="E122" i="6"/>
  <c r="E154" i="6" s="1"/>
  <c r="E186" i="6" s="1"/>
  <c r="E218" i="6" s="1"/>
  <c r="G39" i="16"/>
  <c r="H44" i="13"/>
  <c r="E95" i="4"/>
  <c r="E117" i="4" s="1"/>
  <c r="E139" i="4" s="1"/>
  <c r="E161" i="4" s="1"/>
  <c r="H262" i="5"/>
  <c r="E250" i="5"/>
  <c r="E317" i="5" s="1"/>
  <c r="E384" i="5" s="1"/>
  <c r="E451" i="5" s="1"/>
  <c r="K91" i="19"/>
  <c r="J92" i="19"/>
  <c r="AM263" i="5"/>
  <c r="F263" i="5"/>
  <c r="L24" i="7"/>
  <c r="H125" i="6"/>
  <c r="H119" i="6"/>
  <c r="H128" i="6"/>
  <c r="H120" i="6"/>
  <c r="H114" i="6"/>
  <c r="H132" i="6"/>
  <c r="H124" i="6"/>
  <c r="H115" i="6"/>
  <c r="H127" i="6"/>
  <c r="H123" i="6"/>
  <c r="H117" i="6"/>
  <c r="H130" i="6"/>
  <c r="H126" i="6"/>
  <c r="H118" i="6"/>
  <c r="H122" i="6"/>
  <c r="J38" i="12"/>
  <c r="J42" i="12" s="1"/>
  <c r="J16" i="8"/>
  <c r="J19" i="8" s="1"/>
  <c r="G38" i="16"/>
  <c r="H28" i="13"/>
  <c r="J9" i="7"/>
  <c r="J38" i="11"/>
  <c r="I32" i="16"/>
  <c r="L97" i="3"/>
  <c r="G78" i="14"/>
  <c r="G31" i="16"/>
  <c r="G37" i="10"/>
  <c r="S12" i="9"/>
  <c r="Z98" i="9"/>
  <c r="Z47" i="9"/>
  <c r="Z60" i="9"/>
  <c r="Z59" i="9"/>
  <c r="Z107" i="9"/>
  <c r="Z32" i="9"/>
  <c r="Z30" i="9"/>
  <c r="Z209" i="9"/>
  <c r="Z65" i="9"/>
  <c r="Z89" i="9"/>
  <c r="Z102" i="9"/>
  <c r="Z67" i="9"/>
  <c r="Z206" i="9"/>
  <c r="Z203" i="9"/>
  <c r="Z61" i="9"/>
  <c r="Z118" i="9"/>
  <c r="Z113" i="9"/>
  <c r="Z33" i="9"/>
  <c r="Z39" i="9"/>
  <c r="Z79" i="9"/>
  <c r="Z109" i="9"/>
  <c r="Z52" i="9"/>
  <c r="Z41" i="9"/>
  <c r="Z78" i="9"/>
  <c r="Z92" i="9"/>
  <c r="Z44" i="9"/>
  <c r="Z66" i="9"/>
  <c r="Z88" i="9"/>
  <c r="Z82" i="9"/>
  <c r="Z46" i="9"/>
  <c r="Z73" i="9"/>
  <c r="Z71" i="9"/>
  <c r="Z21" i="9"/>
  <c r="Z121" i="9"/>
  <c r="Z111" i="9"/>
  <c r="Z27" i="9"/>
  <c r="Z38" i="9"/>
  <c r="Z99" i="9"/>
  <c r="Z56" i="9"/>
  <c r="Z114" i="9"/>
  <c r="Z200" i="9"/>
  <c r="Z112" i="9"/>
  <c r="Z199" i="9"/>
  <c r="Z37" i="9"/>
  <c r="Z18" i="9"/>
  <c r="Z100" i="9"/>
  <c r="Z25" i="9"/>
  <c r="Z210" i="9"/>
  <c r="Z68" i="9"/>
  <c r="Z50" i="9"/>
  <c r="Z28" i="9"/>
  <c r="Z95" i="9"/>
  <c r="Z94" i="9"/>
  <c r="Z83" i="9"/>
  <c r="Z48" i="9"/>
  <c r="Z207" i="9"/>
  <c r="Z36" i="9"/>
  <c r="Z53" i="9"/>
  <c r="Z96" i="9"/>
  <c r="Z213" i="9"/>
  <c r="Z74" i="9"/>
  <c r="Z93" i="9"/>
  <c r="Z212" i="9"/>
  <c r="Z123" i="9"/>
  <c r="Z204" i="9"/>
  <c r="Z122" i="9"/>
  <c r="Z19" i="9"/>
  <c r="Z34" i="9"/>
  <c r="Z81" i="9"/>
  <c r="Z22" i="9"/>
  <c r="Z97" i="9"/>
  <c r="Z29" i="9"/>
  <c r="Z208" i="9"/>
  <c r="Z119" i="9"/>
  <c r="Z117" i="9"/>
  <c r="Z64" i="9"/>
  <c r="Z43" i="9"/>
  <c r="Z125" i="9"/>
  <c r="Z31" i="9"/>
  <c r="Z126" i="9"/>
  <c r="Z42" i="9"/>
  <c r="Z108" i="9"/>
  <c r="Z101" i="9"/>
  <c r="Z16" i="9"/>
  <c r="Z14" i="9"/>
  <c r="Z20" i="9"/>
  <c r="Z26" i="9"/>
  <c r="Z35" i="9"/>
  <c r="Z110" i="9"/>
  <c r="Z77" i="9"/>
  <c r="Z54" i="9"/>
  <c r="Z45" i="9"/>
  <c r="Z90" i="9"/>
  <c r="Z55" i="9"/>
  <c r="Z103" i="9"/>
  <c r="Z63" i="9"/>
  <c r="Z106" i="9"/>
  <c r="Z75" i="9"/>
  <c r="Z201" i="9"/>
  <c r="Z80" i="9"/>
  <c r="Z69" i="9"/>
  <c r="Z51" i="9"/>
  <c r="Z86" i="9"/>
  <c r="Z124" i="9"/>
  <c r="Z15" i="9"/>
  <c r="Z205" i="9"/>
  <c r="Z120" i="9"/>
  <c r="Z84" i="9"/>
  <c r="Z72" i="9"/>
  <c r="Z202" i="9"/>
  <c r="Z104" i="9"/>
  <c r="Z87" i="9"/>
  <c r="Z57" i="9"/>
  <c r="Z58" i="9"/>
  <c r="Z211" i="9"/>
  <c r="Z116" i="9"/>
  <c r="Z91" i="9"/>
  <c r="Z49" i="9"/>
  <c r="Z23" i="9"/>
  <c r="Z17" i="9"/>
  <c r="Z105" i="9"/>
  <c r="Z85" i="9"/>
  <c r="Z70" i="9"/>
  <c r="Z76" i="9"/>
  <c r="Z115" i="9"/>
  <c r="Z40" i="9"/>
  <c r="Z24" i="9"/>
  <c r="Z62" i="9"/>
  <c r="U12" i="9"/>
  <c r="AB125" i="9"/>
  <c r="AB200" i="9"/>
  <c r="AB33" i="9"/>
  <c r="AB72" i="9"/>
  <c r="AB102" i="9"/>
  <c r="AB83" i="9"/>
  <c r="AB64" i="9"/>
  <c r="AB37" i="9"/>
  <c r="AB97" i="9"/>
  <c r="AB34" i="9"/>
  <c r="AB77" i="9"/>
  <c r="AB19" i="9"/>
  <c r="AB108" i="9"/>
  <c r="AB113" i="9"/>
  <c r="AB84" i="9"/>
  <c r="AB204" i="9"/>
  <c r="AB66" i="9"/>
  <c r="AB23" i="9"/>
  <c r="AB32" i="9"/>
  <c r="AB49" i="9"/>
  <c r="AB89" i="9"/>
  <c r="AB63" i="9"/>
  <c r="AB206" i="9"/>
  <c r="AB24" i="9"/>
  <c r="AB110" i="9"/>
  <c r="AB17" i="9"/>
  <c r="AB91" i="9"/>
  <c r="AB21" i="9"/>
  <c r="AB69" i="9"/>
  <c r="AB112" i="9"/>
  <c r="AB109" i="9"/>
  <c r="AB20" i="9"/>
  <c r="AB117" i="9"/>
  <c r="AB210" i="9"/>
  <c r="AB116" i="9"/>
  <c r="AB107" i="9"/>
  <c r="AB115" i="9"/>
  <c r="AB88" i="9"/>
  <c r="AB78" i="9"/>
  <c r="AB76" i="9"/>
  <c r="AB99" i="9"/>
  <c r="AB85" i="9"/>
  <c r="AB40" i="9"/>
  <c r="AB118" i="9"/>
  <c r="AB46" i="9"/>
  <c r="AB205" i="9"/>
  <c r="AB211" i="9"/>
  <c r="AB201" i="9"/>
  <c r="AB26" i="9"/>
  <c r="AB212" i="9"/>
  <c r="AB199" i="9"/>
  <c r="AB104" i="9"/>
  <c r="AB41" i="9"/>
  <c r="AB73" i="9"/>
  <c r="AB86" i="9"/>
  <c r="AB35" i="9"/>
  <c r="AB126" i="9"/>
  <c r="AB28" i="9"/>
  <c r="AB93" i="9"/>
  <c r="AB120" i="9"/>
  <c r="AB61" i="9"/>
  <c r="AB62" i="9"/>
  <c r="AB75" i="9"/>
  <c r="AB202" i="9"/>
  <c r="AB54" i="9"/>
  <c r="AB71" i="9"/>
  <c r="AB52" i="9"/>
  <c r="AB106" i="9"/>
  <c r="AB39" i="9"/>
  <c r="AB15" i="9"/>
  <c r="AB74" i="9"/>
  <c r="AB98" i="9"/>
  <c r="AB51" i="9"/>
  <c r="AB45" i="9"/>
  <c r="AB53" i="9"/>
  <c r="AB122" i="9"/>
  <c r="AB27" i="9"/>
  <c r="AB96" i="9"/>
  <c r="AB111" i="9"/>
  <c r="AB68" i="9"/>
  <c r="AB100" i="9"/>
  <c r="AB22" i="9"/>
  <c r="AB123" i="9"/>
  <c r="AB50" i="9"/>
  <c r="AB119" i="9"/>
  <c r="AB67" i="9"/>
  <c r="AB80" i="9"/>
  <c r="AB47" i="9"/>
  <c r="AB114" i="9"/>
  <c r="AB81" i="9"/>
  <c r="AB203" i="9"/>
  <c r="AB209" i="9"/>
  <c r="AB29" i="9"/>
  <c r="AB55" i="9"/>
  <c r="AB87" i="9"/>
  <c r="AB30" i="9"/>
  <c r="AB101" i="9"/>
  <c r="AB14" i="9"/>
  <c r="AB31" i="9"/>
  <c r="AB56" i="9"/>
  <c r="AB65" i="9"/>
  <c r="AB95" i="9"/>
  <c r="AB70" i="9"/>
  <c r="AB103" i="9"/>
  <c r="AB18" i="9"/>
  <c r="AB92" i="9"/>
  <c r="AB58" i="9"/>
  <c r="AB213" i="9"/>
  <c r="AB105" i="9"/>
  <c r="AB82" i="9"/>
  <c r="AB124" i="9"/>
  <c r="AB16" i="9"/>
  <c r="AB208" i="9"/>
  <c r="AB60" i="9"/>
  <c r="AB57" i="9"/>
  <c r="AB94" i="9"/>
  <c r="AB38" i="9"/>
  <c r="AB90" i="9"/>
  <c r="AB36" i="9"/>
  <c r="AB44" i="9"/>
  <c r="AB59" i="9"/>
  <c r="AB121" i="9"/>
  <c r="AB42" i="9"/>
  <c r="AB79" i="9"/>
  <c r="AB207" i="9"/>
  <c r="AB43" i="9"/>
  <c r="AB25" i="9"/>
  <c r="AB48" i="9"/>
  <c r="J179" i="7"/>
  <c r="H61" i="11" s="1"/>
  <c r="AH69" i="6"/>
  <c r="AG69" i="6"/>
  <c r="F58" i="10"/>
  <c r="AG92" i="4"/>
  <c r="AH92" i="4" s="1"/>
  <c r="F122" i="6"/>
  <c r="AG90" i="6"/>
  <c r="AH90" i="6" s="1"/>
  <c r="F258" i="5"/>
  <c r="F228" i="5"/>
  <c r="G40" i="16"/>
  <c r="H25" i="13"/>
  <c r="H26" i="13" s="1"/>
  <c r="F240" i="5"/>
  <c r="J55" i="12"/>
  <c r="F232" i="5"/>
  <c r="L166" i="3"/>
  <c r="I58" i="16" s="1"/>
  <c r="K158" i="3"/>
  <c r="I18" i="11" s="1"/>
  <c r="H26" i="16" s="1"/>
  <c r="K16" i="7"/>
  <c r="I53" i="14"/>
  <c r="I44" i="16"/>
  <c r="K37" i="2"/>
  <c r="I52" i="14"/>
  <c r="J26" i="10"/>
  <c r="F245" i="5"/>
  <c r="AI183" i="5"/>
  <c r="AJ183" i="5" s="1"/>
  <c r="AK183" i="5" s="1"/>
  <c r="AL183" i="5" s="1"/>
  <c r="AM183" i="5" s="1"/>
  <c r="G250" i="5"/>
  <c r="G317" i="5" s="1"/>
  <c r="G384" i="5" s="1"/>
  <c r="AI175" i="5"/>
  <c r="AJ175" i="5" s="1"/>
  <c r="AK175" i="5" s="1"/>
  <c r="AL175" i="5" s="1"/>
  <c r="AM175" i="5" s="1"/>
  <c r="G242" i="5"/>
  <c r="G309" i="5" s="1"/>
  <c r="G376" i="5" s="1"/>
  <c r="H264" i="5"/>
  <c r="G258" i="5"/>
  <c r="G325" i="5" s="1"/>
  <c r="G392" i="5" s="1"/>
  <c r="AI191" i="5"/>
  <c r="AJ191" i="5" s="1"/>
  <c r="AK191" i="5" s="1"/>
  <c r="AL191" i="5" s="1"/>
  <c r="AM191" i="5" s="1"/>
  <c r="E261" i="5"/>
  <c r="E328" i="5" s="1"/>
  <c r="E395" i="5" s="1"/>
  <c r="E462" i="5" s="1"/>
  <c r="AI195" i="5"/>
  <c r="AJ195" i="5" s="1"/>
  <c r="AK195" i="5" s="1"/>
  <c r="AL195" i="5" s="1"/>
  <c r="AM195" i="5" s="1"/>
  <c r="G262" i="5"/>
  <c r="G329" i="5" s="1"/>
  <c r="G396" i="5" s="1"/>
  <c r="F237" i="5"/>
  <c r="AG83" i="6"/>
  <c r="AH83" i="6" s="1"/>
  <c r="F115" i="6"/>
  <c r="F261" i="5"/>
  <c r="F239" i="5"/>
  <c r="F21" i="14"/>
  <c r="F41" i="14" s="1"/>
  <c r="F66" i="14" s="1"/>
  <c r="H8" i="13"/>
  <c r="G8" i="14"/>
  <c r="G11" i="14" s="1"/>
  <c r="AG100" i="6"/>
  <c r="AH100" i="6" s="1"/>
  <c r="F132" i="6"/>
  <c r="F269" i="5"/>
  <c r="AI268" i="5"/>
  <c r="AJ268" i="5" s="1"/>
  <c r="AK268" i="5" s="1"/>
  <c r="AL268" i="5" s="1"/>
  <c r="AI234" i="5"/>
  <c r="AJ234" i="5" s="1"/>
  <c r="AK234" i="5" s="1"/>
  <c r="AL234" i="5" s="1"/>
  <c r="AI265" i="5"/>
  <c r="AJ265" i="5" s="1"/>
  <c r="AK265" i="5" s="1"/>
  <c r="AL265" i="5" s="1"/>
  <c r="AI244" i="5"/>
  <c r="AJ244" i="5" s="1"/>
  <c r="AK244" i="5" s="1"/>
  <c r="AL244" i="5" s="1"/>
  <c r="AI243" i="5"/>
  <c r="AJ243" i="5" s="1"/>
  <c r="AK243" i="5" s="1"/>
  <c r="AL243" i="5" s="1"/>
  <c r="AM269" i="5"/>
  <c r="AI233" i="5"/>
  <c r="AJ233" i="5" s="1"/>
  <c r="AK233" i="5" s="1"/>
  <c r="AL233" i="5" s="1"/>
  <c r="AI256" i="5"/>
  <c r="AJ256" i="5" s="1"/>
  <c r="AK256" i="5" s="1"/>
  <c r="AL256" i="5" s="1"/>
  <c r="AM256" i="5" s="1"/>
  <c r="AM223" i="5"/>
  <c r="E125" i="6"/>
  <c r="E157" i="6" s="1"/>
  <c r="E189" i="6" s="1"/>
  <c r="E221" i="6" s="1"/>
  <c r="AI257" i="5"/>
  <c r="AJ257" i="5" s="1"/>
  <c r="AK257" i="5" s="1"/>
  <c r="AL257" i="5" s="1"/>
  <c r="AI251" i="5"/>
  <c r="AJ251" i="5" s="1"/>
  <c r="AK251" i="5" s="1"/>
  <c r="AL251" i="5" s="1"/>
  <c r="AI238" i="5"/>
  <c r="AJ238" i="5" s="1"/>
  <c r="AK238" i="5" s="1"/>
  <c r="AL238" i="5" s="1"/>
  <c r="AI253" i="5"/>
  <c r="AJ253" i="5" s="1"/>
  <c r="AK253" i="5" s="1"/>
  <c r="AL253" i="5" s="1"/>
  <c r="F120" i="6"/>
  <c r="AG88" i="6"/>
  <c r="AH88" i="6" s="1"/>
  <c r="AI237" i="5"/>
  <c r="AJ237" i="5" s="1"/>
  <c r="AK237" i="5" s="1"/>
  <c r="AL237" i="5" s="1"/>
  <c r="AI252" i="5"/>
  <c r="AJ252" i="5" s="1"/>
  <c r="AK252" i="5" s="1"/>
  <c r="AL252" i="5" s="1"/>
  <c r="L95" i="7"/>
  <c r="AM240" i="5"/>
  <c r="AI272" i="5"/>
  <c r="AJ272" i="5" s="1"/>
  <c r="AK272" i="5" s="1"/>
  <c r="AL272" i="5" s="1"/>
  <c r="AM272" i="5" s="1"/>
  <c r="AI239" i="5"/>
  <c r="AJ239" i="5" s="1"/>
  <c r="AK239" i="5" s="1"/>
  <c r="AL239" i="5" s="1"/>
  <c r="AI226" i="5"/>
  <c r="AJ226" i="5" s="1"/>
  <c r="AK226" i="5" s="1"/>
  <c r="AL226" i="5" s="1"/>
  <c r="AI224" i="5"/>
  <c r="AJ224" i="5" s="1"/>
  <c r="AK224" i="5" s="1"/>
  <c r="AL224" i="5" s="1"/>
  <c r="AM224" i="5" s="1"/>
  <c r="L154" i="3"/>
  <c r="L155" i="3"/>
  <c r="J17" i="11" s="1"/>
  <c r="I25" i="16" s="1"/>
  <c r="K154" i="3"/>
  <c r="I15" i="11" s="1"/>
  <c r="H23" i="16" s="1"/>
  <c r="J129" i="6"/>
  <c r="J101" i="6"/>
  <c r="G61" i="14" s="1"/>
  <c r="F45" i="14" s="1"/>
  <c r="I13" i="10"/>
  <c r="J27" i="3" l="1"/>
  <c r="K35" i="2"/>
  <c r="H43" i="16"/>
  <c r="K19" i="3"/>
  <c r="I53" i="2"/>
  <c r="M36" i="3"/>
  <c r="M33" i="3"/>
  <c r="M35" i="3"/>
  <c r="M39" i="3"/>
  <c r="M44" i="3" s="1"/>
  <c r="M20" i="3"/>
  <c r="M34" i="3"/>
  <c r="L19" i="12"/>
  <c r="K22" i="13"/>
  <c r="J17" i="3"/>
  <c r="J18" i="3"/>
  <c r="J21" i="3"/>
  <c r="H17" i="3"/>
  <c r="H21" i="3"/>
  <c r="H18" i="3"/>
  <c r="H54" i="2"/>
  <c r="H25" i="10"/>
  <c r="H29" i="10" s="1"/>
  <c r="AB49" i="6"/>
  <c r="R49" i="6" s="1"/>
  <c r="G463" i="5"/>
  <c r="AI396" i="5"/>
  <c r="AJ396" i="5" s="1"/>
  <c r="AK396" i="5"/>
  <c r="AL396" i="5" s="1"/>
  <c r="AM396" i="5" s="1"/>
  <c r="Y124" i="6"/>
  <c r="AF124" i="6"/>
  <c r="H317" i="5"/>
  <c r="AF250" i="5"/>
  <c r="Y250" i="5"/>
  <c r="H288" i="5"/>
  <c r="AF221" i="5"/>
  <c r="Y221" i="5"/>
  <c r="AF257" i="5"/>
  <c r="Y257" i="5"/>
  <c r="T396" i="5"/>
  <c r="J463" i="5"/>
  <c r="P396" i="5"/>
  <c r="R396" i="5"/>
  <c r="S396" i="5"/>
  <c r="O396" i="5"/>
  <c r="N396" i="5"/>
  <c r="AD396" i="5" s="1"/>
  <c r="I396" i="5"/>
  <c r="AG161" i="6"/>
  <c r="AH161" i="6" s="1"/>
  <c r="F193" i="6"/>
  <c r="H332" i="5"/>
  <c r="AF265" i="5"/>
  <c r="Y265" i="5"/>
  <c r="H300" i="5"/>
  <c r="AF233" i="5"/>
  <c r="Y233" i="5"/>
  <c r="AF307" i="5"/>
  <c r="Y307" i="5"/>
  <c r="H374" i="5"/>
  <c r="J31" i="16"/>
  <c r="J78" i="14"/>
  <c r="H331" i="5"/>
  <c r="AF264" i="5"/>
  <c r="Y264" i="5"/>
  <c r="Y119" i="6"/>
  <c r="AB119" i="6" s="1"/>
  <c r="AF119" i="6"/>
  <c r="H305" i="5"/>
  <c r="AF238" i="5"/>
  <c r="Y238" i="5"/>
  <c r="H335" i="5"/>
  <c r="AF268" i="5"/>
  <c r="Y268" i="5"/>
  <c r="H294" i="5"/>
  <c r="AF227" i="5"/>
  <c r="Y227" i="5"/>
  <c r="H311" i="5"/>
  <c r="AF244" i="5"/>
  <c r="Y244" i="5"/>
  <c r="H316" i="5"/>
  <c r="AF249" i="5"/>
  <c r="Y249" i="5"/>
  <c r="H330" i="5"/>
  <c r="AF263" i="5"/>
  <c r="Y263" i="5"/>
  <c r="H298" i="5"/>
  <c r="AF231" i="5"/>
  <c r="Y231" i="5"/>
  <c r="H295" i="5"/>
  <c r="AF228" i="5"/>
  <c r="Y228" i="5"/>
  <c r="H328" i="5"/>
  <c r="AF261" i="5"/>
  <c r="Y261" i="5"/>
  <c r="J141" i="4"/>
  <c r="J59" i="14" s="1"/>
  <c r="J153" i="4"/>
  <c r="N131" i="4"/>
  <c r="P131" i="4" s="1"/>
  <c r="P135" i="4"/>
  <c r="J157" i="4"/>
  <c r="S135" i="4"/>
  <c r="R135" i="4"/>
  <c r="I135" i="4"/>
  <c r="T135" i="4"/>
  <c r="N135" i="4"/>
  <c r="AD135" i="4" s="1"/>
  <c r="P140" i="4"/>
  <c r="J162" i="4"/>
  <c r="R140" i="4"/>
  <c r="N140" i="4"/>
  <c r="AD140" i="4" s="1"/>
  <c r="I140" i="4"/>
  <c r="T140" i="4"/>
  <c r="S140" i="4"/>
  <c r="P353" i="5"/>
  <c r="J420" i="5"/>
  <c r="R353" i="5"/>
  <c r="T353" i="5"/>
  <c r="I353" i="5"/>
  <c r="O353" i="5"/>
  <c r="N353" i="5"/>
  <c r="S353" i="5"/>
  <c r="F43" i="14"/>
  <c r="J459" i="5"/>
  <c r="O392" i="5"/>
  <c r="R392" i="5"/>
  <c r="N392" i="5"/>
  <c r="S392" i="5"/>
  <c r="T392" i="5"/>
  <c r="P392" i="5"/>
  <c r="I392" i="5"/>
  <c r="T376" i="5"/>
  <c r="J443" i="5"/>
  <c r="S376" i="5"/>
  <c r="P376" i="5"/>
  <c r="I376" i="5"/>
  <c r="N376" i="5"/>
  <c r="O376" i="5"/>
  <c r="AD376" i="5" s="1"/>
  <c r="R376" i="5"/>
  <c r="AG301" i="5"/>
  <c r="AH301" i="5" s="1"/>
  <c r="F368" i="5"/>
  <c r="AM330" i="5"/>
  <c r="J397" i="5"/>
  <c r="S358" i="5"/>
  <c r="J425" i="5"/>
  <c r="T358" i="5"/>
  <c r="P358" i="5"/>
  <c r="R358" i="5"/>
  <c r="I358" i="5"/>
  <c r="N358" i="5"/>
  <c r="O358" i="5"/>
  <c r="AF115" i="4"/>
  <c r="Y115" i="4"/>
  <c r="H137" i="4"/>
  <c r="R182" i="6"/>
  <c r="N182" i="6"/>
  <c r="AD182" i="6" s="1"/>
  <c r="I182" i="6"/>
  <c r="T182" i="6"/>
  <c r="S182" i="6"/>
  <c r="J214" i="6"/>
  <c r="P182" i="6"/>
  <c r="AG151" i="6"/>
  <c r="AH151" i="6" s="1"/>
  <c r="F183" i="6"/>
  <c r="AG180" i="6"/>
  <c r="AH180" i="6" s="1"/>
  <c r="F212" i="6"/>
  <c r="AG212" i="6" s="1"/>
  <c r="AH212" i="6" s="1"/>
  <c r="AG188" i="6"/>
  <c r="AH188" i="6" s="1"/>
  <c r="F220" i="6"/>
  <c r="AG220" i="6" s="1"/>
  <c r="AH220" i="6" s="1"/>
  <c r="H321" i="5"/>
  <c r="AF254" i="5"/>
  <c r="Y254" i="5"/>
  <c r="AK447" i="5"/>
  <c r="AL447" i="5" s="1"/>
  <c r="AI447" i="5"/>
  <c r="AJ447" i="5" s="1"/>
  <c r="AI469" i="5"/>
  <c r="AJ469" i="5" s="1"/>
  <c r="AK469" i="5"/>
  <c r="AL469" i="5" s="1"/>
  <c r="AI434" i="5"/>
  <c r="AJ434" i="5" s="1"/>
  <c r="AK434" i="5"/>
  <c r="AL434" i="5" s="1"/>
  <c r="AF314" i="5"/>
  <c r="Y314" i="5"/>
  <c r="H381" i="5"/>
  <c r="AM360" i="5"/>
  <c r="J61" i="11"/>
  <c r="AK438" i="5"/>
  <c r="AL438" i="5" s="1"/>
  <c r="AI438" i="5"/>
  <c r="AJ438" i="5" s="1"/>
  <c r="AF131" i="4"/>
  <c r="H153" i="4"/>
  <c r="AF153" i="4" s="1"/>
  <c r="AI419" i="5"/>
  <c r="AJ419" i="5" s="1"/>
  <c r="AK419" i="5" s="1"/>
  <c r="AL419" i="5" s="1"/>
  <c r="T421" i="5"/>
  <c r="S421" i="5"/>
  <c r="P421" i="5"/>
  <c r="I421" i="5"/>
  <c r="N421" i="5"/>
  <c r="O421" i="5"/>
  <c r="AD421" i="5" s="1"/>
  <c r="R421" i="5"/>
  <c r="H322" i="5"/>
  <c r="AF255" i="5"/>
  <c r="Y255" i="5"/>
  <c r="AF336" i="5"/>
  <c r="Y336" i="5"/>
  <c r="H403" i="5"/>
  <c r="AK439" i="5"/>
  <c r="AL439" i="5" s="1"/>
  <c r="AI439" i="5"/>
  <c r="AJ439" i="5" s="1"/>
  <c r="AG191" i="6"/>
  <c r="AH191" i="6" s="1"/>
  <c r="F223" i="6"/>
  <c r="AG223" i="6" s="1"/>
  <c r="AH223" i="6" s="1"/>
  <c r="H339" i="5"/>
  <c r="AF272" i="5"/>
  <c r="Y272" i="5"/>
  <c r="AK421" i="5"/>
  <c r="AL421" i="5" s="1"/>
  <c r="AM421" i="5" s="1"/>
  <c r="AI421" i="5"/>
  <c r="AJ421" i="5" s="1"/>
  <c r="AF289" i="5"/>
  <c r="Y289" i="5"/>
  <c r="H356" i="5"/>
  <c r="G459" i="5"/>
  <c r="AK392" i="5"/>
  <c r="AL392" i="5" s="1"/>
  <c r="AM392" i="5" s="1"/>
  <c r="AI392" i="5"/>
  <c r="AJ392" i="5" s="1"/>
  <c r="AK405" i="5"/>
  <c r="AL405" i="5" s="1"/>
  <c r="G472" i="5"/>
  <c r="AI405" i="5"/>
  <c r="AJ405" i="5" s="1"/>
  <c r="H296" i="5"/>
  <c r="AF229" i="5"/>
  <c r="Y229" i="5"/>
  <c r="P134" i="4"/>
  <c r="T134" i="4"/>
  <c r="J156" i="4"/>
  <c r="S134" i="4"/>
  <c r="R134" i="4"/>
  <c r="N134" i="4"/>
  <c r="AD134" i="4" s="1"/>
  <c r="I134" i="4"/>
  <c r="P137" i="4"/>
  <c r="N137" i="4"/>
  <c r="AD137" i="4" s="1"/>
  <c r="I137" i="4"/>
  <c r="T137" i="4"/>
  <c r="J159" i="4"/>
  <c r="S137" i="4"/>
  <c r="R137" i="4"/>
  <c r="Y88" i="4"/>
  <c r="AF88" i="4"/>
  <c r="Y116" i="6"/>
  <c r="AF116" i="6"/>
  <c r="AK393" i="5"/>
  <c r="AL393" i="5" s="1"/>
  <c r="AM393" i="5" s="1"/>
  <c r="G460" i="5"/>
  <c r="AI393" i="5"/>
  <c r="AJ393" i="5" s="1"/>
  <c r="AG324" i="5"/>
  <c r="AH324" i="5" s="1"/>
  <c r="F391" i="5"/>
  <c r="AG322" i="5"/>
  <c r="AH322" i="5" s="1"/>
  <c r="F389" i="5"/>
  <c r="AG332" i="5"/>
  <c r="AH332" i="5" s="1"/>
  <c r="F399" i="5"/>
  <c r="AG308" i="5"/>
  <c r="AH308" i="5" s="1"/>
  <c r="F375" i="5"/>
  <c r="AF116" i="4"/>
  <c r="Y116" i="4"/>
  <c r="H138" i="4"/>
  <c r="AG185" i="6"/>
  <c r="AH185" i="6" s="1"/>
  <c r="F217" i="6"/>
  <c r="AG217" i="6" s="1"/>
  <c r="AH217" i="6" s="1"/>
  <c r="M154" i="3"/>
  <c r="K15" i="11" s="1"/>
  <c r="J23" i="16" s="1"/>
  <c r="K61" i="11"/>
  <c r="AF319" i="5"/>
  <c r="Y319" i="5"/>
  <c r="H386" i="5"/>
  <c r="AF301" i="5"/>
  <c r="Y301" i="5"/>
  <c r="H368" i="5"/>
  <c r="Y118" i="6"/>
  <c r="AF118" i="6"/>
  <c r="Y132" i="6"/>
  <c r="AF132" i="6"/>
  <c r="H290" i="5"/>
  <c r="AF223" i="5"/>
  <c r="Y223" i="5"/>
  <c r="J15" i="11"/>
  <c r="I23" i="16" s="1"/>
  <c r="G443" i="5"/>
  <c r="AI376" i="5"/>
  <c r="AJ376" i="5" s="1"/>
  <c r="AK376" i="5"/>
  <c r="AL376" i="5" s="1"/>
  <c r="AM376" i="5" s="1"/>
  <c r="I40" i="16"/>
  <c r="K179" i="7"/>
  <c r="I61" i="11" s="1"/>
  <c r="L103" i="3"/>
  <c r="L158" i="3" s="1"/>
  <c r="J18" i="11" s="1"/>
  <c r="I26" i="16" s="1"/>
  <c r="M97" i="3"/>
  <c r="M103" i="3" s="1"/>
  <c r="Y126" i="6"/>
  <c r="AF126" i="6"/>
  <c r="Y127" i="6"/>
  <c r="AA127" i="6" s="1"/>
  <c r="AF127" i="6"/>
  <c r="Y114" i="6"/>
  <c r="AF114" i="6"/>
  <c r="Y125" i="6"/>
  <c r="AF125" i="6"/>
  <c r="H333" i="5"/>
  <c r="AF266" i="5"/>
  <c r="Y266" i="5"/>
  <c r="AC107" i="9"/>
  <c r="H327" i="5"/>
  <c r="AF260" i="5"/>
  <c r="Y260" i="5"/>
  <c r="H285" i="5"/>
  <c r="AF285" i="5" s="1"/>
  <c r="AF218" i="5"/>
  <c r="H334" i="5"/>
  <c r="AF267" i="5"/>
  <c r="Y267" i="5"/>
  <c r="Y90" i="4"/>
  <c r="AF90" i="4"/>
  <c r="P138" i="4"/>
  <c r="J160" i="4"/>
  <c r="T138" i="4"/>
  <c r="S138" i="4"/>
  <c r="I138" i="4"/>
  <c r="N138" i="4"/>
  <c r="AD138" i="4" s="1"/>
  <c r="R138" i="4"/>
  <c r="AF113" i="6"/>
  <c r="J209" i="6"/>
  <c r="N177" i="6"/>
  <c r="P177" i="6" s="1"/>
  <c r="AG333" i="5"/>
  <c r="AH333" i="5" s="1"/>
  <c r="F400" i="5"/>
  <c r="AG326" i="5"/>
  <c r="AH326" i="5" s="1"/>
  <c r="F393" i="5"/>
  <c r="AG319" i="5"/>
  <c r="AH319" i="5" s="1"/>
  <c r="F386" i="5"/>
  <c r="AK395" i="5"/>
  <c r="AL395" i="5" s="1"/>
  <c r="G462" i="5"/>
  <c r="AI395" i="5"/>
  <c r="AJ395" i="5" s="1"/>
  <c r="AG297" i="5"/>
  <c r="AH297" i="5" s="1"/>
  <c r="F364" i="5"/>
  <c r="AG317" i="5"/>
  <c r="AH317" i="5" s="1"/>
  <c r="F384" i="5"/>
  <c r="AG292" i="5"/>
  <c r="AH292" i="5" s="1"/>
  <c r="F359" i="5"/>
  <c r="AG286" i="5"/>
  <c r="AH286" i="5" s="1"/>
  <c r="F353" i="5"/>
  <c r="G437" i="5"/>
  <c r="AK370" i="5"/>
  <c r="AL370" i="5" s="1"/>
  <c r="AI370" i="5"/>
  <c r="AJ370" i="5" s="1"/>
  <c r="AG305" i="5"/>
  <c r="AH305" i="5" s="1"/>
  <c r="F372" i="5"/>
  <c r="AK355" i="5"/>
  <c r="AL355" i="5" s="1"/>
  <c r="AM355" i="5" s="1"/>
  <c r="G422" i="5"/>
  <c r="AI355" i="5"/>
  <c r="AJ355" i="5" s="1"/>
  <c r="AF118" i="4"/>
  <c r="Y118" i="4"/>
  <c r="H140" i="4"/>
  <c r="AG158" i="6"/>
  <c r="AH158" i="6" s="1"/>
  <c r="F190" i="6"/>
  <c r="R191" i="6"/>
  <c r="J223" i="6"/>
  <c r="N191" i="6"/>
  <c r="AD191" i="6" s="1"/>
  <c r="I191" i="6"/>
  <c r="S191" i="6"/>
  <c r="T191" i="6"/>
  <c r="P191" i="6"/>
  <c r="R188" i="6"/>
  <c r="N188" i="6"/>
  <c r="AD188" i="6" s="1"/>
  <c r="I188" i="6"/>
  <c r="J220" i="6"/>
  <c r="T188" i="6"/>
  <c r="S188" i="6"/>
  <c r="P188" i="6"/>
  <c r="AG163" i="6"/>
  <c r="AH163" i="6" s="1"/>
  <c r="F195" i="6"/>
  <c r="Y153" i="6"/>
  <c r="AF153" i="6"/>
  <c r="H185" i="6"/>
  <c r="S196" i="6"/>
  <c r="N196" i="6"/>
  <c r="AD196" i="6" s="1"/>
  <c r="I196" i="6"/>
  <c r="J228" i="6"/>
  <c r="T196" i="6"/>
  <c r="P196" i="6"/>
  <c r="R196" i="6"/>
  <c r="AG157" i="6"/>
  <c r="AH157" i="6" s="1"/>
  <c r="F189" i="6"/>
  <c r="H318" i="5"/>
  <c r="AF251" i="5"/>
  <c r="Y251" i="5"/>
  <c r="AF326" i="5"/>
  <c r="Y326" i="5"/>
  <c r="H393" i="5"/>
  <c r="AK440" i="5"/>
  <c r="AL440" i="5" s="1"/>
  <c r="AI440" i="5"/>
  <c r="AJ440" i="5" s="1"/>
  <c r="AK429" i="5"/>
  <c r="AL429" i="5" s="1"/>
  <c r="AI429" i="5"/>
  <c r="AJ429" i="5" s="1"/>
  <c r="AK468" i="5"/>
  <c r="AL468" i="5" s="1"/>
  <c r="AI468" i="5"/>
  <c r="AJ468" i="5" s="1"/>
  <c r="H309" i="5"/>
  <c r="AF242" i="5"/>
  <c r="Y242" i="5"/>
  <c r="AK454" i="5"/>
  <c r="AL454" i="5" s="1"/>
  <c r="AI454" i="5"/>
  <c r="AJ454" i="5" s="1"/>
  <c r="AI457" i="5"/>
  <c r="AJ457" i="5" s="1"/>
  <c r="AK457" i="5"/>
  <c r="AL457" i="5" s="1"/>
  <c r="AM358" i="5"/>
  <c r="AK427" i="5"/>
  <c r="AL427" i="5" s="1"/>
  <c r="AI427" i="5"/>
  <c r="AJ427" i="5" s="1"/>
  <c r="AK453" i="5"/>
  <c r="AL453" i="5" s="1"/>
  <c r="AI453" i="5"/>
  <c r="AJ453" i="5" s="1"/>
  <c r="AD354" i="5"/>
  <c r="H325" i="5"/>
  <c r="AF258" i="5"/>
  <c r="Y258" i="5"/>
  <c r="AF315" i="5"/>
  <c r="Y315" i="5"/>
  <c r="H382" i="5"/>
  <c r="H303" i="5"/>
  <c r="AF236" i="5"/>
  <c r="Y236" i="5"/>
  <c r="Y151" i="5"/>
  <c r="Y206" i="5" s="1"/>
  <c r="AA206" i="5" s="1"/>
  <c r="AF312" i="5"/>
  <c r="Y312" i="5"/>
  <c r="H379" i="5"/>
  <c r="L182" i="7"/>
  <c r="AI444" i="5"/>
  <c r="AJ444" i="5" s="1"/>
  <c r="AK444" i="5"/>
  <c r="AL444" i="5" s="1"/>
  <c r="AK384" i="5"/>
  <c r="AL384" i="5" s="1"/>
  <c r="G451" i="5"/>
  <c r="AI384" i="5"/>
  <c r="AJ384" i="5" s="1"/>
  <c r="J23" i="13"/>
  <c r="K23" i="13"/>
  <c r="Y122" i="6"/>
  <c r="AF122" i="6"/>
  <c r="Y117" i="6"/>
  <c r="AF117" i="6"/>
  <c r="Y128" i="6"/>
  <c r="AF128" i="6"/>
  <c r="AF235" i="5"/>
  <c r="Y235" i="5"/>
  <c r="H287" i="5"/>
  <c r="AF220" i="5"/>
  <c r="Y220" i="5"/>
  <c r="H304" i="5"/>
  <c r="AF237" i="5"/>
  <c r="Y237" i="5"/>
  <c r="P139" i="4"/>
  <c r="J161" i="4"/>
  <c r="S139" i="4"/>
  <c r="R139" i="4"/>
  <c r="N139" i="4"/>
  <c r="AD139" i="4" s="1"/>
  <c r="T139" i="4"/>
  <c r="I139" i="4"/>
  <c r="AG296" i="5"/>
  <c r="AH296" i="5" s="1"/>
  <c r="F363" i="5"/>
  <c r="AK382" i="5"/>
  <c r="AL382" i="5" s="1"/>
  <c r="G449" i="5"/>
  <c r="AI382" i="5"/>
  <c r="AJ382" i="5" s="1"/>
  <c r="AG146" i="6"/>
  <c r="AH146" i="6" s="1"/>
  <c r="F178" i="6"/>
  <c r="AG160" i="6"/>
  <c r="AH160" i="6" s="1"/>
  <c r="F192" i="6"/>
  <c r="AF310" i="5"/>
  <c r="Y310" i="5"/>
  <c r="H377" i="5"/>
  <c r="AI458" i="5"/>
  <c r="AJ458" i="5" s="1"/>
  <c r="AK458" i="5"/>
  <c r="AL458" i="5" s="1"/>
  <c r="AF320" i="5"/>
  <c r="Y320" i="5"/>
  <c r="H387" i="5"/>
  <c r="AI452" i="5"/>
  <c r="AJ452" i="5" s="1"/>
  <c r="AK452" i="5"/>
  <c r="AL452" i="5" s="1"/>
  <c r="K62" i="11"/>
  <c r="Y123" i="6"/>
  <c r="AF123" i="6"/>
  <c r="H329" i="5"/>
  <c r="AF262" i="5"/>
  <c r="Y262" i="5"/>
  <c r="H338" i="5"/>
  <c r="AF271" i="5"/>
  <c r="Y271" i="5"/>
  <c r="J24" i="13"/>
  <c r="K24" i="13"/>
  <c r="Y130" i="6"/>
  <c r="AF130" i="6"/>
  <c r="Y115" i="6"/>
  <c r="AF115" i="6"/>
  <c r="Y120" i="6"/>
  <c r="AF120" i="6"/>
  <c r="AC40" i="9"/>
  <c r="G456" i="5"/>
  <c r="AI389" i="5"/>
  <c r="AJ389" i="5" s="1"/>
  <c r="AK389" i="5"/>
  <c r="AL389" i="5" s="1"/>
  <c r="H313" i="5"/>
  <c r="AF246" i="5"/>
  <c r="Y246" i="5"/>
  <c r="H291" i="5"/>
  <c r="AF224" i="5"/>
  <c r="Y224" i="5"/>
  <c r="H292" i="5"/>
  <c r="AF225" i="5"/>
  <c r="Y225" i="5"/>
  <c r="H293" i="5"/>
  <c r="AF226" i="5"/>
  <c r="Y226" i="5"/>
  <c r="H297" i="5"/>
  <c r="AF230" i="5"/>
  <c r="Y230" i="5"/>
  <c r="P136" i="4"/>
  <c r="J158" i="4"/>
  <c r="R136" i="4"/>
  <c r="N136" i="4"/>
  <c r="AD136" i="4" s="1"/>
  <c r="I136" i="4"/>
  <c r="T136" i="4"/>
  <c r="S136" i="4"/>
  <c r="Y92" i="4"/>
  <c r="AF92" i="4"/>
  <c r="Y91" i="4"/>
  <c r="AF91" i="4"/>
  <c r="Y89" i="4"/>
  <c r="AF89" i="4"/>
  <c r="P133" i="4"/>
  <c r="N133" i="4"/>
  <c r="AD133" i="4" s="1"/>
  <c r="I133" i="4"/>
  <c r="T133" i="4"/>
  <c r="J155" i="4"/>
  <c r="R133" i="4"/>
  <c r="S133" i="4"/>
  <c r="P132" i="4"/>
  <c r="R132" i="4"/>
  <c r="N132" i="4"/>
  <c r="AD132" i="4" s="1"/>
  <c r="I132" i="4"/>
  <c r="T132" i="4"/>
  <c r="S132" i="4"/>
  <c r="J154" i="4"/>
  <c r="Y65" i="4"/>
  <c r="Y101" i="6"/>
  <c r="T374" i="5"/>
  <c r="P374" i="5"/>
  <c r="J441" i="5"/>
  <c r="N374" i="5"/>
  <c r="I374" i="5"/>
  <c r="S374" i="5"/>
  <c r="R374" i="5"/>
  <c r="O374" i="5"/>
  <c r="AD374" i="5" s="1"/>
  <c r="T406" i="5"/>
  <c r="P406" i="5"/>
  <c r="N406" i="5"/>
  <c r="I406" i="5"/>
  <c r="S406" i="5"/>
  <c r="J473" i="5"/>
  <c r="R406" i="5"/>
  <c r="O406" i="5"/>
  <c r="AD406" i="5" s="1"/>
  <c r="P357" i="5"/>
  <c r="J424" i="5"/>
  <c r="R357" i="5"/>
  <c r="N357" i="5"/>
  <c r="S357" i="5"/>
  <c r="O357" i="5"/>
  <c r="T357" i="5"/>
  <c r="I357" i="5"/>
  <c r="G431" i="5"/>
  <c r="AI364" i="5"/>
  <c r="AJ364" i="5" s="1"/>
  <c r="AK364" i="5"/>
  <c r="AL364" i="5" s="1"/>
  <c r="O390" i="5"/>
  <c r="J457" i="5"/>
  <c r="T390" i="5"/>
  <c r="S390" i="5"/>
  <c r="I390" i="5"/>
  <c r="R390" i="5"/>
  <c r="P390" i="5"/>
  <c r="N390" i="5"/>
  <c r="AF117" i="4"/>
  <c r="Y117" i="4"/>
  <c r="H139" i="4"/>
  <c r="Y161" i="6"/>
  <c r="AF161" i="6"/>
  <c r="H193" i="6"/>
  <c r="R195" i="6"/>
  <c r="J227" i="6"/>
  <c r="N195" i="6"/>
  <c r="AD195" i="6" s="1"/>
  <c r="I195" i="6"/>
  <c r="S195" i="6"/>
  <c r="T195" i="6"/>
  <c r="P195" i="6"/>
  <c r="Y131" i="6"/>
  <c r="AF131" i="6"/>
  <c r="AG194" i="6"/>
  <c r="AH194" i="6" s="1"/>
  <c r="F226" i="6"/>
  <c r="AG226" i="6" s="1"/>
  <c r="AH226" i="6" s="1"/>
  <c r="AK420" i="5"/>
  <c r="AL420" i="5" s="1"/>
  <c r="AM420" i="5" s="1"/>
  <c r="AI420" i="5"/>
  <c r="AJ420" i="5" s="1"/>
  <c r="AF337" i="5"/>
  <c r="Y337" i="5"/>
  <c r="H404" i="5"/>
  <c r="AF306" i="5"/>
  <c r="Y306" i="5"/>
  <c r="H373" i="5"/>
  <c r="AF308" i="5"/>
  <c r="Y308" i="5"/>
  <c r="H375" i="5"/>
  <c r="AF323" i="5"/>
  <c r="Y323" i="5"/>
  <c r="H390" i="5"/>
  <c r="AK423" i="5"/>
  <c r="AL423" i="5" s="1"/>
  <c r="AI423" i="5"/>
  <c r="AJ423" i="5" s="1"/>
  <c r="AK445" i="5"/>
  <c r="AL445" i="5" s="1"/>
  <c r="AI445" i="5"/>
  <c r="AJ445" i="5" s="1"/>
  <c r="AM424" i="5"/>
  <c r="AK426" i="5"/>
  <c r="AL426" i="5" s="1"/>
  <c r="AI426" i="5"/>
  <c r="AJ426" i="5" s="1"/>
  <c r="AF299" i="5"/>
  <c r="Y299" i="5"/>
  <c r="H366" i="5"/>
  <c r="AK466" i="5"/>
  <c r="AL466" i="5" s="1"/>
  <c r="AI466" i="5"/>
  <c r="AJ466" i="5" s="1"/>
  <c r="AK425" i="5"/>
  <c r="AL425" i="5" s="1"/>
  <c r="AM425" i="5" s="1"/>
  <c r="AI425" i="5"/>
  <c r="AJ425" i="5" s="1"/>
  <c r="AK473" i="5"/>
  <c r="AL473" i="5" s="1"/>
  <c r="AM473" i="5" s="1"/>
  <c r="AI473" i="5"/>
  <c r="AJ473" i="5" s="1"/>
  <c r="AG182" i="6"/>
  <c r="AH182" i="6" s="1"/>
  <c r="F214" i="6"/>
  <c r="AG214" i="6" s="1"/>
  <c r="AH214" i="6" s="1"/>
  <c r="H286" i="5"/>
  <c r="AF219" i="5"/>
  <c r="Y219" i="5"/>
  <c r="AK471" i="5"/>
  <c r="AL471" i="5" s="1"/>
  <c r="AI471" i="5"/>
  <c r="AJ471" i="5" s="1"/>
  <c r="AI435" i="5"/>
  <c r="AJ435" i="5" s="1"/>
  <c r="AK435" i="5"/>
  <c r="AL435" i="5" s="1"/>
  <c r="K36" i="10"/>
  <c r="M94" i="7" s="1"/>
  <c r="M99" i="7" s="1"/>
  <c r="AC16" i="9"/>
  <c r="AC116" i="9"/>
  <c r="AC21" i="9"/>
  <c r="AC90" i="9"/>
  <c r="AC203" i="9"/>
  <c r="AC76" i="9"/>
  <c r="AC171" i="9"/>
  <c r="AC87" i="9"/>
  <c r="AC113" i="9"/>
  <c r="AC101" i="9"/>
  <c r="AC102" i="9"/>
  <c r="AC185" i="9"/>
  <c r="AC210" i="9"/>
  <c r="AC208" i="9"/>
  <c r="AC29" i="9"/>
  <c r="AC109" i="9"/>
  <c r="AC97" i="9"/>
  <c r="F29" i="10"/>
  <c r="F36" i="13" s="1"/>
  <c r="F40" i="13" s="1"/>
  <c r="AC206" i="9"/>
  <c r="AC125" i="9"/>
  <c r="AC146" i="9"/>
  <c r="AC91" i="9"/>
  <c r="AC42" i="9"/>
  <c r="AC145" i="9"/>
  <c r="L37" i="2"/>
  <c r="M16" i="7" s="1"/>
  <c r="J44" i="16"/>
  <c r="J34" i="14"/>
  <c r="J67" i="14"/>
  <c r="J52" i="14"/>
  <c r="J53" i="14"/>
  <c r="AC71" i="9"/>
  <c r="AC194" i="9"/>
  <c r="AC142" i="9"/>
  <c r="AC182" i="9"/>
  <c r="AC20" i="9"/>
  <c r="AC26" i="9"/>
  <c r="AC129" i="9"/>
  <c r="AC165" i="9"/>
  <c r="AC110" i="9"/>
  <c r="AC128" i="9"/>
  <c r="AC172" i="9"/>
  <c r="AC158" i="9"/>
  <c r="AC163" i="9"/>
  <c r="AC126" i="9"/>
  <c r="AC152" i="9"/>
  <c r="AC186" i="9"/>
  <c r="AC55" i="9"/>
  <c r="AC213" i="9"/>
  <c r="AC19" i="9"/>
  <c r="AC207" i="9"/>
  <c r="AC48" i="9"/>
  <c r="AC33" i="9"/>
  <c r="AC36" i="9"/>
  <c r="AC103" i="9"/>
  <c r="AC211" i="9"/>
  <c r="AC200" i="9"/>
  <c r="AC120" i="9"/>
  <c r="AC59" i="9"/>
  <c r="AC63" i="9"/>
  <c r="AC201" i="9"/>
  <c r="AC155" i="9"/>
  <c r="AC132" i="9"/>
  <c r="AC137" i="9"/>
  <c r="AC151" i="9"/>
  <c r="AC147" i="9"/>
  <c r="AC183" i="9"/>
  <c r="AC170" i="9"/>
  <c r="AC114" i="9"/>
  <c r="AC117" i="9"/>
  <c r="AC27" i="9"/>
  <c r="AJ285" i="5"/>
  <c r="AK285" i="5" s="1"/>
  <c r="AL285" i="5" s="1"/>
  <c r="F59" i="10"/>
  <c r="G16" i="10" s="1"/>
  <c r="AD17" i="9"/>
  <c r="AD20" i="9"/>
  <c r="AD28" i="9"/>
  <c r="AD36" i="9"/>
  <c r="AD44" i="9"/>
  <c r="AD52" i="9"/>
  <c r="AD60" i="9"/>
  <c r="AD68" i="9"/>
  <c r="AD76" i="9"/>
  <c r="AD84" i="9"/>
  <c r="AD92" i="9"/>
  <c r="AD100" i="9"/>
  <c r="AD108" i="9"/>
  <c r="AD116" i="9"/>
  <c r="AD124" i="9"/>
  <c r="AD132" i="9"/>
  <c r="AD140" i="9"/>
  <c r="AD148" i="9"/>
  <c r="AD156" i="9"/>
  <c r="AD164" i="9"/>
  <c r="AD172" i="9"/>
  <c r="AD180" i="9"/>
  <c r="AD188" i="9"/>
  <c r="AD196" i="9"/>
  <c r="AD204" i="9"/>
  <c r="AD212" i="9"/>
  <c r="AD79" i="9"/>
  <c r="AD111" i="9"/>
  <c r="AD127" i="9"/>
  <c r="AD135" i="9"/>
  <c r="AD151" i="9"/>
  <c r="AD159" i="9"/>
  <c r="AD175" i="9"/>
  <c r="AD183" i="9"/>
  <c r="AD199" i="9"/>
  <c r="AD207" i="9"/>
  <c r="AD15" i="9"/>
  <c r="AD23" i="9"/>
  <c r="AD31" i="9"/>
  <c r="AD39" i="9"/>
  <c r="AD47" i="9"/>
  <c r="AD55" i="9"/>
  <c r="AD63" i="9"/>
  <c r="AD71" i="9"/>
  <c r="AD87" i="9"/>
  <c r="AD95" i="9"/>
  <c r="AD103" i="9"/>
  <c r="AD119" i="9"/>
  <c r="AD143" i="9"/>
  <c r="AD167" i="9"/>
  <c r="AD191" i="9"/>
  <c r="AD16" i="9"/>
  <c r="AD24" i="9"/>
  <c r="AD32" i="9"/>
  <c r="AD40" i="9"/>
  <c r="AD48" i="9"/>
  <c r="AD56" i="9"/>
  <c r="AD64" i="9"/>
  <c r="AD72" i="9"/>
  <c r="AD80" i="9"/>
  <c r="AD88" i="9"/>
  <c r="AD96" i="9"/>
  <c r="AD104" i="9"/>
  <c r="AD112" i="9"/>
  <c r="AD120" i="9"/>
  <c r="AD128" i="9"/>
  <c r="AD136" i="9"/>
  <c r="AD144" i="9"/>
  <c r="AD152" i="9"/>
  <c r="AD160" i="9"/>
  <c r="AD168" i="9"/>
  <c r="AD176" i="9"/>
  <c r="AD184" i="9"/>
  <c r="AD192" i="9"/>
  <c r="AD200" i="9"/>
  <c r="AD208" i="9"/>
  <c r="AD19" i="9"/>
  <c r="AD27" i="9"/>
  <c r="AD35" i="9"/>
  <c r="AD43" i="9"/>
  <c r="AD51" i="9"/>
  <c r="AD59" i="9"/>
  <c r="AD67" i="9"/>
  <c r="AD75" i="9"/>
  <c r="AD83" i="9"/>
  <c r="AD91" i="9"/>
  <c r="AD99" i="9"/>
  <c r="AD107" i="9"/>
  <c r="AD115" i="9"/>
  <c r="AD123" i="9"/>
  <c r="AD131" i="9"/>
  <c r="AD139" i="9"/>
  <c r="AD147" i="9"/>
  <c r="AD155" i="9"/>
  <c r="AD163" i="9"/>
  <c r="AD171" i="9"/>
  <c r="AD179" i="9"/>
  <c r="AD187" i="9"/>
  <c r="AD195" i="9"/>
  <c r="AD203" i="9"/>
  <c r="AD211" i="9"/>
  <c r="AD210" i="9"/>
  <c r="AD194" i="9"/>
  <c r="AD178" i="9"/>
  <c r="AD162" i="9"/>
  <c r="AD146" i="9"/>
  <c r="AD130" i="9"/>
  <c r="AD114" i="9"/>
  <c r="AD98" i="9"/>
  <c r="AD82" i="9"/>
  <c r="AD66" i="9"/>
  <c r="AD50" i="9"/>
  <c r="AD34" i="9"/>
  <c r="AD18" i="9"/>
  <c r="AD205" i="9"/>
  <c r="AD189" i="9"/>
  <c r="AD173" i="9"/>
  <c r="AD157" i="9"/>
  <c r="AD141" i="9"/>
  <c r="AD125" i="9"/>
  <c r="AD109" i="9"/>
  <c r="AD93" i="9"/>
  <c r="AD77" i="9"/>
  <c r="AD61" i="9"/>
  <c r="AD45" i="9"/>
  <c r="AD29" i="9"/>
  <c r="AD206" i="9"/>
  <c r="AD190" i="9"/>
  <c r="AD174" i="9"/>
  <c r="AD158" i="9"/>
  <c r="AD142" i="9"/>
  <c r="AD126" i="9"/>
  <c r="AD110" i="9"/>
  <c r="AD94" i="9"/>
  <c r="AD78" i="9"/>
  <c r="AD62" i="9"/>
  <c r="AD46" i="9"/>
  <c r="AD30" i="9"/>
  <c r="AD14" i="9"/>
  <c r="AD201" i="9"/>
  <c r="AD185" i="9"/>
  <c r="AD169" i="9"/>
  <c r="AD153" i="9"/>
  <c r="AD137" i="9"/>
  <c r="AD121" i="9"/>
  <c r="AD105" i="9"/>
  <c r="AD89" i="9"/>
  <c r="AD73" i="9"/>
  <c r="AD57" i="9"/>
  <c r="AD41" i="9"/>
  <c r="AD25" i="9"/>
  <c r="AD202" i="9"/>
  <c r="AD186" i="9"/>
  <c r="AD170" i="9"/>
  <c r="AD154" i="9"/>
  <c r="AD138" i="9"/>
  <c r="AD122" i="9"/>
  <c r="AD106" i="9"/>
  <c r="AD90" i="9"/>
  <c r="AD74" i="9"/>
  <c r="AD58" i="9"/>
  <c r="AD42" i="9"/>
  <c r="AD26" i="9"/>
  <c r="AD213" i="9"/>
  <c r="AD197" i="9"/>
  <c r="AD181" i="9"/>
  <c r="AD165" i="9"/>
  <c r="AD149" i="9"/>
  <c r="AD133" i="9"/>
  <c r="AD117" i="9"/>
  <c r="AD101" i="9"/>
  <c r="AD85" i="9"/>
  <c r="AD69" i="9"/>
  <c r="AD53" i="9"/>
  <c r="AD37" i="9"/>
  <c r="AD21" i="9"/>
  <c r="AD198" i="9"/>
  <c r="AD182" i="9"/>
  <c r="AD166" i="9"/>
  <c r="AD150" i="9"/>
  <c r="AD134" i="9"/>
  <c r="AD118" i="9"/>
  <c r="AD102" i="9"/>
  <c r="AD86" i="9"/>
  <c r="AD70" i="9"/>
  <c r="AD54" i="9"/>
  <c r="AD38" i="9"/>
  <c r="AD22" i="9"/>
  <c r="AD209" i="9"/>
  <c r="AD193" i="9"/>
  <c r="AD177" i="9"/>
  <c r="AD161" i="9"/>
  <c r="AD145" i="9"/>
  <c r="AD129" i="9"/>
  <c r="AD113" i="9"/>
  <c r="AD97" i="9"/>
  <c r="AD81" i="9"/>
  <c r="AD65" i="9"/>
  <c r="AD49" i="9"/>
  <c r="AD33" i="9"/>
  <c r="AC15" i="9"/>
  <c r="AC111" i="9"/>
  <c r="AC50" i="9"/>
  <c r="AC123" i="9"/>
  <c r="AC18" i="9"/>
  <c r="AC83" i="9"/>
  <c r="AC212" i="9"/>
  <c r="AC39" i="9"/>
  <c r="AC28" i="9"/>
  <c r="AC25" i="9"/>
  <c r="AC89" i="9"/>
  <c r="AC141" i="9"/>
  <c r="AC130" i="9"/>
  <c r="AC189" i="9"/>
  <c r="AC153" i="9"/>
  <c r="AC178" i="9"/>
  <c r="AC162" i="9"/>
  <c r="AC190" i="9"/>
  <c r="AC193" i="9"/>
  <c r="AC209" i="9"/>
  <c r="AC62" i="9"/>
  <c r="AC86" i="9"/>
  <c r="H99" i="7"/>
  <c r="H162" i="7" s="1"/>
  <c r="W12" i="9"/>
  <c r="P84" i="5"/>
  <c r="AC59" i="6"/>
  <c r="AD258" i="5"/>
  <c r="AD187" i="5"/>
  <c r="I40" i="10"/>
  <c r="F40" i="10"/>
  <c r="G27" i="10"/>
  <c r="G25" i="10"/>
  <c r="F57" i="10"/>
  <c r="G14" i="10" s="1"/>
  <c r="J38" i="10"/>
  <c r="L96" i="7" s="1"/>
  <c r="J36" i="10"/>
  <c r="L94" i="7" s="1"/>
  <c r="I27" i="10"/>
  <c r="I25" i="10"/>
  <c r="J94" i="7"/>
  <c r="J99" i="7" s="1"/>
  <c r="J162" i="7" s="1"/>
  <c r="H40" i="10"/>
  <c r="AA12" i="9"/>
  <c r="AD223" i="5"/>
  <c r="AM339" i="5"/>
  <c r="AD164" i="5"/>
  <c r="AD167" i="5"/>
  <c r="AD171" i="5"/>
  <c r="AD159" i="5"/>
  <c r="AD183" i="5"/>
  <c r="AB89" i="6"/>
  <c r="AA89" i="6"/>
  <c r="H162" i="6"/>
  <c r="H152" i="6"/>
  <c r="N145" i="6"/>
  <c r="P145" i="6" s="1"/>
  <c r="AG120" i="6"/>
  <c r="AH120" i="6" s="1"/>
  <c r="F152" i="6"/>
  <c r="AG115" i="6"/>
  <c r="AH115" i="6" s="1"/>
  <c r="F147" i="6"/>
  <c r="H154" i="6"/>
  <c r="H149" i="6"/>
  <c r="H156" i="6"/>
  <c r="H160" i="6"/>
  <c r="H148" i="6"/>
  <c r="J155" i="6"/>
  <c r="J187" i="6" s="1"/>
  <c r="R123" i="6"/>
  <c r="I123" i="6"/>
  <c r="N123" i="6"/>
  <c r="AD123" i="6" s="1"/>
  <c r="P123" i="6"/>
  <c r="T123" i="6"/>
  <c r="S123" i="6"/>
  <c r="J147" i="6"/>
  <c r="J179" i="6" s="1"/>
  <c r="R115" i="6"/>
  <c r="I115" i="6"/>
  <c r="N115" i="6"/>
  <c r="AD115" i="6" s="1"/>
  <c r="P115" i="6"/>
  <c r="T115" i="6"/>
  <c r="S115" i="6"/>
  <c r="J162" i="6"/>
  <c r="J194" i="6" s="1"/>
  <c r="R130" i="6"/>
  <c r="I130" i="6"/>
  <c r="N130" i="6"/>
  <c r="AD130" i="6" s="1"/>
  <c r="S130" i="6"/>
  <c r="P130" i="6"/>
  <c r="T130" i="6"/>
  <c r="J151" i="6"/>
  <c r="J183" i="6" s="1"/>
  <c r="R119" i="6"/>
  <c r="I119" i="6"/>
  <c r="N119" i="6"/>
  <c r="AD119" i="6" s="1"/>
  <c r="P119" i="6"/>
  <c r="T119" i="6"/>
  <c r="S119" i="6"/>
  <c r="J158" i="6"/>
  <c r="J190" i="6" s="1"/>
  <c r="R126" i="6"/>
  <c r="I126" i="6"/>
  <c r="N126" i="6"/>
  <c r="AD126" i="6" s="1"/>
  <c r="S126" i="6"/>
  <c r="P126" i="6"/>
  <c r="T126" i="6"/>
  <c r="S163" i="6"/>
  <c r="T163" i="6"/>
  <c r="N163" i="6"/>
  <c r="AD163" i="6" s="1"/>
  <c r="I163" i="6"/>
  <c r="P163" i="6"/>
  <c r="R163" i="6"/>
  <c r="S164" i="6"/>
  <c r="T164" i="6"/>
  <c r="N164" i="6"/>
  <c r="AD164" i="6" s="1"/>
  <c r="I164" i="6"/>
  <c r="R164" i="6"/>
  <c r="P164" i="6"/>
  <c r="H147" i="6"/>
  <c r="E159" i="6"/>
  <c r="E191" i="6" s="1"/>
  <c r="E223" i="6" s="1"/>
  <c r="J154" i="6"/>
  <c r="J186" i="6" s="1"/>
  <c r="R122" i="6"/>
  <c r="I122" i="6"/>
  <c r="N122" i="6"/>
  <c r="AD122" i="6" s="1"/>
  <c r="S122" i="6"/>
  <c r="P122" i="6"/>
  <c r="T122" i="6"/>
  <c r="J146" i="6"/>
  <c r="J178" i="6" s="1"/>
  <c r="J197" i="6" s="1"/>
  <c r="J61" i="14" s="1"/>
  <c r="R114" i="6"/>
  <c r="I114" i="6"/>
  <c r="N114" i="6"/>
  <c r="AD114" i="6" s="1"/>
  <c r="S114" i="6"/>
  <c r="P114" i="6"/>
  <c r="T114" i="6"/>
  <c r="J152" i="6"/>
  <c r="J184" i="6" s="1"/>
  <c r="R120" i="6"/>
  <c r="I120" i="6"/>
  <c r="N120" i="6"/>
  <c r="AD120" i="6" s="1"/>
  <c r="T120" i="6"/>
  <c r="S120" i="6"/>
  <c r="P120" i="6"/>
  <c r="P156" i="6"/>
  <c r="S156" i="6"/>
  <c r="N156" i="6"/>
  <c r="AD156" i="6" s="1"/>
  <c r="R156" i="6"/>
  <c r="I156" i="6"/>
  <c r="T156" i="6"/>
  <c r="H150" i="6"/>
  <c r="H155" i="6"/>
  <c r="H164" i="6"/>
  <c r="H151" i="6"/>
  <c r="AG117" i="6"/>
  <c r="AH117" i="6" s="1"/>
  <c r="F149" i="6"/>
  <c r="AG123" i="6"/>
  <c r="AH123" i="6" s="1"/>
  <c r="F155" i="6"/>
  <c r="H145" i="6"/>
  <c r="J148" i="6"/>
  <c r="J180" i="6" s="1"/>
  <c r="R116" i="6"/>
  <c r="I116" i="6"/>
  <c r="N116" i="6"/>
  <c r="AD116" i="6" s="1"/>
  <c r="T116" i="6"/>
  <c r="S116" i="6"/>
  <c r="P116" i="6"/>
  <c r="J160" i="6"/>
  <c r="J192" i="6" s="1"/>
  <c r="R128" i="6"/>
  <c r="I128" i="6"/>
  <c r="N128" i="6"/>
  <c r="AD128" i="6" s="1"/>
  <c r="T128" i="6"/>
  <c r="S128" i="6"/>
  <c r="P128" i="6"/>
  <c r="J149" i="6"/>
  <c r="J181" i="6" s="1"/>
  <c r="R117" i="6"/>
  <c r="I117" i="6"/>
  <c r="N117" i="6"/>
  <c r="AD117" i="6" s="1"/>
  <c r="T117" i="6"/>
  <c r="S117" i="6"/>
  <c r="P117" i="6"/>
  <c r="H163" i="6"/>
  <c r="J157" i="6"/>
  <c r="J189" i="6" s="1"/>
  <c r="R125" i="6"/>
  <c r="I125" i="6"/>
  <c r="N125" i="6"/>
  <c r="AD125" i="6" s="1"/>
  <c r="T125" i="6"/>
  <c r="S125" i="6"/>
  <c r="P125" i="6"/>
  <c r="J161" i="6"/>
  <c r="J193" i="6" s="1"/>
  <c r="R129" i="6"/>
  <c r="I129" i="6"/>
  <c r="N129" i="6"/>
  <c r="AD129" i="6" s="1"/>
  <c r="T129" i="6"/>
  <c r="S129" i="6"/>
  <c r="P129" i="6"/>
  <c r="AG132" i="6"/>
  <c r="AH132" i="6" s="1"/>
  <c r="F164" i="6"/>
  <c r="AG122" i="6"/>
  <c r="AH122" i="6" s="1"/>
  <c r="F154" i="6"/>
  <c r="H158" i="6"/>
  <c r="H159" i="6"/>
  <c r="H146" i="6"/>
  <c r="H157" i="6"/>
  <c r="J153" i="6"/>
  <c r="J185" i="6" s="1"/>
  <c r="R121" i="6"/>
  <c r="I121" i="6"/>
  <c r="N121" i="6"/>
  <c r="AD121" i="6" s="1"/>
  <c r="T121" i="6"/>
  <c r="S121" i="6"/>
  <c r="P121" i="6"/>
  <c r="P159" i="6"/>
  <c r="N159" i="6"/>
  <c r="AD159" i="6" s="1"/>
  <c r="I159" i="6"/>
  <c r="T159" i="6"/>
  <c r="S159" i="6"/>
  <c r="R159" i="6"/>
  <c r="T150" i="6"/>
  <c r="P150" i="6"/>
  <c r="R150" i="6"/>
  <c r="S150" i="6"/>
  <c r="I150" i="6"/>
  <c r="N150" i="6"/>
  <c r="AD150" i="6" s="1"/>
  <c r="AA158" i="5"/>
  <c r="AB158" i="5"/>
  <c r="AD170" i="5"/>
  <c r="AD193" i="5"/>
  <c r="AD158" i="5"/>
  <c r="AD181" i="5"/>
  <c r="AD197" i="5"/>
  <c r="S113" i="4"/>
  <c r="T113" i="4"/>
  <c r="R113" i="4"/>
  <c r="N113" i="4"/>
  <c r="AD113" i="4" s="1"/>
  <c r="I113" i="4"/>
  <c r="P113" i="4"/>
  <c r="J119" i="4"/>
  <c r="I59" i="14" s="1"/>
  <c r="N109" i="4"/>
  <c r="P109" i="4" s="1"/>
  <c r="H113" i="4"/>
  <c r="S115" i="4"/>
  <c r="T115" i="4"/>
  <c r="R115" i="4"/>
  <c r="N115" i="4"/>
  <c r="AD115" i="4" s="1"/>
  <c r="I115" i="4"/>
  <c r="P115" i="4"/>
  <c r="S114" i="4"/>
  <c r="N114" i="4"/>
  <c r="AD114" i="4" s="1"/>
  <c r="I114" i="4"/>
  <c r="R114" i="4"/>
  <c r="T114" i="4"/>
  <c r="P114" i="4"/>
  <c r="S118" i="4"/>
  <c r="N118" i="4"/>
  <c r="AD118" i="4" s="1"/>
  <c r="I118" i="4"/>
  <c r="R118" i="4"/>
  <c r="T118" i="4"/>
  <c r="P118" i="4"/>
  <c r="AB67" i="4"/>
  <c r="AC67" i="4" s="1"/>
  <c r="H111" i="4"/>
  <c r="H110" i="4"/>
  <c r="S111" i="4"/>
  <c r="N111" i="4"/>
  <c r="AD111" i="4" s="1"/>
  <c r="I111" i="4"/>
  <c r="T111" i="4"/>
  <c r="R111" i="4"/>
  <c r="P111" i="4"/>
  <c r="S110" i="4"/>
  <c r="T110" i="4"/>
  <c r="N110" i="4"/>
  <c r="AD110" i="4" s="1"/>
  <c r="I110" i="4"/>
  <c r="P110" i="4"/>
  <c r="R110" i="4"/>
  <c r="S117" i="4"/>
  <c r="T117" i="4"/>
  <c r="R117" i="4"/>
  <c r="N117" i="4"/>
  <c r="AD117" i="4" s="1"/>
  <c r="I117" i="4"/>
  <c r="P117" i="4"/>
  <c r="S112" i="4"/>
  <c r="I112" i="4"/>
  <c r="N112" i="4"/>
  <c r="AD112" i="4" s="1"/>
  <c r="T112" i="4"/>
  <c r="R112" i="4"/>
  <c r="P112" i="4"/>
  <c r="H114" i="4"/>
  <c r="H112" i="4"/>
  <c r="S116" i="4"/>
  <c r="N116" i="4"/>
  <c r="AD116" i="4" s="1"/>
  <c r="I116" i="4"/>
  <c r="T116" i="4"/>
  <c r="R116" i="4"/>
  <c r="P116" i="4"/>
  <c r="AD180" i="5"/>
  <c r="AD161" i="5"/>
  <c r="AD262" i="5"/>
  <c r="AM243" i="5"/>
  <c r="K14" i="3"/>
  <c r="AD195" i="5"/>
  <c r="AD156" i="5"/>
  <c r="AD157" i="5"/>
  <c r="AD203" i="5"/>
  <c r="AD185" i="5"/>
  <c r="AD160" i="5"/>
  <c r="AD242" i="5"/>
  <c r="AD194" i="5"/>
  <c r="AD224" i="5"/>
  <c r="AD199" i="5"/>
  <c r="AD169" i="5"/>
  <c r="AD176" i="5"/>
  <c r="AB201" i="5"/>
  <c r="AA201" i="5"/>
  <c r="AG239" i="5"/>
  <c r="AH239" i="5" s="1"/>
  <c r="F306" i="5"/>
  <c r="AG240" i="5"/>
  <c r="AH240" i="5" s="1"/>
  <c r="F307" i="5"/>
  <c r="AG258" i="5"/>
  <c r="AH258" i="5" s="1"/>
  <c r="F325" i="5"/>
  <c r="AG253" i="5"/>
  <c r="AH253" i="5" s="1"/>
  <c r="F320" i="5"/>
  <c r="H302" i="5"/>
  <c r="AG227" i="5"/>
  <c r="AH227" i="5" s="1"/>
  <c r="F294" i="5"/>
  <c r="AG226" i="5"/>
  <c r="AH226" i="5" s="1"/>
  <c r="F293" i="5"/>
  <c r="AG272" i="5"/>
  <c r="AH272" i="5" s="1"/>
  <c r="F339" i="5"/>
  <c r="AG256" i="5"/>
  <c r="AH256" i="5" s="1"/>
  <c r="F323" i="5"/>
  <c r="AG267" i="5"/>
  <c r="AH267" i="5" s="1"/>
  <c r="F334" i="5"/>
  <c r="AG243" i="5"/>
  <c r="AH243" i="5" s="1"/>
  <c r="F310" i="5"/>
  <c r="J297" i="5"/>
  <c r="J364" i="5" s="1"/>
  <c r="R230" i="5"/>
  <c r="I230" i="5"/>
  <c r="O230" i="5"/>
  <c r="N230" i="5"/>
  <c r="S230" i="5"/>
  <c r="P230" i="5"/>
  <c r="T230" i="5"/>
  <c r="J320" i="5"/>
  <c r="J387" i="5" s="1"/>
  <c r="AM387" i="5" s="1"/>
  <c r="R253" i="5"/>
  <c r="I253" i="5"/>
  <c r="N253" i="5"/>
  <c r="O253" i="5"/>
  <c r="P253" i="5"/>
  <c r="T253" i="5"/>
  <c r="S253" i="5"/>
  <c r="I218" i="5"/>
  <c r="Y218" i="5" s="1"/>
  <c r="J285" i="5"/>
  <c r="J352" i="5" s="1"/>
  <c r="J295" i="5"/>
  <c r="R228" i="5"/>
  <c r="I228" i="5"/>
  <c r="O228" i="5"/>
  <c r="N228" i="5"/>
  <c r="P228" i="5"/>
  <c r="T228" i="5"/>
  <c r="S228" i="5"/>
  <c r="J305" i="5"/>
  <c r="R238" i="5"/>
  <c r="I238" i="5"/>
  <c r="O238" i="5"/>
  <c r="N238" i="5"/>
  <c r="S238" i="5"/>
  <c r="P238" i="5"/>
  <c r="T238" i="5"/>
  <c r="J328" i="5"/>
  <c r="J395" i="5" s="1"/>
  <c r="R261" i="5"/>
  <c r="I261" i="5"/>
  <c r="N261" i="5"/>
  <c r="O261" i="5"/>
  <c r="P261" i="5"/>
  <c r="T261" i="5"/>
  <c r="S261" i="5"/>
  <c r="AM225" i="5"/>
  <c r="J292" i="5"/>
  <c r="J359" i="5" s="1"/>
  <c r="AM359" i="5" s="1"/>
  <c r="R225" i="5"/>
  <c r="I225" i="5"/>
  <c r="N225" i="5"/>
  <c r="O225" i="5"/>
  <c r="P225" i="5"/>
  <c r="T225" i="5"/>
  <c r="S225" i="5"/>
  <c r="J332" i="5"/>
  <c r="J399" i="5" s="1"/>
  <c r="AM399" i="5" s="1"/>
  <c r="R265" i="5"/>
  <c r="I265" i="5"/>
  <c r="N265" i="5"/>
  <c r="O265" i="5"/>
  <c r="P265" i="5"/>
  <c r="T265" i="5"/>
  <c r="S265" i="5"/>
  <c r="AD202" i="5"/>
  <c r="AD182" i="5"/>
  <c r="AD192" i="5"/>
  <c r="T325" i="5"/>
  <c r="R325" i="5"/>
  <c r="P325" i="5"/>
  <c r="I325" i="5"/>
  <c r="S325" i="5"/>
  <c r="O325" i="5"/>
  <c r="N325" i="5"/>
  <c r="AD240" i="5"/>
  <c r="O307" i="5"/>
  <c r="R307" i="5"/>
  <c r="S307" i="5"/>
  <c r="I307" i="5"/>
  <c r="T307" i="5"/>
  <c r="N307" i="5"/>
  <c r="P307" i="5"/>
  <c r="AD272" i="5"/>
  <c r="O339" i="5"/>
  <c r="S339" i="5"/>
  <c r="P339" i="5"/>
  <c r="I339" i="5"/>
  <c r="R339" i="5"/>
  <c r="N339" i="5"/>
  <c r="T339" i="5"/>
  <c r="T290" i="5"/>
  <c r="N290" i="5"/>
  <c r="I290" i="5"/>
  <c r="R290" i="5"/>
  <c r="P290" i="5"/>
  <c r="S290" i="5"/>
  <c r="O290" i="5"/>
  <c r="AD174" i="5"/>
  <c r="J338" i="5"/>
  <c r="J405" i="5" s="1"/>
  <c r="R271" i="5"/>
  <c r="I271" i="5"/>
  <c r="N271" i="5"/>
  <c r="O271" i="5"/>
  <c r="S271" i="5"/>
  <c r="P271" i="5"/>
  <c r="T271" i="5"/>
  <c r="J302" i="5"/>
  <c r="J369" i="5" s="1"/>
  <c r="R235" i="5"/>
  <c r="I235" i="5"/>
  <c r="N235" i="5"/>
  <c r="O235" i="5"/>
  <c r="S235" i="5"/>
  <c r="P235" i="5"/>
  <c r="T235" i="5"/>
  <c r="AD287" i="5"/>
  <c r="AD263" i="5"/>
  <c r="AD184" i="5"/>
  <c r="AM307" i="5"/>
  <c r="AD154" i="5"/>
  <c r="AD162" i="5"/>
  <c r="AM320" i="5"/>
  <c r="AG261" i="5"/>
  <c r="AH261" i="5" s="1"/>
  <c r="F328" i="5"/>
  <c r="AG237" i="5"/>
  <c r="AH237" i="5" s="1"/>
  <c r="F304" i="5"/>
  <c r="AK309" i="5"/>
  <c r="AL309" i="5" s="1"/>
  <c r="AM309" i="5" s="1"/>
  <c r="AI309" i="5"/>
  <c r="AJ309" i="5" s="1"/>
  <c r="AG245" i="5"/>
  <c r="AH245" i="5" s="1"/>
  <c r="F312" i="5"/>
  <c r="AG263" i="5"/>
  <c r="AH263" i="5" s="1"/>
  <c r="F330" i="5"/>
  <c r="AG221" i="5"/>
  <c r="AH221" i="5" s="1"/>
  <c r="F288" i="5"/>
  <c r="AG248" i="5"/>
  <c r="AH248" i="5" s="1"/>
  <c r="F315" i="5"/>
  <c r="AG242" i="5"/>
  <c r="AH242" i="5" s="1"/>
  <c r="F309" i="5"/>
  <c r="AI247" i="5"/>
  <c r="AJ247" i="5" s="1"/>
  <c r="AK247" i="5" s="1"/>
  <c r="AL247" i="5" s="1"/>
  <c r="AM247" i="5" s="1"/>
  <c r="G314" i="5"/>
  <c r="G381" i="5" s="1"/>
  <c r="AK338" i="5"/>
  <c r="AL338" i="5" s="1"/>
  <c r="AI338" i="5"/>
  <c r="AJ338" i="5" s="1"/>
  <c r="AG264" i="5"/>
  <c r="AH264" i="5" s="1"/>
  <c r="F331" i="5"/>
  <c r="AG254" i="5"/>
  <c r="AH254" i="5" s="1"/>
  <c r="F321" i="5"/>
  <c r="AG270" i="5"/>
  <c r="AH270" i="5" s="1"/>
  <c r="F337" i="5"/>
  <c r="AG251" i="5"/>
  <c r="AH251" i="5" s="1"/>
  <c r="F318" i="5"/>
  <c r="AG233" i="5"/>
  <c r="AH233" i="5" s="1"/>
  <c r="F300" i="5"/>
  <c r="H324" i="5"/>
  <c r="E306" i="5"/>
  <c r="E373" i="5" s="1"/>
  <c r="E440" i="5" s="1"/>
  <c r="J313" i="5"/>
  <c r="J380" i="5" s="1"/>
  <c r="AM380" i="5" s="1"/>
  <c r="R246" i="5"/>
  <c r="I246" i="5"/>
  <c r="O246" i="5"/>
  <c r="N246" i="5"/>
  <c r="S246" i="5"/>
  <c r="P246" i="5"/>
  <c r="T246" i="5"/>
  <c r="J318" i="5"/>
  <c r="J385" i="5" s="1"/>
  <c r="R251" i="5"/>
  <c r="I251" i="5"/>
  <c r="N251" i="5"/>
  <c r="O251" i="5"/>
  <c r="S251" i="5"/>
  <c r="P251" i="5"/>
  <c r="T251" i="5"/>
  <c r="J322" i="5"/>
  <c r="J389" i="5" s="1"/>
  <c r="R255" i="5"/>
  <c r="I255" i="5"/>
  <c r="N255" i="5"/>
  <c r="O255" i="5"/>
  <c r="S255" i="5"/>
  <c r="P255" i="5"/>
  <c r="T255" i="5"/>
  <c r="J303" i="5"/>
  <c r="J370" i="5" s="1"/>
  <c r="R236" i="5"/>
  <c r="I236" i="5"/>
  <c r="O236" i="5"/>
  <c r="N236" i="5"/>
  <c r="P236" i="5"/>
  <c r="T236" i="5"/>
  <c r="S236" i="5"/>
  <c r="J312" i="5"/>
  <c r="J379" i="5" s="1"/>
  <c r="R245" i="5"/>
  <c r="I245" i="5"/>
  <c r="N245" i="5"/>
  <c r="O245" i="5"/>
  <c r="P245" i="5"/>
  <c r="T245" i="5"/>
  <c r="S245" i="5"/>
  <c r="J317" i="5"/>
  <c r="J384" i="5" s="1"/>
  <c r="R250" i="5"/>
  <c r="I250" i="5"/>
  <c r="O250" i="5"/>
  <c r="N250" i="5"/>
  <c r="S250" i="5"/>
  <c r="P250" i="5"/>
  <c r="T250" i="5"/>
  <c r="AM264" i="5"/>
  <c r="J331" i="5"/>
  <c r="J398" i="5" s="1"/>
  <c r="R264" i="5"/>
  <c r="I264" i="5"/>
  <c r="O264" i="5"/>
  <c r="N264" i="5"/>
  <c r="P264" i="5"/>
  <c r="T264" i="5"/>
  <c r="S264" i="5"/>
  <c r="J293" i="5"/>
  <c r="J360" i="5" s="1"/>
  <c r="R226" i="5"/>
  <c r="I226" i="5"/>
  <c r="O226" i="5"/>
  <c r="N226" i="5"/>
  <c r="S226" i="5"/>
  <c r="P226" i="5"/>
  <c r="T226" i="5"/>
  <c r="J308" i="5"/>
  <c r="J375" i="5" s="1"/>
  <c r="R241" i="5"/>
  <c r="I241" i="5"/>
  <c r="N241" i="5"/>
  <c r="O241" i="5"/>
  <c r="P241" i="5"/>
  <c r="T241" i="5"/>
  <c r="S241" i="5"/>
  <c r="AD172" i="5"/>
  <c r="AD165" i="5"/>
  <c r="AD178" i="5"/>
  <c r="AD155" i="5"/>
  <c r="AD200" i="5"/>
  <c r="AD204" i="5"/>
  <c r="AD168" i="5"/>
  <c r="AD198" i="5"/>
  <c r="AD201" i="5"/>
  <c r="AM286" i="5"/>
  <c r="AD166" i="5"/>
  <c r="AD190" i="5"/>
  <c r="AD163" i="5"/>
  <c r="AI303" i="5"/>
  <c r="AJ303" i="5" s="1"/>
  <c r="AK303" i="5"/>
  <c r="AL303" i="5" s="1"/>
  <c r="AM303" i="5" s="1"/>
  <c r="AM291" i="5"/>
  <c r="AM290" i="5"/>
  <c r="AK288" i="5"/>
  <c r="AL288" i="5" s="1"/>
  <c r="AI288" i="5"/>
  <c r="AJ288" i="5" s="1"/>
  <c r="AG271" i="5"/>
  <c r="AH271" i="5" s="1"/>
  <c r="F338" i="5"/>
  <c r="AG231" i="5"/>
  <c r="AH231" i="5" s="1"/>
  <c r="F298" i="5"/>
  <c r="AG247" i="5"/>
  <c r="AH247" i="5" s="1"/>
  <c r="F314" i="5"/>
  <c r="AG262" i="5"/>
  <c r="AH262" i="5" s="1"/>
  <c r="F329" i="5"/>
  <c r="AG246" i="5"/>
  <c r="AH246" i="5" s="1"/>
  <c r="F313" i="5"/>
  <c r="AG223" i="5"/>
  <c r="AH223" i="5" s="1"/>
  <c r="F290" i="5"/>
  <c r="AG235" i="5"/>
  <c r="AH235" i="5" s="1"/>
  <c r="F302" i="5"/>
  <c r="AG224" i="5"/>
  <c r="AH224" i="5" s="1"/>
  <c r="F291" i="5"/>
  <c r="E319" i="5"/>
  <c r="E386" i="5" s="1"/>
  <c r="E453" i="5" s="1"/>
  <c r="E323" i="5"/>
  <c r="E390" i="5" s="1"/>
  <c r="E457" i="5" s="1"/>
  <c r="J288" i="5"/>
  <c r="J355" i="5" s="1"/>
  <c r="R221" i="5"/>
  <c r="I221" i="5"/>
  <c r="N221" i="5"/>
  <c r="O221" i="5"/>
  <c r="P221" i="5"/>
  <c r="T221" i="5"/>
  <c r="S221" i="5"/>
  <c r="J335" i="5"/>
  <c r="R268" i="5"/>
  <c r="I268" i="5"/>
  <c r="O268" i="5"/>
  <c r="N268" i="5"/>
  <c r="P268" i="5"/>
  <c r="T268" i="5"/>
  <c r="S268" i="5"/>
  <c r="T286" i="5"/>
  <c r="S286" i="5"/>
  <c r="R286" i="5"/>
  <c r="I286" i="5"/>
  <c r="P286" i="5"/>
  <c r="N286" i="5"/>
  <c r="O286" i="5"/>
  <c r="J296" i="5"/>
  <c r="J363" i="5" s="1"/>
  <c r="R229" i="5"/>
  <c r="I229" i="5"/>
  <c r="N229" i="5"/>
  <c r="O229" i="5"/>
  <c r="P229" i="5"/>
  <c r="T229" i="5"/>
  <c r="S229" i="5"/>
  <c r="J289" i="5"/>
  <c r="J356" i="5" s="1"/>
  <c r="R222" i="5"/>
  <c r="I222" i="5"/>
  <c r="O222" i="5"/>
  <c r="N222" i="5"/>
  <c r="S222" i="5"/>
  <c r="P222" i="5"/>
  <c r="T222" i="5"/>
  <c r="J301" i="5"/>
  <c r="R234" i="5"/>
  <c r="I234" i="5"/>
  <c r="O234" i="5"/>
  <c r="N234" i="5"/>
  <c r="S234" i="5"/>
  <c r="P234" i="5"/>
  <c r="T234" i="5"/>
  <c r="J326" i="5"/>
  <c r="J393" i="5" s="1"/>
  <c r="R259" i="5"/>
  <c r="I259" i="5"/>
  <c r="N259" i="5"/>
  <c r="O259" i="5"/>
  <c r="S259" i="5"/>
  <c r="P259" i="5"/>
  <c r="T259" i="5"/>
  <c r="J300" i="5"/>
  <c r="R233" i="5"/>
  <c r="I233" i="5"/>
  <c r="N233" i="5"/>
  <c r="O233" i="5"/>
  <c r="P233" i="5"/>
  <c r="T233" i="5"/>
  <c r="S233" i="5"/>
  <c r="J321" i="5"/>
  <c r="J388" i="5" s="1"/>
  <c r="R254" i="5"/>
  <c r="I254" i="5"/>
  <c r="O254" i="5"/>
  <c r="N254" i="5"/>
  <c r="S254" i="5"/>
  <c r="P254" i="5"/>
  <c r="T254" i="5"/>
  <c r="J298" i="5"/>
  <c r="J365" i="5" s="1"/>
  <c r="R231" i="5"/>
  <c r="I231" i="5"/>
  <c r="N231" i="5"/>
  <c r="O231" i="5"/>
  <c r="S231" i="5"/>
  <c r="P231" i="5"/>
  <c r="T231" i="5"/>
  <c r="J319" i="5"/>
  <c r="R252" i="5"/>
  <c r="I252" i="5"/>
  <c r="O252" i="5"/>
  <c r="N252" i="5"/>
  <c r="P252" i="5"/>
  <c r="T252" i="5"/>
  <c r="S252" i="5"/>
  <c r="J337" i="5"/>
  <c r="R270" i="5"/>
  <c r="I270" i="5"/>
  <c r="O270" i="5"/>
  <c r="N270" i="5"/>
  <c r="S270" i="5"/>
  <c r="P270" i="5"/>
  <c r="T270" i="5"/>
  <c r="T309" i="5"/>
  <c r="R309" i="5"/>
  <c r="P309" i="5"/>
  <c r="I309" i="5"/>
  <c r="S309" i="5"/>
  <c r="O309" i="5"/>
  <c r="N309" i="5"/>
  <c r="AD177" i="5"/>
  <c r="AD179" i="5"/>
  <c r="AK328" i="5"/>
  <c r="AL328" i="5" s="1"/>
  <c r="AM328" i="5" s="1"/>
  <c r="AI328" i="5"/>
  <c r="AJ328" i="5" s="1"/>
  <c r="J333" i="5"/>
  <c r="J400" i="5" s="1"/>
  <c r="R266" i="5"/>
  <c r="I266" i="5"/>
  <c r="O266" i="5"/>
  <c r="N266" i="5"/>
  <c r="S266" i="5"/>
  <c r="P266" i="5"/>
  <c r="T266" i="5"/>
  <c r="AD256" i="5"/>
  <c r="O323" i="5"/>
  <c r="T323" i="5"/>
  <c r="R323" i="5"/>
  <c r="N323" i="5"/>
  <c r="S323" i="5"/>
  <c r="I323" i="5"/>
  <c r="P323" i="5"/>
  <c r="AM323" i="5"/>
  <c r="AK329" i="5"/>
  <c r="AL329" i="5" s="1"/>
  <c r="AM329" i="5" s="1"/>
  <c r="AI329" i="5"/>
  <c r="AJ329" i="5" s="1"/>
  <c r="AG269" i="5"/>
  <c r="AH269" i="5" s="1"/>
  <c r="F336" i="5"/>
  <c r="AK325" i="5"/>
  <c r="AL325" i="5" s="1"/>
  <c r="AM325" i="5" s="1"/>
  <c r="AI325" i="5"/>
  <c r="AJ325" i="5" s="1"/>
  <c r="AI317" i="5"/>
  <c r="AJ317" i="5" s="1"/>
  <c r="AK317" i="5"/>
  <c r="AL317" i="5" s="1"/>
  <c r="AM317" i="5" s="1"/>
  <c r="AG232" i="5"/>
  <c r="AH232" i="5" s="1"/>
  <c r="F299" i="5"/>
  <c r="AG228" i="5"/>
  <c r="AH228" i="5" s="1"/>
  <c r="F295" i="5"/>
  <c r="AK322" i="5"/>
  <c r="AL322" i="5" s="1"/>
  <c r="AI322" i="5"/>
  <c r="AJ322" i="5" s="1"/>
  <c r="AG220" i="5"/>
  <c r="AH220" i="5" s="1"/>
  <c r="F287" i="5"/>
  <c r="AG222" i="5"/>
  <c r="AH222" i="5" s="1"/>
  <c r="F289" i="5"/>
  <c r="AG236" i="5"/>
  <c r="AH236" i="5" s="1"/>
  <c r="F303" i="5"/>
  <c r="AG268" i="5"/>
  <c r="AH268" i="5" s="1"/>
  <c r="F335" i="5"/>
  <c r="AG244" i="5"/>
  <c r="AH244" i="5" s="1"/>
  <c r="F311" i="5"/>
  <c r="AG218" i="5"/>
  <c r="AH218" i="5" s="1"/>
  <c r="F285" i="5"/>
  <c r="AG260" i="5"/>
  <c r="AH260" i="5" s="1"/>
  <c r="F327" i="5"/>
  <c r="AG249" i="5"/>
  <c r="AH249" i="5" s="1"/>
  <c r="F316" i="5"/>
  <c r="E322" i="5"/>
  <c r="E389" i="5" s="1"/>
  <c r="E456" i="5" s="1"/>
  <c r="J327" i="5"/>
  <c r="J394" i="5" s="1"/>
  <c r="R260" i="5"/>
  <c r="I260" i="5"/>
  <c r="O260" i="5"/>
  <c r="N260" i="5"/>
  <c r="P260" i="5"/>
  <c r="T260" i="5"/>
  <c r="S260" i="5"/>
  <c r="J294" i="5"/>
  <c r="J361" i="5" s="1"/>
  <c r="R227" i="5"/>
  <c r="I227" i="5"/>
  <c r="N227" i="5"/>
  <c r="O227" i="5"/>
  <c r="S227" i="5"/>
  <c r="P227" i="5"/>
  <c r="T227" i="5"/>
  <c r="J310" i="5"/>
  <c r="R243" i="5"/>
  <c r="I243" i="5"/>
  <c r="N243" i="5"/>
  <c r="O243" i="5"/>
  <c r="S243" i="5"/>
  <c r="P243" i="5"/>
  <c r="T243" i="5"/>
  <c r="J334" i="5"/>
  <c r="R267" i="5"/>
  <c r="I267" i="5"/>
  <c r="N267" i="5"/>
  <c r="O267" i="5"/>
  <c r="S267" i="5"/>
  <c r="P267" i="5"/>
  <c r="T267" i="5"/>
  <c r="AM232" i="5"/>
  <c r="J299" i="5"/>
  <c r="J366" i="5" s="1"/>
  <c r="R232" i="5"/>
  <c r="I232" i="5"/>
  <c r="O232" i="5"/>
  <c r="N232" i="5"/>
  <c r="P232" i="5"/>
  <c r="T232" i="5"/>
  <c r="S232" i="5"/>
  <c r="J315" i="5"/>
  <c r="J382" i="5" s="1"/>
  <c r="R248" i="5"/>
  <c r="I248" i="5"/>
  <c r="O248" i="5"/>
  <c r="N248" i="5"/>
  <c r="P248" i="5"/>
  <c r="T248" i="5"/>
  <c r="S248" i="5"/>
  <c r="J314" i="5"/>
  <c r="J381" i="5" s="1"/>
  <c r="R247" i="5"/>
  <c r="I247" i="5"/>
  <c r="N247" i="5"/>
  <c r="O247" i="5"/>
  <c r="S247" i="5"/>
  <c r="P247" i="5"/>
  <c r="T247" i="5"/>
  <c r="J311" i="5"/>
  <c r="R244" i="5"/>
  <c r="I244" i="5"/>
  <c r="O244" i="5"/>
  <c r="N244" i="5"/>
  <c r="P244" i="5"/>
  <c r="T244" i="5"/>
  <c r="S244" i="5"/>
  <c r="J304" i="5"/>
  <c r="R237" i="5"/>
  <c r="I237" i="5"/>
  <c r="N237" i="5"/>
  <c r="O237" i="5"/>
  <c r="P237" i="5"/>
  <c r="T237" i="5"/>
  <c r="S237" i="5"/>
  <c r="J306" i="5"/>
  <c r="R239" i="5"/>
  <c r="I239" i="5"/>
  <c r="N239" i="5"/>
  <c r="O239" i="5"/>
  <c r="S239" i="5"/>
  <c r="P239" i="5"/>
  <c r="T239" i="5"/>
  <c r="J324" i="5"/>
  <c r="R257" i="5"/>
  <c r="I257" i="5"/>
  <c r="N257" i="5"/>
  <c r="O257" i="5"/>
  <c r="P257" i="5"/>
  <c r="T257" i="5"/>
  <c r="S257" i="5"/>
  <c r="J336" i="5"/>
  <c r="J403" i="5" s="1"/>
  <c r="R269" i="5"/>
  <c r="I269" i="5"/>
  <c r="N269" i="5"/>
  <c r="O269" i="5"/>
  <c r="P269" i="5"/>
  <c r="T269" i="5"/>
  <c r="S269" i="5"/>
  <c r="J316" i="5"/>
  <c r="J383" i="5" s="1"/>
  <c r="R249" i="5"/>
  <c r="I249" i="5"/>
  <c r="N249" i="5"/>
  <c r="O249" i="5"/>
  <c r="P249" i="5"/>
  <c r="T249" i="5"/>
  <c r="S249" i="5"/>
  <c r="AK326" i="5"/>
  <c r="AL326" i="5" s="1"/>
  <c r="AI326" i="5"/>
  <c r="AJ326" i="5" s="1"/>
  <c r="AD188" i="5"/>
  <c r="AI297" i="5"/>
  <c r="AJ297" i="5" s="1"/>
  <c r="AK297" i="5"/>
  <c r="AL297" i="5" s="1"/>
  <c r="AM297" i="5" s="1"/>
  <c r="T330" i="5"/>
  <c r="R330" i="5"/>
  <c r="P330" i="5"/>
  <c r="N330" i="5"/>
  <c r="I330" i="5"/>
  <c r="S330" i="5"/>
  <c r="O330" i="5"/>
  <c r="O291" i="5"/>
  <c r="S291" i="5"/>
  <c r="P291" i="5"/>
  <c r="T291" i="5"/>
  <c r="N291" i="5"/>
  <c r="I291" i="5"/>
  <c r="R291" i="5"/>
  <c r="AM293" i="5"/>
  <c r="O329" i="5"/>
  <c r="N329" i="5"/>
  <c r="R329" i="5"/>
  <c r="S329" i="5"/>
  <c r="I329" i="5"/>
  <c r="T329" i="5"/>
  <c r="P329" i="5"/>
  <c r="AD186" i="5"/>
  <c r="AK315" i="5"/>
  <c r="AL315" i="5" s="1"/>
  <c r="AM315" i="5" s="1"/>
  <c r="AI315" i="5"/>
  <c r="AJ315" i="5" s="1"/>
  <c r="AG113" i="6"/>
  <c r="AH113" i="6" s="1"/>
  <c r="F145" i="6"/>
  <c r="I165" i="3"/>
  <c r="F57" i="16" s="1"/>
  <c r="AC70" i="9"/>
  <c r="AC108" i="9"/>
  <c r="AC75" i="9"/>
  <c r="AC53" i="9"/>
  <c r="AC80" i="9"/>
  <c r="AC143" i="9"/>
  <c r="AC174" i="9"/>
  <c r="AC138" i="9"/>
  <c r="AC133" i="9"/>
  <c r="AC161" i="9"/>
  <c r="AC173" i="9"/>
  <c r="AC149" i="9"/>
  <c r="AC176" i="9"/>
  <c r="AC160" i="9"/>
  <c r="AC191" i="9"/>
  <c r="AC78" i="9"/>
  <c r="AC74" i="9"/>
  <c r="AC44" i="9"/>
  <c r="H28" i="16"/>
  <c r="I28" i="16"/>
  <c r="R91" i="4"/>
  <c r="I91" i="4"/>
  <c r="N91" i="4"/>
  <c r="AD91" i="4" s="1"/>
  <c r="T91" i="4"/>
  <c r="S91" i="4"/>
  <c r="P91" i="4"/>
  <c r="R92" i="4"/>
  <c r="I92" i="4"/>
  <c r="N92" i="4"/>
  <c r="AD92" i="4" s="1"/>
  <c r="T92" i="4"/>
  <c r="S92" i="4"/>
  <c r="P92" i="4"/>
  <c r="R90" i="4"/>
  <c r="I90" i="4"/>
  <c r="N90" i="4"/>
  <c r="AD90" i="4" s="1"/>
  <c r="P90" i="4"/>
  <c r="S90" i="4"/>
  <c r="T90" i="4"/>
  <c r="R93" i="4"/>
  <c r="I93" i="4"/>
  <c r="N93" i="4"/>
  <c r="AD93" i="4" s="1"/>
  <c r="S93" i="4"/>
  <c r="P93" i="4"/>
  <c r="T93" i="4"/>
  <c r="R89" i="4"/>
  <c r="I89" i="4"/>
  <c r="AA89" i="4" s="1"/>
  <c r="N89" i="4"/>
  <c r="AD89" i="4" s="1"/>
  <c r="S89" i="4"/>
  <c r="P89" i="4"/>
  <c r="T89" i="4"/>
  <c r="R88" i="4"/>
  <c r="I88" i="4"/>
  <c r="N88" i="4"/>
  <c r="AD88" i="4" s="1"/>
  <c r="T88" i="4"/>
  <c r="S88" i="4"/>
  <c r="P88" i="4"/>
  <c r="R95" i="4"/>
  <c r="I95" i="4"/>
  <c r="N95" i="4"/>
  <c r="AD95" i="4" s="1"/>
  <c r="P95" i="4"/>
  <c r="T95" i="4"/>
  <c r="S95" i="4"/>
  <c r="R94" i="4"/>
  <c r="I94" i="4"/>
  <c r="N94" i="4"/>
  <c r="AD94" i="4" s="1"/>
  <c r="P94" i="4"/>
  <c r="S94" i="4"/>
  <c r="T94" i="4"/>
  <c r="R96" i="4"/>
  <c r="I96" i="4"/>
  <c r="N96" i="4"/>
  <c r="AD96" i="4" s="1"/>
  <c r="T96" i="4"/>
  <c r="S96" i="4"/>
  <c r="P96" i="4"/>
  <c r="T16" i="6"/>
  <c r="T36" i="6" s="1"/>
  <c r="H117" i="3" s="1"/>
  <c r="AC88" i="9"/>
  <c r="AC45" i="4"/>
  <c r="AC49" i="4"/>
  <c r="AC47" i="4"/>
  <c r="AC91" i="5"/>
  <c r="AC93" i="5"/>
  <c r="AC137" i="5"/>
  <c r="AC112" i="5"/>
  <c r="AC131" i="5"/>
  <c r="AC115" i="5"/>
  <c r="AC88" i="5"/>
  <c r="AC133" i="5"/>
  <c r="AC97" i="5"/>
  <c r="AC111" i="5"/>
  <c r="AC101" i="5"/>
  <c r="AC121" i="5"/>
  <c r="AC87" i="5"/>
  <c r="AC95" i="5"/>
  <c r="AC109" i="5"/>
  <c r="AC100" i="5"/>
  <c r="AC127" i="5"/>
  <c r="AC92" i="5"/>
  <c r="AC51" i="4"/>
  <c r="AC50" i="4"/>
  <c r="AC43" i="4"/>
  <c r="AC46" i="4"/>
  <c r="AC44" i="4"/>
  <c r="AC107" i="5"/>
  <c r="AC123" i="5"/>
  <c r="AC105" i="5"/>
  <c r="AC120" i="5"/>
  <c r="AC125" i="5"/>
  <c r="AC104" i="5"/>
  <c r="AC113" i="5"/>
  <c r="AD85" i="5"/>
  <c r="AC61" i="6"/>
  <c r="AC58" i="6"/>
  <c r="AC51" i="6"/>
  <c r="AC54" i="6"/>
  <c r="AC56" i="6"/>
  <c r="AC53" i="6"/>
  <c r="I219" i="5"/>
  <c r="N219" i="5"/>
  <c r="I113" i="6"/>
  <c r="Y113" i="6" s="1"/>
  <c r="N113" i="6"/>
  <c r="AD113" i="6" s="1"/>
  <c r="P81" i="6"/>
  <c r="P101" i="6" s="1"/>
  <c r="S18" i="4"/>
  <c r="S28" i="4" s="1"/>
  <c r="I87" i="4"/>
  <c r="N87" i="4"/>
  <c r="AC57" i="6"/>
  <c r="AC65" i="6"/>
  <c r="AA85" i="6"/>
  <c r="AB85" i="6"/>
  <c r="AB100" i="6"/>
  <c r="AA100" i="6"/>
  <c r="AB94" i="6"/>
  <c r="AA94" i="6"/>
  <c r="AB91" i="6"/>
  <c r="AA91" i="6"/>
  <c r="AB86" i="6"/>
  <c r="AA86" i="6"/>
  <c r="AB99" i="6"/>
  <c r="AA99" i="6"/>
  <c r="AB83" i="6"/>
  <c r="AA83" i="6"/>
  <c r="AA88" i="6"/>
  <c r="AB88" i="6"/>
  <c r="AB92" i="6"/>
  <c r="AA92" i="6"/>
  <c r="AC50" i="6"/>
  <c r="AC63" i="6"/>
  <c r="AC64" i="6"/>
  <c r="AA93" i="6"/>
  <c r="AB93" i="6"/>
  <c r="AB90" i="6"/>
  <c r="AA90" i="6"/>
  <c r="AB84" i="6"/>
  <c r="AA84" i="6"/>
  <c r="AB97" i="6"/>
  <c r="AA97" i="6"/>
  <c r="AB96" i="6"/>
  <c r="AA96" i="6"/>
  <c r="AB82" i="6"/>
  <c r="AA82" i="6"/>
  <c r="AB95" i="6"/>
  <c r="AA95" i="6"/>
  <c r="AC87" i="6"/>
  <c r="AC68" i="6"/>
  <c r="AC66" i="6"/>
  <c r="AB98" i="6"/>
  <c r="AA98" i="6"/>
  <c r="AC52" i="6"/>
  <c r="AC55" i="6"/>
  <c r="AC60" i="6"/>
  <c r="AA81" i="6"/>
  <c r="AB81" i="6"/>
  <c r="AC89" i="5"/>
  <c r="AC134" i="5"/>
  <c r="AC114" i="5"/>
  <c r="AC102" i="5"/>
  <c r="AA194" i="5"/>
  <c r="AB194" i="5"/>
  <c r="AB203" i="5"/>
  <c r="AA203" i="5"/>
  <c r="AA166" i="5"/>
  <c r="AB166" i="5"/>
  <c r="AB164" i="5"/>
  <c r="AA164" i="5"/>
  <c r="AB161" i="5"/>
  <c r="AA161" i="5"/>
  <c r="AB160" i="5"/>
  <c r="AA160" i="5"/>
  <c r="AB184" i="5"/>
  <c r="AA184" i="5"/>
  <c r="AA186" i="5"/>
  <c r="AB186" i="5"/>
  <c r="AA190" i="5"/>
  <c r="AB190" i="5"/>
  <c r="AB168" i="5"/>
  <c r="AA168" i="5"/>
  <c r="AB181" i="5"/>
  <c r="AA181" i="5"/>
  <c r="AB188" i="5"/>
  <c r="AA188" i="5"/>
  <c r="AB155" i="5"/>
  <c r="AA155" i="5"/>
  <c r="AB165" i="5"/>
  <c r="AA165" i="5"/>
  <c r="AB200" i="5"/>
  <c r="AA200" i="5"/>
  <c r="AB86" i="5"/>
  <c r="AA86" i="5"/>
  <c r="AC119" i="5"/>
  <c r="AC99" i="5"/>
  <c r="AC103" i="5"/>
  <c r="AC129" i="5"/>
  <c r="AC124" i="5"/>
  <c r="AC117" i="5"/>
  <c r="AC128" i="5"/>
  <c r="AC132" i="5"/>
  <c r="AC108" i="5"/>
  <c r="AC96" i="5"/>
  <c r="AC135" i="5"/>
  <c r="AC136" i="5"/>
  <c r="AB241" i="5"/>
  <c r="AA241" i="5"/>
  <c r="AB183" i="5"/>
  <c r="AA183" i="5"/>
  <c r="AB175" i="5"/>
  <c r="AA175" i="5"/>
  <c r="AB179" i="5"/>
  <c r="AA179" i="5"/>
  <c r="AA162" i="5"/>
  <c r="AB162" i="5"/>
  <c r="O152" i="5"/>
  <c r="AB157" i="5"/>
  <c r="AA157" i="5"/>
  <c r="AB173" i="5"/>
  <c r="AA173" i="5"/>
  <c r="AA154" i="5"/>
  <c r="AB154" i="5"/>
  <c r="AB169" i="5"/>
  <c r="AA169" i="5"/>
  <c r="AB185" i="5"/>
  <c r="AA185" i="5"/>
  <c r="AB196" i="5"/>
  <c r="AA196" i="5"/>
  <c r="AA170" i="5"/>
  <c r="AB170" i="5"/>
  <c r="AB189" i="5"/>
  <c r="AA189" i="5"/>
  <c r="AB256" i="5"/>
  <c r="AA256" i="5"/>
  <c r="AC90" i="5"/>
  <c r="AC94" i="5"/>
  <c r="AC118" i="5"/>
  <c r="AD86" i="5"/>
  <c r="P86" i="5"/>
  <c r="R86" i="5" s="1"/>
  <c r="AC106" i="5"/>
  <c r="AB199" i="5"/>
  <c r="AA199" i="5"/>
  <c r="AB167" i="5"/>
  <c r="AA167" i="5"/>
  <c r="AB193" i="5"/>
  <c r="AA193" i="5"/>
  <c r="AA182" i="5"/>
  <c r="AB182" i="5"/>
  <c r="AB176" i="5"/>
  <c r="AA176" i="5"/>
  <c r="AB197" i="5"/>
  <c r="AA197" i="5"/>
  <c r="AB159" i="5"/>
  <c r="AA159" i="5"/>
  <c r="AB187" i="5"/>
  <c r="AA187" i="5"/>
  <c r="AB205" i="5"/>
  <c r="AA205" i="5"/>
  <c r="AB192" i="5"/>
  <c r="AA192" i="5"/>
  <c r="AB195" i="5"/>
  <c r="AA195" i="5"/>
  <c r="AA202" i="5"/>
  <c r="AB202" i="5"/>
  <c r="AB172" i="5"/>
  <c r="AA172" i="5"/>
  <c r="AA174" i="5"/>
  <c r="AB174" i="5"/>
  <c r="AA85" i="5"/>
  <c r="AB85" i="5"/>
  <c r="AB191" i="5"/>
  <c r="AA191" i="5"/>
  <c r="AB204" i="5"/>
  <c r="AA204" i="5"/>
  <c r="AB171" i="5"/>
  <c r="AA171" i="5"/>
  <c r="AB177" i="5"/>
  <c r="AA177" i="5"/>
  <c r="AB163" i="5"/>
  <c r="AA163" i="5"/>
  <c r="O153" i="5"/>
  <c r="AA178" i="5"/>
  <c r="AB178" i="5"/>
  <c r="AB180" i="5"/>
  <c r="AA180" i="5"/>
  <c r="AB156" i="5"/>
  <c r="AA156" i="5"/>
  <c r="AA198" i="5"/>
  <c r="AB198" i="5"/>
  <c r="AC138" i="5"/>
  <c r="AC122" i="5"/>
  <c r="AC110" i="5"/>
  <c r="AC126" i="5"/>
  <c r="AC98" i="5"/>
  <c r="AC130" i="5"/>
  <c r="AC116" i="5"/>
  <c r="AC48" i="4"/>
  <c r="AB70" i="4"/>
  <c r="AA70" i="4"/>
  <c r="AB69" i="4"/>
  <c r="AA69" i="4"/>
  <c r="AA73" i="4"/>
  <c r="AB73" i="4"/>
  <c r="AB72" i="4"/>
  <c r="AA72" i="4"/>
  <c r="AA71" i="4"/>
  <c r="AB71" i="4"/>
  <c r="AB66" i="4"/>
  <c r="AA66" i="4"/>
  <c r="AB68" i="4"/>
  <c r="AA68" i="4"/>
  <c r="AB74" i="4"/>
  <c r="AA74" i="4"/>
  <c r="AD42" i="4"/>
  <c r="AD52" i="4" s="1"/>
  <c r="P42" i="4"/>
  <c r="P28" i="4"/>
  <c r="AA42" i="4"/>
  <c r="AB42" i="4"/>
  <c r="N218" i="5"/>
  <c r="AB84" i="5"/>
  <c r="AC84" i="5" s="1"/>
  <c r="P151" i="5"/>
  <c r="AD151" i="5"/>
  <c r="AC16" i="5"/>
  <c r="S16" i="5" s="1"/>
  <c r="T16" i="5" s="1"/>
  <c r="S36" i="6"/>
  <c r="N101" i="6"/>
  <c r="N75" i="4"/>
  <c r="AM257" i="5"/>
  <c r="AM253" i="5"/>
  <c r="AM248" i="5"/>
  <c r="AM241" i="5"/>
  <c r="AM265" i="5"/>
  <c r="AM234" i="5"/>
  <c r="AM270" i="5"/>
  <c r="AM237" i="5"/>
  <c r="AM239" i="5"/>
  <c r="AM252" i="5"/>
  <c r="AM261" i="5"/>
  <c r="AM238" i="5"/>
  <c r="AM259" i="5"/>
  <c r="AM245" i="5"/>
  <c r="N206" i="5"/>
  <c r="AM219" i="5"/>
  <c r="AM228" i="5"/>
  <c r="AM254" i="5"/>
  <c r="AM267" i="5"/>
  <c r="AM244" i="5"/>
  <c r="AM230" i="5"/>
  <c r="AM268" i="5"/>
  <c r="AM236" i="5"/>
  <c r="J273" i="5"/>
  <c r="H60" i="14" s="1"/>
  <c r="AM251" i="5"/>
  <c r="AM246" i="5"/>
  <c r="AM226" i="5"/>
  <c r="AM233" i="5"/>
  <c r="AM222" i="5"/>
  <c r="AM260" i="5"/>
  <c r="AM218" i="5"/>
  <c r="AM227" i="5"/>
  <c r="AM221" i="5"/>
  <c r="AM229" i="5"/>
  <c r="AM231" i="5"/>
  <c r="AE101" i="6"/>
  <c r="F61" i="16"/>
  <c r="AD101" i="6"/>
  <c r="R36" i="6"/>
  <c r="AG75" i="4"/>
  <c r="AE75" i="4"/>
  <c r="AH97" i="4"/>
  <c r="AG97" i="4"/>
  <c r="J97" i="4"/>
  <c r="H59" i="14" s="1"/>
  <c r="G43" i="14" s="1"/>
  <c r="AH151" i="5"/>
  <c r="AH206" i="5" s="1"/>
  <c r="AG206" i="5"/>
  <c r="O139" i="5"/>
  <c r="P71" i="5"/>
  <c r="AI271" i="5"/>
  <c r="AJ271" i="5" s="1"/>
  <c r="AK271" i="5" s="1"/>
  <c r="AL271" i="5" s="1"/>
  <c r="AM271" i="5" s="1"/>
  <c r="AI255" i="5"/>
  <c r="AJ255" i="5" s="1"/>
  <c r="AK255" i="5" s="1"/>
  <c r="AL255" i="5" s="1"/>
  <c r="AM255" i="5" s="1"/>
  <c r="AC60" i="9"/>
  <c r="AC43" i="9"/>
  <c r="AC24" i="9"/>
  <c r="AC34" i="9"/>
  <c r="AC57" i="9"/>
  <c r="AC134" i="9"/>
  <c r="AC148" i="9"/>
  <c r="AC188" i="9"/>
  <c r="AC136" i="9"/>
  <c r="AC166" i="9"/>
  <c r="AC139" i="9"/>
  <c r="AC187" i="9"/>
  <c r="AC167" i="9"/>
  <c r="AC195" i="9"/>
  <c r="AC159" i="9"/>
  <c r="AC179" i="9"/>
  <c r="AC197" i="9"/>
  <c r="AC180" i="9"/>
  <c r="AC198" i="9"/>
  <c r="AC98" i="9"/>
  <c r="AC79" i="9"/>
  <c r="AC106" i="9"/>
  <c r="AC105" i="9"/>
  <c r="AC65" i="9"/>
  <c r="AC38" i="9"/>
  <c r="AC37" i="9"/>
  <c r="AC99" i="9"/>
  <c r="AC112" i="9"/>
  <c r="AC204" i="9"/>
  <c r="AC205" i="9"/>
  <c r="AC77" i="9"/>
  <c r="AC122" i="9"/>
  <c r="AC32" i="9"/>
  <c r="AC45" i="9"/>
  <c r="AC93" i="9"/>
  <c r="AC150" i="9"/>
  <c r="AC144" i="9"/>
  <c r="AC164" i="9"/>
  <c r="AC127" i="9"/>
  <c r="AC135" i="9"/>
  <c r="AC181" i="9"/>
  <c r="AC131" i="9"/>
  <c r="AC140" i="9"/>
  <c r="AC169" i="9"/>
  <c r="AC156" i="9"/>
  <c r="AC175" i="9"/>
  <c r="AC196" i="9"/>
  <c r="AC157" i="9"/>
  <c r="AC168" i="9"/>
  <c r="AC184" i="9"/>
  <c r="AC154" i="9"/>
  <c r="AC177" i="9"/>
  <c r="AC192" i="9"/>
  <c r="AC73" i="9"/>
  <c r="AC84" i="9"/>
  <c r="AC199" i="9"/>
  <c r="AC51" i="9"/>
  <c r="AC72" i="9"/>
  <c r="AC52" i="9"/>
  <c r="AC54" i="9"/>
  <c r="AC14" i="9"/>
  <c r="AC17" i="9"/>
  <c r="AC119" i="9"/>
  <c r="AC23" i="9"/>
  <c r="AC124" i="9"/>
  <c r="AC67" i="9"/>
  <c r="AC49" i="9"/>
  <c r="AC46" i="9"/>
  <c r="AC104" i="9"/>
  <c r="AC61" i="9"/>
  <c r="AC121" i="9"/>
  <c r="AC69" i="9"/>
  <c r="AC92" i="9"/>
  <c r="AC82" i="9"/>
  <c r="AC58" i="9"/>
  <c r="AC56" i="9"/>
  <c r="AC94" i="9"/>
  <c r="AC68" i="9"/>
  <c r="AC66" i="9"/>
  <c r="AC81" i="9"/>
  <c r="AC64" i="9"/>
  <c r="AC22" i="9"/>
  <c r="AC115" i="9"/>
  <c r="AC30" i="9"/>
  <c r="AC41" i="9"/>
  <c r="AC85" i="9"/>
  <c r="AC118" i="9"/>
  <c r="AC95" i="9"/>
  <c r="AC202" i="9"/>
  <c r="AC35" i="9"/>
  <c r="AC31" i="9"/>
  <c r="AC47" i="9"/>
  <c r="AC96" i="9"/>
  <c r="V12" i="9"/>
  <c r="G15" i="10"/>
  <c r="G58" i="10" s="1"/>
  <c r="I39" i="16"/>
  <c r="J44" i="13"/>
  <c r="I44" i="13"/>
  <c r="H39" i="16"/>
  <c r="K92" i="19"/>
  <c r="J93" i="19"/>
  <c r="K16" i="8"/>
  <c r="K19" i="8" s="1"/>
  <c r="H38" i="16"/>
  <c r="I28" i="13"/>
  <c r="K99" i="7"/>
  <c r="K9" i="7"/>
  <c r="I26" i="10"/>
  <c r="AB12" i="9"/>
  <c r="Z12" i="9"/>
  <c r="I95" i="7"/>
  <c r="G40" i="10"/>
  <c r="M8" i="7"/>
  <c r="I25" i="13"/>
  <c r="I26" i="13" s="1"/>
  <c r="H40" i="16"/>
  <c r="J25" i="13"/>
  <c r="J26" i="13" s="1"/>
  <c r="L16" i="7"/>
  <c r="AI250" i="5"/>
  <c r="AJ250" i="5" s="1"/>
  <c r="AK250" i="5" s="1"/>
  <c r="AL250" i="5" s="1"/>
  <c r="AM250" i="5" s="1"/>
  <c r="AI262" i="5"/>
  <c r="AJ262" i="5" s="1"/>
  <c r="AK262" i="5" s="1"/>
  <c r="AL262" i="5" s="1"/>
  <c r="AM262" i="5" s="1"/>
  <c r="AI258" i="5"/>
  <c r="AJ258" i="5" s="1"/>
  <c r="AK258" i="5" s="1"/>
  <c r="AL258" i="5" s="1"/>
  <c r="AM258" i="5" s="1"/>
  <c r="AI242" i="5"/>
  <c r="AJ242" i="5" s="1"/>
  <c r="AK242" i="5" s="1"/>
  <c r="AL242" i="5" s="1"/>
  <c r="AM242" i="5" s="1"/>
  <c r="G21" i="14"/>
  <c r="G41" i="14" s="1"/>
  <c r="G66" i="14" s="1"/>
  <c r="H8" i="14"/>
  <c r="H11" i="14" s="1"/>
  <c r="I8" i="13"/>
  <c r="AH101" i="6"/>
  <c r="AG101" i="6"/>
  <c r="I56" i="10"/>
  <c r="J133" i="6"/>
  <c r="H61" i="14" s="1"/>
  <c r="G45" i="14" s="1"/>
  <c r="S84" i="5" l="1"/>
  <c r="AM285" i="5"/>
  <c r="L35" i="2"/>
  <c r="M19" i="3" s="1"/>
  <c r="I43" i="16"/>
  <c r="L19" i="3"/>
  <c r="AC49" i="6"/>
  <c r="S49" i="6" s="1"/>
  <c r="T49" i="6" s="1"/>
  <c r="K53" i="2"/>
  <c r="F50" i="10"/>
  <c r="F24" i="11"/>
  <c r="I50" i="10"/>
  <c r="I24" i="11"/>
  <c r="G50" i="10"/>
  <c r="G24" i="11"/>
  <c r="F29" i="16" s="1"/>
  <c r="H50" i="10"/>
  <c r="H24" i="11"/>
  <c r="H37" i="3"/>
  <c r="I37" i="3"/>
  <c r="AD392" i="5"/>
  <c r="AB127" i="6"/>
  <c r="AC127" i="6" s="1"/>
  <c r="AD357" i="5"/>
  <c r="AD390" i="5"/>
  <c r="Y75" i="4"/>
  <c r="AH65" i="4"/>
  <c r="AH75" i="4" s="1"/>
  <c r="J165" i="3" s="1"/>
  <c r="G57" i="16" s="1"/>
  <c r="AD353" i="5"/>
  <c r="K17" i="3"/>
  <c r="K18" i="3"/>
  <c r="K21" i="3"/>
  <c r="I23" i="3"/>
  <c r="I22" i="3" s="1"/>
  <c r="I54" i="3" s="1"/>
  <c r="K40" i="10"/>
  <c r="K50" i="10" s="1"/>
  <c r="K24" i="11" s="1"/>
  <c r="J29" i="16" s="1"/>
  <c r="AA119" i="6"/>
  <c r="AC119" i="6" s="1"/>
  <c r="G59" i="16"/>
  <c r="M158" i="3"/>
  <c r="K18" i="11" s="1"/>
  <c r="J26" i="16" s="1"/>
  <c r="K63" i="11"/>
  <c r="J61" i="16"/>
  <c r="I45" i="14"/>
  <c r="J45" i="14" s="1"/>
  <c r="AG290" i="5"/>
  <c r="AH290" i="5" s="1"/>
  <c r="F357" i="5"/>
  <c r="AG298" i="5"/>
  <c r="AH298" i="5" s="1"/>
  <c r="F365" i="5"/>
  <c r="AG318" i="5"/>
  <c r="AH318" i="5" s="1"/>
  <c r="F385" i="5"/>
  <c r="AG288" i="5"/>
  <c r="AH288" i="5" s="1"/>
  <c r="F355" i="5"/>
  <c r="AG323" i="5"/>
  <c r="AH323" i="5" s="1"/>
  <c r="F390" i="5"/>
  <c r="R192" i="6"/>
  <c r="N192" i="6"/>
  <c r="AD192" i="6" s="1"/>
  <c r="I192" i="6"/>
  <c r="J224" i="6"/>
  <c r="T192" i="6"/>
  <c r="S192" i="6"/>
  <c r="P192" i="6"/>
  <c r="AF145" i="6"/>
  <c r="H177" i="6"/>
  <c r="R190" i="6"/>
  <c r="N190" i="6"/>
  <c r="AD190" i="6" s="1"/>
  <c r="I190" i="6"/>
  <c r="T190" i="6"/>
  <c r="J222" i="6"/>
  <c r="S190" i="6"/>
  <c r="P190" i="6"/>
  <c r="Y149" i="6"/>
  <c r="AF149" i="6"/>
  <c r="H181" i="6"/>
  <c r="Y152" i="6"/>
  <c r="AF152" i="6"/>
  <c r="H184" i="6"/>
  <c r="AK449" i="5"/>
  <c r="AL449" i="5" s="1"/>
  <c r="AM449" i="5" s="1"/>
  <c r="AI449" i="5"/>
  <c r="AJ449" i="5" s="1"/>
  <c r="AG190" i="6"/>
  <c r="AH190" i="6" s="1"/>
  <c r="F222" i="6"/>
  <c r="AG222" i="6" s="1"/>
  <c r="AH222" i="6" s="1"/>
  <c r="P160" i="4"/>
  <c r="S160" i="4"/>
  <c r="R160" i="4"/>
  <c r="I160" i="4"/>
  <c r="T160" i="4"/>
  <c r="N160" i="4"/>
  <c r="AD160" i="4" s="1"/>
  <c r="AK443" i="5"/>
  <c r="AL443" i="5" s="1"/>
  <c r="AM443" i="5" s="1"/>
  <c r="AI443" i="5"/>
  <c r="AJ443" i="5" s="1"/>
  <c r="T459" i="5"/>
  <c r="S459" i="5"/>
  <c r="P459" i="5"/>
  <c r="N459" i="5"/>
  <c r="I459" i="5"/>
  <c r="R459" i="5"/>
  <c r="O459" i="5"/>
  <c r="AD459" i="5" s="1"/>
  <c r="J450" i="5"/>
  <c r="I383" i="5"/>
  <c r="T383" i="5"/>
  <c r="N383" i="5"/>
  <c r="O383" i="5"/>
  <c r="P383" i="5"/>
  <c r="S383" i="5"/>
  <c r="R383" i="5"/>
  <c r="AM383" i="5"/>
  <c r="T403" i="5"/>
  <c r="R403" i="5"/>
  <c r="J470" i="5"/>
  <c r="P403" i="5"/>
  <c r="N403" i="5"/>
  <c r="I403" i="5"/>
  <c r="S403" i="5"/>
  <c r="O403" i="5"/>
  <c r="AM403" i="5"/>
  <c r="AG316" i="5"/>
  <c r="AH316" i="5" s="1"/>
  <c r="F383" i="5"/>
  <c r="AG285" i="5"/>
  <c r="F352" i="5"/>
  <c r="AG335" i="5"/>
  <c r="AH335" i="5" s="1"/>
  <c r="F402" i="5"/>
  <c r="AG289" i="5"/>
  <c r="AH289" i="5" s="1"/>
  <c r="F356" i="5"/>
  <c r="AG299" i="5"/>
  <c r="AH299" i="5" s="1"/>
  <c r="F366" i="5"/>
  <c r="AM335" i="5"/>
  <c r="J402" i="5"/>
  <c r="P355" i="5"/>
  <c r="J422" i="5"/>
  <c r="R355" i="5"/>
  <c r="S355" i="5"/>
  <c r="I355" i="5"/>
  <c r="O355" i="5"/>
  <c r="T355" i="5"/>
  <c r="N355" i="5"/>
  <c r="AF324" i="5"/>
  <c r="Y324" i="5"/>
  <c r="H391" i="5"/>
  <c r="T395" i="5"/>
  <c r="P395" i="5"/>
  <c r="J462" i="5"/>
  <c r="N395" i="5"/>
  <c r="R395" i="5"/>
  <c r="S395" i="5"/>
  <c r="I395" i="5"/>
  <c r="O395" i="5"/>
  <c r="AD395" i="5" s="1"/>
  <c r="AM305" i="5"/>
  <c r="J372" i="5"/>
  <c r="AM295" i="5"/>
  <c r="J362" i="5"/>
  <c r="AG320" i="5"/>
  <c r="AH320" i="5" s="1"/>
  <c r="F387" i="5"/>
  <c r="AG307" i="5"/>
  <c r="AH307" i="5" s="1"/>
  <c r="F374" i="5"/>
  <c r="AF111" i="4"/>
  <c r="Y111" i="4"/>
  <c r="AA111" i="4" s="1"/>
  <c r="H133" i="4"/>
  <c r="AF113" i="4"/>
  <c r="Y113" i="4"/>
  <c r="H135" i="4"/>
  <c r="Y146" i="6"/>
  <c r="AF146" i="6"/>
  <c r="H178" i="6"/>
  <c r="R189" i="6"/>
  <c r="N189" i="6"/>
  <c r="AD189" i="6" s="1"/>
  <c r="I189" i="6"/>
  <c r="J221" i="6"/>
  <c r="T189" i="6"/>
  <c r="S189" i="6"/>
  <c r="P189" i="6"/>
  <c r="R181" i="6"/>
  <c r="N181" i="6"/>
  <c r="AD181" i="6" s="1"/>
  <c r="I181" i="6"/>
  <c r="J213" i="6"/>
  <c r="T181" i="6"/>
  <c r="S181" i="6"/>
  <c r="P181" i="6"/>
  <c r="AG155" i="6"/>
  <c r="AH155" i="6" s="1"/>
  <c r="F187" i="6"/>
  <c r="Y151" i="6"/>
  <c r="AF151" i="6"/>
  <c r="H183" i="6"/>
  <c r="R184" i="6"/>
  <c r="J216" i="6"/>
  <c r="N184" i="6"/>
  <c r="AD184" i="6" s="1"/>
  <c r="I184" i="6"/>
  <c r="T184" i="6"/>
  <c r="S184" i="6"/>
  <c r="P184" i="6"/>
  <c r="Y147" i="6"/>
  <c r="AF147" i="6"/>
  <c r="H179" i="6"/>
  <c r="R179" i="6"/>
  <c r="N179" i="6"/>
  <c r="AD179" i="6" s="1"/>
  <c r="I179" i="6"/>
  <c r="S179" i="6"/>
  <c r="J211" i="6"/>
  <c r="T179" i="6"/>
  <c r="P179" i="6"/>
  <c r="Y148" i="6"/>
  <c r="AF148" i="6"/>
  <c r="H180" i="6"/>
  <c r="Y154" i="6"/>
  <c r="AF154" i="6"/>
  <c r="H186" i="6"/>
  <c r="Y162" i="6"/>
  <c r="AF162" i="6"/>
  <c r="H194" i="6"/>
  <c r="AM423" i="5"/>
  <c r="AF375" i="5"/>
  <c r="Y375" i="5"/>
  <c r="H442" i="5"/>
  <c r="AF404" i="5"/>
  <c r="Y404" i="5"/>
  <c r="H471" i="5"/>
  <c r="AF139" i="4"/>
  <c r="Y139" i="4"/>
  <c r="H161" i="4"/>
  <c r="AM364" i="5"/>
  <c r="T441" i="5"/>
  <c r="N441" i="5"/>
  <c r="I441" i="5"/>
  <c r="S441" i="5"/>
  <c r="R441" i="5"/>
  <c r="P441" i="5"/>
  <c r="O441" i="5"/>
  <c r="AF291" i="5"/>
  <c r="Y291" i="5"/>
  <c r="AB291" i="5" s="1"/>
  <c r="H358" i="5"/>
  <c r="AF338" i="5"/>
  <c r="Y338" i="5"/>
  <c r="H405" i="5"/>
  <c r="AM382" i="5"/>
  <c r="P161" i="4"/>
  <c r="R161" i="4"/>
  <c r="N161" i="4"/>
  <c r="AD161" i="4" s="1"/>
  <c r="I161" i="4"/>
  <c r="S161" i="4"/>
  <c r="T161" i="4"/>
  <c r="AF304" i="5"/>
  <c r="Y304" i="5"/>
  <c r="H371" i="5"/>
  <c r="AF325" i="5"/>
  <c r="Y325" i="5"/>
  <c r="H392" i="5"/>
  <c r="AM457" i="5"/>
  <c r="AM454" i="5"/>
  <c r="AF318" i="5"/>
  <c r="Y318" i="5"/>
  <c r="H385" i="5"/>
  <c r="S228" i="6"/>
  <c r="T228" i="6"/>
  <c r="I228" i="6"/>
  <c r="N228" i="6"/>
  <c r="AD228" i="6" s="1"/>
  <c r="P228" i="6"/>
  <c r="R228" i="6"/>
  <c r="Y185" i="6"/>
  <c r="AB185" i="6" s="1"/>
  <c r="AF185" i="6"/>
  <c r="H217" i="6"/>
  <c r="R220" i="6"/>
  <c r="T220" i="6"/>
  <c r="I220" i="6"/>
  <c r="N220" i="6"/>
  <c r="AD220" i="6" s="1"/>
  <c r="S220" i="6"/>
  <c r="P220" i="6"/>
  <c r="F439" i="5"/>
  <c r="AG439" i="5" s="1"/>
  <c r="AH439" i="5" s="1"/>
  <c r="AG372" i="5"/>
  <c r="AH372" i="5" s="1"/>
  <c r="AM370" i="5"/>
  <c r="AG359" i="5"/>
  <c r="AH359" i="5" s="1"/>
  <c r="F426" i="5"/>
  <c r="AG426" i="5" s="1"/>
  <c r="AH426" i="5" s="1"/>
  <c r="F431" i="5"/>
  <c r="AG431" i="5" s="1"/>
  <c r="AH431" i="5" s="1"/>
  <c r="AG364" i="5"/>
  <c r="AH364" i="5" s="1"/>
  <c r="AK462" i="5"/>
  <c r="AL462" i="5" s="1"/>
  <c r="AM462" i="5" s="1"/>
  <c r="AI462" i="5"/>
  <c r="AJ462" i="5" s="1"/>
  <c r="AG393" i="5"/>
  <c r="AH393" i="5" s="1"/>
  <c r="F460" i="5"/>
  <c r="AG460" i="5" s="1"/>
  <c r="AH460" i="5" s="1"/>
  <c r="J63" i="11"/>
  <c r="AF368" i="5"/>
  <c r="Y368" i="5"/>
  <c r="H435" i="5"/>
  <c r="F442" i="5"/>
  <c r="AG442" i="5" s="1"/>
  <c r="AH442" i="5" s="1"/>
  <c r="AG375" i="5"/>
  <c r="AH375" i="5" s="1"/>
  <c r="F456" i="5"/>
  <c r="AG456" i="5" s="1"/>
  <c r="AH456" i="5" s="1"/>
  <c r="AG389" i="5"/>
  <c r="AH389" i="5" s="1"/>
  <c r="AF296" i="5"/>
  <c r="Y296" i="5"/>
  <c r="H363" i="5"/>
  <c r="AM405" i="5"/>
  <c r="AI459" i="5"/>
  <c r="AJ459" i="5" s="1"/>
  <c r="AK459" i="5"/>
  <c r="AL459" i="5" s="1"/>
  <c r="AM459" i="5" s="1"/>
  <c r="AF137" i="4"/>
  <c r="Y137" i="4"/>
  <c r="H159" i="4"/>
  <c r="T397" i="5"/>
  <c r="J464" i="5"/>
  <c r="R397" i="5"/>
  <c r="N397" i="5"/>
  <c r="P397" i="5"/>
  <c r="S397" i="5"/>
  <c r="I397" i="5"/>
  <c r="O397" i="5"/>
  <c r="AD397" i="5" s="1"/>
  <c r="AM397" i="5"/>
  <c r="T420" i="5"/>
  <c r="R420" i="5"/>
  <c r="P420" i="5"/>
  <c r="I420" i="5"/>
  <c r="S420" i="5"/>
  <c r="N420" i="5"/>
  <c r="O420" i="5"/>
  <c r="P141" i="4"/>
  <c r="AF298" i="5"/>
  <c r="Y298" i="5"/>
  <c r="H365" i="5"/>
  <c r="AF294" i="5"/>
  <c r="Y294" i="5"/>
  <c r="H361" i="5"/>
  <c r="J39" i="16"/>
  <c r="K44" i="13"/>
  <c r="AF305" i="5"/>
  <c r="Y305" i="5"/>
  <c r="H372" i="5"/>
  <c r="AF288" i="5"/>
  <c r="Y288" i="5"/>
  <c r="H355" i="5"/>
  <c r="AG321" i="5"/>
  <c r="AH321" i="5" s="1"/>
  <c r="F388" i="5"/>
  <c r="AG309" i="5"/>
  <c r="AH309" i="5" s="1"/>
  <c r="F376" i="5"/>
  <c r="AG304" i="5"/>
  <c r="AH304" i="5" s="1"/>
  <c r="F371" i="5"/>
  <c r="T399" i="5"/>
  <c r="R399" i="5"/>
  <c r="J466" i="5"/>
  <c r="S399" i="5"/>
  <c r="N399" i="5"/>
  <c r="P399" i="5"/>
  <c r="I399" i="5"/>
  <c r="O399" i="5"/>
  <c r="AG310" i="5"/>
  <c r="AH310" i="5" s="1"/>
  <c r="F377" i="5"/>
  <c r="AF302" i="5"/>
  <c r="Y302" i="5"/>
  <c r="H369" i="5"/>
  <c r="AF110" i="4"/>
  <c r="Y110" i="4"/>
  <c r="AA110" i="4" s="1"/>
  <c r="H132" i="4"/>
  <c r="AG154" i="6"/>
  <c r="AH154" i="6" s="1"/>
  <c r="F186" i="6"/>
  <c r="P155" i="4"/>
  <c r="T155" i="4"/>
  <c r="S155" i="4"/>
  <c r="I155" i="4"/>
  <c r="R155" i="4"/>
  <c r="N155" i="4"/>
  <c r="AD155" i="4" s="1"/>
  <c r="AF297" i="5"/>
  <c r="Y297" i="5"/>
  <c r="H364" i="5"/>
  <c r="AI456" i="5"/>
  <c r="AJ456" i="5" s="1"/>
  <c r="AK456" i="5"/>
  <c r="AL456" i="5" s="1"/>
  <c r="AF329" i="5"/>
  <c r="Y329" i="5"/>
  <c r="AB329" i="5" s="1"/>
  <c r="H396" i="5"/>
  <c r="AF287" i="5"/>
  <c r="Y287" i="5"/>
  <c r="AA287" i="5" s="1"/>
  <c r="H354" i="5"/>
  <c r="AF382" i="5"/>
  <c r="Y382" i="5"/>
  <c r="H449" i="5"/>
  <c r="AF309" i="5"/>
  <c r="Y309" i="5"/>
  <c r="AA309" i="5" s="1"/>
  <c r="H376" i="5"/>
  <c r="AF290" i="5"/>
  <c r="Y290" i="5"/>
  <c r="AA290" i="5" s="1"/>
  <c r="H357" i="5"/>
  <c r="P156" i="4"/>
  <c r="S156" i="4"/>
  <c r="R156" i="4"/>
  <c r="I156" i="4"/>
  <c r="N156" i="4"/>
  <c r="AD156" i="4" s="1"/>
  <c r="T156" i="4"/>
  <c r="AK472" i="5"/>
  <c r="AL472" i="5" s="1"/>
  <c r="AI472" i="5"/>
  <c r="AJ472" i="5" s="1"/>
  <c r="AF339" i="5"/>
  <c r="Y339" i="5"/>
  <c r="H406" i="5"/>
  <c r="AF330" i="5"/>
  <c r="Y330" i="5"/>
  <c r="AB330" i="5" s="1"/>
  <c r="H397" i="5"/>
  <c r="AG133" i="6"/>
  <c r="AM292" i="5"/>
  <c r="AM324" i="5"/>
  <c r="J391" i="5"/>
  <c r="AM306" i="5"/>
  <c r="J373" i="5"/>
  <c r="AM304" i="5"/>
  <c r="J371" i="5"/>
  <c r="AM311" i="5"/>
  <c r="J378" i="5"/>
  <c r="P381" i="5"/>
  <c r="J448" i="5"/>
  <c r="O381" i="5"/>
  <c r="N381" i="5"/>
  <c r="I381" i="5"/>
  <c r="S381" i="5"/>
  <c r="T381" i="5"/>
  <c r="R381" i="5"/>
  <c r="J449" i="5"/>
  <c r="O382" i="5"/>
  <c r="T382" i="5"/>
  <c r="R382" i="5"/>
  <c r="I382" i="5"/>
  <c r="N382" i="5"/>
  <c r="AD382" i="5" s="1"/>
  <c r="P382" i="5"/>
  <c r="S382" i="5"/>
  <c r="T366" i="5"/>
  <c r="J433" i="5"/>
  <c r="N366" i="5"/>
  <c r="I366" i="5"/>
  <c r="S366" i="5"/>
  <c r="P366" i="5"/>
  <c r="R366" i="5"/>
  <c r="O366" i="5"/>
  <c r="AM366" i="5"/>
  <c r="AM337" i="5"/>
  <c r="J404" i="5"/>
  <c r="AM319" i="5"/>
  <c r="J386" i="5"/>
  <c r="T365" i="5"/>
  <c r="J432" i="5"/>
  <c r="R365" i="5"/>
  <c r="P365" i="5"/>
  <c r="I365" i="5"/>
  <c r="N365" i="5"/>
  <c r="S365" i="5"/>
  <c r="O365" i="5"/>
  <c r="AM365" i="5"/>
  <c r="O388" i="5"/>
  <c r="J455" i="5"/>
  <c r="T388" i="5"/>
  <c r="R388" i="5"/>
  <c r="S388" i="5"/>
  <c r="N388" i="5"/>
  <c r="I388" i="5"/>
  <c r="P388" i="5"/>
  <c r="AM388" i="5"/>
  <c r="AM300" i="5"/>
  <c r="J367" i="5"/>
  <c r="T393" i="5"/>
  <c r="P393" i="5"/>
  <c r="R393" i="5"/>
  <c r="I393" i="5"/>
  <c r="N393" i="5"/>
  <c r="S393" i="5"/>
  <c r="J460" i="5"/>
  <c r="O393" i="5"/>
  <c r="AM301" i="5"/>
  <c r="J368" i="5"/>
  <c r="S356" i="5"/>
  <c r="J423" i="5"/>
  <c r="R356" i="5"/>
  <c r="N356" i="5"/>
  <c r="P356" i="5"/>
  <c r="O356" i="5"/>
  <c r="T356" i="5"/>
  <c r="I356" i="5"/>
  <c r="R363" i="5"/>
  <c r="S363" i="5"/>
  <c r="J430" i="5"/>
  <c r="P363" i="5"/>
  <c r="N363" i="5"/>
  <c r="I363" i="5"/>
  <c r="O363" i="5"/>
  <c r="AD363" i="5" s="1"/>
  <c r="T363" i="5"/>
  <c r="AM363" i="5"/>
  <c r="AG302" i="5"/>
  <c r="AH302" i="5" s="1"/>
  <c r="F369" i="5"/>
  <c r="AG313" i="5"/>
  <c r="AH313" i="5" s="1"/>
  <c r="F380" i="5"/>
  <c r="AG314" i="5"/>
  <c r="AH314" i="5" s="1"/>
  <c r="F381" i="5"/>
  <c r="AG338" i="5"/>
  <c r="AH338" i="5" s="1"/>
  <c r="F405" i="5"/>
  <c r="T375" i="5"/>
  <c r="S375" i="5"/>
  <c r="J442" i="5"/>
  <c r="R375" i="5"/>
  <c r="P375" i="5"/>
  <c r="I375" i="5"/>
  <c r="N375" i="5"/>
  <c r="O375" i="5"/>
  <c r="AM375" i="5"/>
  <c r="S360" i="5"/>
  <c r="J427" i="5"/>
  <c r="O360" i="5"/>
  <c r="N360" i="5"/>
  <c r="R360" i="5"/>
  <c r="T360" i="5"/>
  <c r="P360" i="5"/>
  <c r="I360" i="5"/>
  <c r="T398" i="5"/>
  <c r="J465" i="5"/>
  <c r="P398" i="5"/>
  <c r="R398" i="5"/>
  <c r="N398" i="5"/>
  <c r="I398" i="5"/>
  <c r="O398" i="5"/>
  <c r="S398" i="5"/>
  <c r="AM398" i="5"/>
  <c r="AG300" i="5"/>
  <c r="AH300" i="5" s="1"/>
  <c r="F367" i="5"/>
  <c r="AG337" i="5"/>
  <c r="AH337" i="5" s="1"/>
  <c r="F404" i="5"/>
  <c r="AG331" i="5"/>
  <c r="AH331" i="5" s="1"/>
  <c r="F398" i="5"/>
  <c r="AI381" i="5"/>
  <c r="AJ381" i="5" s="1"/>
  <c r="G448" i="5"/>
  <c r="AK381" i="5"/>
  <c r="AL381" i="5" s="1"/>
  <c r="AM381" i="5" s="1"/>
  <c r="AG315" i="5"/>
  <c r="AH315" i="5" s="1"/>
  <c r="F382" i="5"/>
  <c r="AG330" i="5"/>
  <c r="AH330" i="5" s="1"/>
  <c r="F397" i="5"/>
  <c r="AG328" i="5"/>
  <c r="AH328" i="5" s="1"/>
  <c r="F395" i="5"/>
  <c r="T369" i="5"/>
  <c r="J436" i="5"/>
  <c r="N369" i="5"/>
  <c r="I369" i="5"/>
  <c r="S369" i="5"/>
  <c r="P369" i="5"/>
  <c r="R369" i="5"/>
  <c r="O369" i="5"/>
  <c r="AD369" i="5" s="1"/>
  <c r="AM369" i="5"/>
  <c r="T405" i="5"/>
  <c r="P405" i="5"/>
  <c r="N405" i="5"/>
  <c r="I405" i="5"/>
  <c r="S405" i="5"/>
  <c r="R405" i="5"/>
  <c r="J472" i="5"/>
  <c r="O405" i="5"/>
  <c r="AD405" i="5" s="1"/>
  <c r="J419" i="5"/>
  <c r="N352" i="5"/>
  <c r="AG334" i="5"/>
  <c r="AH334" i="5" s="1"/>
  <c r="F401" i="5"/>
  <c r="AG339" i="5"/>
  <c r="AH339" i="5" s="1"/>
  <c r="F406" i="5"/>
  <c r="AG294" i="5"/>
  <c r="AH294" i="5" s="1"/>
  <c r="F361" i="5"/>
  <c r="AF112" i="4"/>
  <c r="Y112" i="4"/>
  <c r="H134" i="4"/>
  <c r="Y159" i="6"/>
  <c r="AF159" i="6"/>
  <c r="H191" i="6"/>
  <c r="AG164" i="6"/>
  <c r="AH164" i="6" s="1"/>
  <c r="F196" i="6"/>
  <c r="R193" i="6"/>
  <c r="N193" i="6"/>
  <c r="AD193" i="6" s="1"/>
  <c r="I193" i="6"/>
  <c r="J225" i="6"/>
  <c r="T193" i="6"/>
  <c r="S193" i="6"/>
  <c r="P193" i="6"/>
  <c r="Y163" i="6"/>
  <c r="AF163" i="6"/>
  <c r="H195" i="6"/>
  <c r="Y164" i="6"/>
  <c r="AF164" i="6"/>
  <c r="H196" i="6"/>
  <c r="R194" i="6"/>
  <c r="N194" i="6"/>
  <c r="AD194" i="6" s="1"/>
  <c r="I194" i="6"/>
  <c r="T194" i="6"/>
  <c r="S194" i="6"/>
  <c r="J226" i="6"/>
  <c r="P194" i="6"/>
  <c r="Y160" i="6"/>
  <c r="AF160" i="6"/>
  <c r="H192" i="6"/>
  <c r="AG147" i="6"/>
  <c r="AH147" i="6" s="1"/>
  <c r="F179" i="6"/>
  <c r="AM466" i="5"/>
  <c r="AF390" i="5"/>
  <c r="Y390" i="5"/>
  <c r="H457" i="5"/>
  <c r="AF373" i="5"/>
  <c r="Y373" i="5"/>
  <c r="H440" i="5"/>
  <c r="Y193" i="6"/>
  <c r="AB193" i="6" s="1"/>
  <c r="AF193" i="6"/>
  <c r="H225" i="6"/>
  <c r="R457" i="5"/>
  <c r="T457" i="5"/>
  <c r="P457" i="5"/>
  <c r="I457" i="5"/>
  <c r="N457" i="5"/>
  <c r="S457" i="5"/>
  <c r="O457" i="5"/>
  <c r="T424" i="5"/>
  <c r="N424" i="5"/>
  <c r="I424" i="5"/>
  <c r="S424" i="5"/>
  <c r="R424" i="5"/>
  <c r="P424" i="5"/>
  <c r="O424" i="5"/>
  <c r="T473" i="5"/>
  <c r="N473" i="5"/>
  <c r="I473" i="5"/>
  <c r="S473" i="5"/>
  <c r="P473" i="5"/>
  <c r="R473" i="5"/>
  <c r="O473" i="5"/>
  <c r="AD473" i="5" s="1"/>
  <c r="AF292" i="5"/>
  <c r="Y292" i="5"/>
  <c r="H359" i="5"/>
  <c r="AM389" i="5"/>
  <c r="AF387" i="5"/>
  <c r="Y387" i="5"/>
  <c r="H454" i="5"/>
  <c r="AF377" i="5"/>
  <c r="Y377" i="5"/>
  <c r="H444" i="5"/>
  <c r="AG192" i="6"/>
  <c r="AH192" i="6" s="1"/>
  <c r="F224" i="6"/>
  <c r="AG224" i="6" s="1"/>
  <c r="AH224" i="6" s="1"/>
  <c r="F430" i="5"/>
  <c r="AG430" i="5" s="1"/>
  <c r="AH430" i="5" s="1"/>
  <c r="AG363" i="5"/>
  <c r="AH363" i="5" s="1"/>
  <c r="AK451" i="5"/>
  <c r="AL451" i="5" s="1"/>
  <c r="AI451" i="5"/>
  <c r="AJ451" i="5" s="1"/>
  <c r="AF303" i="5"/>
  <c r="Y303" i="5"/>
  <c r="H370" i="5"/>
  <c r="AM356" i="5"/>
  <c r="S223" i="6"/>
  <c r="T223" i="6"/>
  <c r="N223" i="6"/>
  <c r="AD223" i="6" s="1"/>
  <c r="I223" i="6"/>
  <c r="P223" i="6"/>
  <c r="R223" i="6"/>
  <c r="AF140" i="4"/>
  <c r="Y140" i="4"/>
  <c r="H162" i="4"/>
  <c r="AK437" i="5"/>
  <c r="AL437" i="5" s="1"/>
  <c r="AI437" i="5"/>
  <c r="AJ437" i="5" s="1"/>
  <c r="AM395" i="5"/>
  <c r="AD177" i="6"/>
  <c r="AF334" i="5"/>
  <c r="Y334" i="5"/>
  <c r="H401" i="5"/>
  <c r="AF386" i="5"/>
  <c r="Y386" i="5"/>
  <c r="H453" i="5"/>
  <c r="AF138" i="4"/>
  <c r="Y138" i="4"/>
  <c r="H160" i="4"/>
  <c r="AF356" i="5"/>
  <c r="Y356" i="5"/>
  <c r="H423" i="5"/>
  <c r="AF403" i="5"/>
  <c r="Y403" i="5"/>
  <c r="H470" i="5"/>
  <c r="AF381" i="5"/>
  <c r="Y381" i="5"/>
  <c r="H448" i="5"/>
  <c r="AD358" i="5"/>
  <c r="N141" i="4"/>
  <c r="AD131" i="4"/>
  <c r="AD141" i="4" s="1"/>
  <c r="AF295" i="5"/>
  <c r="Y295" i="5"/>
  <c r="H362" i="5"/>
  <c r="AF311" i="5"/>
  <c r="Y311" i="5"/>
  <c r="H378" i="5"/>
  <c r="AF331" i="5"/>
  <c r="Y331" i="5"/>
  <c r="H398" i="5"/>
  <c r="AF374" i="5"/>
  <c r="Y374" i="5"/>
  <c r="H441" i="5"/>
  <c r="AF332" i="5"/>
  <c r="Y332" i="5"/>
  <c r="H399" i="5"/>
  <c r="AK463" i="5"/>
  <c r="AL463" i="5" s="1"/>
  <c r="AM463" i="5" s="1"/>
  <c r="AI463" i="5"/>
  <c r="AJ463" i="5" s="1"/>
  <c r="AG291" i="5"/>
  <c r="AH291" i="5" s="1"/>
  <c r="F358" i="5"/>
  <c r="AG329" i="5"/>
  <c r="AH329" i="5" s="1"/>
  <c r="F396" i="5"/>
  <c r="AG312" i="5"/>
  <c r="AH312" i="5" s="1"/>
  <c r="F379" i="5"/>
  <c r="P359" i="5"/>
  <c r="J426" i="5"/>
  <c r="AM426" i="5" s="1"/>
  <c r="R359" i="5"/>
  <c r="I359" i="5"/>
  <c r="O359" i="5"/>
  <c r="N359" i="5"/>
  <c r="T359" i="5"/>
  <c r="S359" i="5"/>
  <c r="AG293" i="5"/>
  <c r="AH293" i="5" s="1"/>
  <c r="F360" i="5"/>
  <c r="Y157" i="6"/>
  <c r="AF157" i="6"/>
  <c r="H189" i="6"/>
  <c r="Y150" i="6"/>
  <c r="AB150" i="6" s="1"/>
  <c r="AF150" i="6"/>
  <c r="H182" i="6"/>
  <c r="R178" i="6"/>
  <c r="N178" i="6"/>
  <c r="AD178" i="6" s="1"/>
  <c r="I178" i="6"/>
  <c r="J210" i="6"/>
  <c r="T178" i="6"/>
  <c r="S178" i="6"/>
  <c r="P178" i="6"/>
  <c r="P197" i="6" s="1"/>
  <c r="R187" i="6"/>
  <c r="N187" i="6"/>
  <c r="AD187" i="6" s="1"/>
  <c r="I187" i="6"/>
  <c r="S187" i="6"/>
  <c r="T187" i="6"/>
  <c r="J219" i="6"/>
  <c r="P187" i="6"/>
  <c r="AG152" i="6"/>
  <c r="AH152" i="6" s="1"/>
  <c r="F184" i="6"/>
  <c r="AF286" i="5"/>
  <c r="Y286" i="5"/>
  <c r="AA286" i="5" s="1"/>
  <c r="H353" i="5"/>
  <c r="S227" i="6"/>
  <c r="T227" i="6"/>
  <c r="N227" i="6"/>
  <c r="AD227" i="6" s="1"/>
  <c r="I227" i="6"/>
  <c r="P227" i="6"/>
  <c r="R227" i="6"/>
  <c r="P158" i="4"/>
  <c r="T158" i="4"/>
  <c r="S158" i="4"/>
  <c r="R158" i="4"/>
  <c r="I158" i="4"/>
  <c r="N158" i="4"/>
  <c r="AD158" i="4" s="1"/>
  <c r="AF313" i="5"/>
  <c r="Y313" i="5"/>
  <c r="H380" i="5"/>
  <c r="AG178" i="6"/>
  <c r="AH178" i="6" s="1"/>
  <c r="F210" i="6"/>
  <c r="AG210" i="6" s="1"/>
  <c r="AH210" i="6" s="1"/>
  <c r="AF379" i="5"/>
  <c r="Y379" i="5"/>
  <c r="H446" i="5"/>
  <c r="AG189" i="6"/>
  <c r="AH189" i="6" s="1"/>
  <c r="F221" i="6"/>
  <c r="AG221" i="6" s="1"/>
  <c r="AH221" i="6" s="1"/>
  <c r="AG195" i="6"/>
  <c r="AH195" i="6" s="1"/>
  <c r="F227" i="6"/>
  <c r="AG227" i="6" s="1"/>
  <c r="AH227" i="6" s="1"/>
  <c r="AG183" i="6"/>
  <c r="AH183" i="6" s="1"/>
  <c r="F215" i="6"/>
  <c r="AG215" i="6" s="1"/>
  <c r="AH215" i="6" s="1"/>
  <c r="S162" i="4"/>
  <c r="N162" i="4"/>
  <c r="AD162" i="4" s="1"/>
  <c r="I162" i="4"/>
  <c r="T162" i="4"/>
  <c r="R162" i="4"/>
  <c r="P162" i="4"/>
  <c r="J59" i="16"/>
  <c r="I43" i="14"/>
  <c r="J43" i="14" s="1"/>
  <c r="AF335" i="5"/>
  <c r="Y335" i="5"/>
  <c r="H402" i="5"/>
  <c r="AF317" i="5"/>
  <c r="Y317" i="5"/>
  <c r="H384" i="5"/>
  <c r="L16" i="8"/>
  <c r="L19" i="8" s="1"/>
  <c r="M16" i="8" s="1"/>
  <c r="M19" i="8" s="1"/>
  <c r="N16" i="8" s="1"/>
  <c r="N19" i="8" s="1"/>
  <c r="O16" i="8" s="1"/>
  <c r="O19" i="8" s="1"/>
  <c r="F26" i="8" s="1"/>
  <c r="F29" i="8" s="1"/>
  <c r="G26" i="8" s="1"/>
  <c r="G29" i="8" s="1"/>
  <c r="H26" i="8" s="1"/>
  <c r="H29" i="8" s="1"/>
  <c r="I26" i="8" s="1"/>
  <c r="I29" i="8" s="1"/>
  <c r="J26" i="8" s="1"/>
  <c r="J29" i="8" s="1"/>
  <c r="K26" i="8" s="1"/>
  <c r="K29" i="8" s="1"/>
  <c r="L26" i="8" s="1"/>
  <c r="L29" i="8" s="1"/>
  <c r="M26" i="8" s="1"/>
  <c r="M29" i="8" s="1"/>
  <c r="N26" i="8" s="1"/>
  <c r="N29" i="8" s="1"/>
  <c r="O26" i="8" s="1"/>
  <c r="O29" i="8" s="1"/>
  <c r="Y133" i="6"/>
  <c r="AG145" i="6"/>
  <c r="F177" i="6"/>
  <c r="AM332" i="5"/>
  <c r="AM334" i="5"/>
  <c r="J401" i="5"/>
  <c r="AM310" i="5"/>
  <c r="J377" i="5"/>
  <c r="P361" i="5"/>
  <c r="J428" i="5"/>
  <c r="R361" i="5"/>
  <c r="T361" i="5"/>
  <c r="N361" i="5"/>
  <c r="S361" i="5"/>
  <c r="I361" i="5"/>
  <c r="O361" i="5"/>
  <c r="AM361" i="5"/>
  <c r="T394" i="5"/>
  <c r="J461" i="5"/>
  <c r="P394" i="5"/>
  <c r="N394" i="5"/>
  <c r="O394" i="5"/>
  <c r="S394" i="5"/>
  <c r="R394" i="5"/>
  <c r="I394" i="5"/>
  <c r="AM394" i="5"/>
  <c r="AG327" i="5"/>
  <c r="AH327" i="5" s="1"/>
  <c r="F394" i="5"/>
  <c r="AG311" i="5"/>
  <c r="AH311" i="5" s="1"/>
  <c r="F378" i="5"/>
  <c r="AG303" i="5"/>
  <c r="AH303" i="5" s="1"/>
  <c r="F370" i="5"/>
  <c r="AG287" i="5"/>
  <c r="AH287" i="5" s="1"/>
  <c r="F354" i="5"/>
  <c r="AG295" i="5"/>
  <c r="AH295" i="5" s="1"/>
  <c r="F362" i="5"/>
  <c r="AG336" i="5"/>
  <c r="AH336" i="5" s="1"/>
  <c r="F403" i="5"/>
  <c r="T400" i="5"/>
  <c r="J467" i="5"/>
  <c r="P400" i="5"/>
  <c r="R400" i="5"/>
  <c r="I400" i="5"/>
  <c r="O400" i="5"/>
  <c r="N400" i="5"/>
  <c r="S400" i="5"/>
  <c r="AM400" i="5"/>
  <c r="J451" i="5"/>
  <c r="N384" i="5"/>
  <c r="P384" i="5"/>
  <c r="R384" i="5"/>
  <c r="I384" i="5"/>
  <c r="S384" i="5"/>
  <c r="O384" i="5"/>
  <c r="T384" i="5"/>
  <c r="T379" i="5"/>
  <c r="J446" i="5"/>
  <c r="P379" i="5"/>
  <c r="S379" i="5"/>
  <c r="R379" i="5"/>
  <c r="I379" i="5"/>
  <c r="N379" i="5"/>
  <c r="O379" i="5"/>
  <c r="AD379" i="5" s="1"/>
  <c r="AM379" i="5"/>
  <c r="T370" i="5"/>
  <c r="N370" i="5"/>
  <c r="I370" i="5"/>
  <c r="P370" i="5"/>
  <c r="S370" i="5"/>
  <c r="J437" i="5"/>
  <c r="O370" i="5"/>
  <c r="AD370" i="5" s="1"/>
  <c r="R370" i="5"/>
  <c r="T389" i="5"/>
  <c r="J456" i="5"/>
  <c r="P389" i="5"/>
  <c r="N389" i="5"/>
  <c r="R389" i="5"/>
  <c r="S389" i="5"/>
  <c r="I389" i="5"/>
  <c r="O389" i="5"/>
  <c r="AD389" i="5" s="1"/>
  <c r="J452" i="5"/>
  <c r="AM452" i="5" s="1"/>
  <c r="P385" i="5"/>
  <c r="I385" i="5"/>
  <c r="S385" i="5"/>
  <c r="N385" i="5"/>
  <c r="R385" i="5"/>
  <c r="O385" i="5"/>
  <c r="T385" i="5"/>
  <c r="O380" i="5"/>
  <c r="J447" i="5"/>
  <c r="AM447" i="5" s="1"/>
  <c r="I380" i="5"/>
  <c r="R380" i="5"/>
  <c r="N380" i="5"/>
  <c r="AD380" i="5" s="1"/>
  <c r="P380" i="5"/>
  <c r="S380" i="5"/>
  <c r="T380" i="5"/>
  <c r="Y273" i="5"/>
  <c r="P387" i="5"/>
  <c r="J454" i="5"/>
  <c r="O387" i="5"/>
  <c r="R387" i="5"/>
  <c r="I387" i="5"/>
  <c r="S387" i="5"/>
  <c r="T387" i="5"/>
  <c r="N387" i="5"/>
  <c r="T364" i="5"/>
  <c r="P364" i="5"/>
  <c r="J431" i="5"/>
  <c r="N364" i="5"/>
  <c r="I364" i="5"/>
  <c r="S364" i="5"/>
  <c r="O364" i="5"/>
  <c r="R364" i="5"/>
  <c r="AG325" i="5"/>
  <c r="AH325" i="5" s="1"/>
  <c r="F392" i="5"/>
  <c r="AG306" i="5"/>
  <c r="AH306" i="5" s="1"/>
  <c r="F373" i="5"/>
  <c r="AF114" i="4"/>
  <c r="Y114" i="4"/>
  <c r="H136" i="4"/>
  <c r="R185" i="6"/>
  <c r="N185" i="6"/>
  <c r="AD185" i="6" s="1"/>
  <c r="I185" i="6"/>
  <c r="J217" i="6"/>
  <c r="T185" i="6"/>
  <c r="S185" i="6"/>
  <c r="P185" i="6"/>
  <c r="Y158" i="6"/>
  <c r="AF158" i="6"/>
  <c r="H190" i="6"/>
  <c r="R180" i="6"/>
  <c r="J212" i="6"/>
  <c r="N180" i="6"/>
  <c r="AD180" i="6" s="1"/>
  <c r="I180" i="6"/>
  <c r="T180" i="6"/>
  <c r="S180" i="6"/>
  <c r="P180" i="6"/>
  <c r="AG149" i="6"/>
  <c r="AH149" i="6" s="1"/>
  <c r="F181" i="6"/>
  <c r="Y155" i="6"/>
  <c r="AF155" i="6"/>
  <c r="H187" i="6"/>
  <c r="R186" i="6"/>
  <c r="N186" i="6"/>
  <c r="AD186" i="6" s="1"/>
  <c r="I186" i="6"/>
  <c r="J218" i="6"/>
  <c r="T186" i="6"/>
  <c r="S186" i="6"/>
  <c r="P186" i="6"/>
  <c r="R183" i="6"/>
  <c r="N183" i="6"/>
  <c r="AD183" i="6" s="1"/>
  <c r="I183" i="6"/>
  <c r="J215" i="6"/>
  <c r="S183" i="6"/>
  <c r="T183" i="6"/>
  <c r="P183" i="6"/>
  <c r="Y156" i="6"/>
  <c r="AA156" i="6" s="1"/>
  <c r="AF156" i="6"/>
  <c r="H188" i="6"/>
  <c r="H352" i="5"/>
  <c r="AF352" i="5" s="1"/>
  <c r="AM441" i="5"/>
  <c r="AM385" i="5"/>
  <c r="AF366" i="5"/>
  <c r="Y366" i="5"/>
  <c r="H433" i="5"/>
  <c r="AI431" i="5"/>
  <c r="AJ431" i="5" s="1"/>
  <c r="AK431" i="5"/>
  <c r="AL431" i="5" s="1"/>
  <c r="P154" i="4"/>
  <c r="N154" i="4"/>
  <c r="AD154" i="4" s="1"/>
  <c r="I154" i="4"/>
  <c r="T154" i="4"/>
  <c r="R154" i="4"/>
  <c r="S154" i="4"/>
  <c r="AF293" i="5"/>
  <c r="Y293" i="5"/>
  <c r="H360" i="5"/>
  <c r="AM384" i="5"/>
  <c r="AF393" i="5"/>
  <c r="Y393" i="5"/>
  <c r="H460" i="5"/>
  <c r="AK422" i="5"/>
  <c r="AL422" i="5" s="1"/>
  <c r="AM422" i="5" s="1"/>
  <c r="AI422" i="5"/>
  <c r="AJ422" i="5" s="1"/>
  <c r="AG353" i="5"/>
  <c r="AH353" i="5" s="1"/>
  <c r="F420" i="5"/>
  <c r="AG420" i="5" s="1"/>
  <c r="AH420" i="5" s="1"/>
  <c r="AG384" i="5"/>
  <c r="AH384" i="5" s="1"/>
  <c r="F451" i="5"/>
  <c r="AG451" i="5" s="1"/>
  <c r="AH451" i="5" s="1"/>
  <c r="AG386" i="5"/>
  <c r="AH386" i="5" s="1"/>
  <c r="F453" i="5"/>
  <c r="AG453" i="5" s="1"/>
  <c r="AH453" i="5" s="1"/>
  <c r="F467" i="5"/>
  <c r="AG467" i="5" s="1"/>
  <c r="AH467" i="5" s="1"/>
  <c r="AG400" i="5"/>
  <c r="AH400" i="5" s="1"/>
  <c r="N209" i="6"/>
  <c r="P209" i="6" s="1"/>
  <c r="AF327" i="5"/>
  <c r="Y327" i="5"/>
  <c r="H394" i="5"/>
  <c r="AF333" i="5"/>
  <c r="Y333" i="5"/>
  <c r="H400" i="5"/>
  <c r="K25" i="13"/>
  <c r="K26" i="13" s="1"/>
  <c r="J40" i="16"/>
  <c r="F466" i="5"/>
  <c r="AG466" i="5" s="1"/>
  <c r="AH466" i="5" s="1"/>
  <c r="AG399" i="5"/>
  <c r="AH399" i="5" s="1"/>
  <c r="F458" i="5"/>
  <c r="AG458" i="5" s="1"/>
  <c r="AH458" i="5" s="1"/>
  <c r="AG391" i="5"/>
  <c r="AH391" i="5" s="1"/>
  <c r="AK460" i="5"/>
  <c r="AL460" i="5" s="1"/>
  <c r="AM460" i="5" s="1"/>
  <c r="AI460" i="5"/>
  <c r="AJ460" i="5" s="1"/>
  <c r="P159" i="4"/>
  <c r="T159" i="4"/>
  <c r="S159" i="4"/>
  <c r="I159" i="4"/>
  <c r="R159" i="4"/>
  <c r="N159" i="4"/>
  <c r="AD159" i="4" s="1"/>
  <c r="AF322" i="5"/>
  <c r="Y322" i="5"/>
  <c r="H389" i="5"/>
  <c r="AF321" i="5"/>
  <c r="Y321" i="5"/>
  <c r="H388" i="5"/>
  <c r="S214" i="6"/>
  <c r="T214" i="6"/>
  <c r="N214" i="6"/>
  <c r="AD214" i="6" s="1"/>
  <c r="I214" i="6"/>
  <c r="P214" i="6"/>
  <c r="R214" i="6"/>
  <c r="T425" i="5"/>
  <c r="N425" i="5"/>
  <c r="I425" i="5"/>
  <c r="S425" i="5"/>
  <c r="P425" i="5"/>
  <c r="O425" i="5"/>
  <c r="AD425" i="5" s="1"/>
  <c r="R425" i="5"/>
  <c r="F435" i="5"/>
  <c r="AG435" i="5" s="1"/>
  <c r="AH435" i="5" s="1"/>
  <c r="AG368" i="5"/>
  <c r="AH368" i="5" s="1"/>
  <c r="T443" i="5"/>
  <c r="S443" i="5"/>
  <c r="R443" i="5"/>
  <c r="I443" i="5"/>
  <c r="N443" i="5"/>
  <c r="P443" i="5"/>
  <c r="O443" i="5"/>
  <c r="P157" i="4"/>
  <c r="R157" i="4"/>
  <c r="N157" i="4"/>
  <c r="AD157" i="4" s="1"/>
  <c r="I157" i="4"/>
  <c r="S157" i="4"/>
  <c r="T157" i="4"/>
  <c r="J163" i="4"/>
  <c r="N153" i="4"/>
  <c r="P153" i="4" s="1"/>
  <c r="P163" i="4" s="1"/>
  <c r="AF328" i="5"/>
  <c r="Y328" i="5"/>
  <c r="H395" i="5"/>
  <c r="AF316" i="5"/>
  <c r="Y316" i="5"/>
  <c r="H383" i="5"/>
  <c r="AF300" i="5"/>
  <c r="Y300" i="5"/>
  <c r="H367" i="5"/>
  <c r="AG193" i="6"/>
  <c r="AH193" i="6" s="1"/>
  <c r="F225" i="6"/>
  <c r="AG225" i="6" s="1"/>
  <c r="AH225" i="6" s="1"/>
  <c r="T463" i="5"/>
  <c r="N463" i="5"/>
  <c r="I463" i="5"/>
  <c r="S463" i="5"/>
  <c r="P463" i="5"/>
  <c r="O463" i="5"/>
  <c r="AD463" i="5" s="1"/>
  <c r="R463" i="5"/>
  <c r="AM352" i="5"/>
  <c r="G59" i="10"/>
  <c r="H16" i="10" s="1"/>
  <c r="H59" i="10" s="1"/>
  <c r="I16" i="10" s="1"/>
  <c r="I59" i="10" s="1"/>
  <c r="J16" i="10" s="1"/>
  <c r="K4" i="19"/>
  <c r="L4" i="19" s="1"/>
  <c r="J8" i="14"/>
  <c r="K8" i="13"/>
  <c r="F19" i="13"/>
  <c r="L44" i="2"/>
  <c r="AD12" i="9"/>
  <c r="K19" i="13"/>
  <c r="M162" i="7"/>
  <c r="M186" i="7"/>
  <c r="L99" i="7"/>
  <c r="L186" i="7" s="1"/>
  <c r="L189" i="7" s="1"/>
  <c r="AD291" i="5"/>
  <c r="AH133" i="6"/>
  <c r="I109" i="4"/>
  <c r="Y109" i="4" s="1"/>
  <c r="AA109" i="4" s="1"/>
  <c r="Y87" i="4"/>
  <c r="Y97" i="4" s="1"/>
  <c r="AA97" i="4" s="1"/>
  <c r="AC89" i="6"/>
  <c r="AC201" i="5"/>
  <c r="AC158" i="5"/>
  <c r="O218" i="5"/>
  <c r="AD218" i="5" s="1"/>
  <c r="AA248" i="5"/>
  <c r="AB232" i="5"/>
  <c r="AA222" i="5"/>
  <c r="AB251" i="5"/>
  <c r="H419" i="5"/>
  <c r="AF419" i="5" s="1"/>
  <c r="I29" i="10"/>
  <c r="I36" i="13" s="1"/>
  <c r="I40" i="13" s="1"/>
  <c r="F61" i="10"/>
  <c r="G15" i="12" s="1"/>
  <c r="G17" i="12" s="1"/>
  <c r="H19" i="13"/>
  <c r="J40" i="10"/>
  <c r="G29" i="10"/>
  <c r="F64" i="16" s="1"/>
  <c r="H36" i="13"/>
  <c r="H40" i="13" s="1"/>
  <c r="G64" i="16"/>
  <c r="J27" i="10"/>
  <c r="J25" i="10"/>
  <c r="G57" i="10"/>
  <c r="H14" i="10" s="1"/>
  <c r="H57" i="10" s="1"/>
  <c r="I14" i="10" s="1"/>
  <c r="I57" i="10" s="1"/>
  <c r="J14" i="10" s="1"/>
  <c r="AD226" i="5"/>
  <c r="AB248" i="5"/>
  <c r="J165" i="6"/>
  <c r="I61" i="14" s="1"/>
  <c r="H45" i="14" s="1"/>
  <c r="AD264" i="5"/>
  <c r="AA232" i="5"/>
  <c r="AH273" i="5"/>
  <c r="I145" i="6"/>
  <c r="Y145" i="6" s="1"/>
  <c r="N157" i="6"/>
  <c r="AD157" i="6" s="1"/>
  <c r="I157" i="6"/>
  <c r="S157" i="6"/>
  <c r="T157" i="6"/>
  <c r="P157" i="6"/>
  <c r="R157" i="6"/>
  <c r="T148" i="6"/>
  <c r="P148" i="6"/>
  <c r="N148" i="6"/>
  <c r="AD148" i="6" s="1"/>
  <c r="I148" i="6"/>
  <c r="S148" i="6"/>
  <c r="R148" i="6"/>
  <c r="R146" i="6"/>
  <c r="I146" i="6"/>
  <c r="P146" i="6"/>
  <c r="N146" i="6"/>
  <c r="AD146" i="6" s="1"/>
  <c r="T146" i="6"/>
  <c r="S146" i="6"/>
  <c r="T158" i="6"/>
  <c r="S158" i="6"/>
  <c r="R158" i="6"/>
  <c r="P158" i="6"/>
  <c r="I158" i="6"/>
  <c r="N158" i="6"/>
  <c r="AD158" i="6" s="1"/>
  <c r="N155" i="6"/>
  <c r="AD155" i="6" s="1"/>
  <c r="I155" i="6"/>
  <c r="P155" i="6"/>
  <c r="S155" i="6"/>
  <c r="R155" i="6"/>
  <c r="T155" i="6"/>
  <c r="P151" i="6"/>
  <c r="N151" i="6"/>
  <c r="AD151" i="6" s="1"/>
  <c r="I151" i="6"/>
  <c r="S151" i="6"/>
  <c r="T151" i="6"/>
  <c r="R151" i="6"/>
  <c r="AA150" i="6"/>
  <c r="S161" i="6"/>
  <c r="T161" i="6"/>
  <c r="N161" i="6"/>
  <c r="AD161" i="6" s="1"/>
  <c r="I161" i="6"/>
  <c r="P161" i="6"/>
  <c r="R161" i="6"/>
  <c r="P149" i="6"/>
  <c r="N149" i="6"/>
  <c r="AD149" i="6" s="1"/>
  <c r="I149" i="6"/>
  <c r="S149" i="6"/>
  <c r="T149" i="6"/>
  <c r="R149" i="6"/>
  <c r="S160" i="6"/>
  <c r="T160" i="6"/>
  <c r="N160" i="6"/>
  <c r="AD160" i="6" s="1"/>
  <c r="I160" i="6"/>
  <c r="R160" i="6"/>
  <c r="P160" i="6"/>
  <c r="T152" i="6"/>
  <c r="S152" i="6"/>
  <c r="I152" i="6"/>
  <c r="P152" i="6"/>
  <c r="R152" i="6"/>
  <c r="N152" i="6"/>
  <c r="AD152" i="6" s="1"/>
  <c r="P147" i="6"/>
  <c r="N147" i="6"/>
  <c r="AD147" i="6" s="1"/>
  <c r="I147" i="6"/>
  <c r="R147" i="6"/>
  <c r="S147" i="6"/>
  <c r="T147" i="6"/>
  <c r="I154" i="6"/>
  <c r="S154" i="6"/>
  <c r="N154" i="6"/>
  <c r="AD154" i="6" s="1"/>
  <c r="T154" i="6"/>
  <c r="R154" i="6"/>
  <c r="P154" i="6"/>
  <c r="P153" i="6"/>
  <c r="N153" i="6"/>
  <c r="AD153" i="6" s="1"/>
  <c r="I153" i="6"/>
  <c r="T153" i="6"/>
  <c r="R153" i="6"/>
  <c r="S153" i="6"/>
  <c r="AA118" i="6"/>
  <c r="AB118" i="6"/>
  <c r="S162" i="6"/>
  <c r="N162" i="6"/>
  <c r="AD162" i="6" s="1"/>
  <c r="I162" i="6"/>
  <c r="T162" i="6"/>
  <c r="P162" i="6"/>
  <c r="R162" i="6"/>
  <c r="AD145" i="6"/>
  <c r="AD165" i="6" s="1"/>
  <c r="AB255" i="5"/>
  <c r="AA255" i="5"/>
  <c r="AG273" i="5"/>
  <c r="AD261" i="5"/>
  <c r="AD286" i="5"/>
  <c r="AD249" i="5"/>
  <c r="AD269" i="5"/>
  <c r="AD257" i="5"/>
  <c r="P119" i="4"/>
  <c r="AA117" i="4"/>
  <c r="AB117" i="4"/>
  <c r="AA116" i="4"/>
  <c r="AB116" i="4"/>
  <c r="AA115" i="4"/>
  <c r="AB115" i="4"/>
  <c r="AB118" i="4"/>
  <c r="AA118" i="4"/>
  <c r="H59" i="16"/>
  <c r="AD109" i="4"/>
  <c r="AD119" i="4" s="1"/>
  <c r="N119" i="4"/>
  <c r="AD267" i="5"/>
  <c r="AD243" i="5"/>
  <c r="AD227" i="5"/>
  <c r="AD231" i="5"/>
  <c r="AD233" i="5"/>
  <c r="AD259" i="5"/>
  <c r="AD229" i="5"/>
  <c r="L14" i="3"/>
  <c r="AM326" i="5"/>
  <c r="AM322" i="5"/>
  <c r="AD245" i="5"/>
  <c r="AD255" i="5"/>
  <c r="AD251" i="5"/>
  <c r="AM338" i="5"/>
  <c r="AD290" i="5"/>
  <c r="AD339" i="5"/>
  <c r="AD307" i="5"/>
  <c r="AD253" i="5"/>
  <c r="AD244" i="5"/>
  <c r="AD248" i="5"/>
  <c r="AD268" i="5"/>
  <c r="AA329" i="5"/>
  <c r="AB239" i="5"/>
  <c r="AA239" i="5"/>
  <c r="AA252" i="5"/>
  <c r="AB252" i="5"/>
  <c r="AB235" i="5"/>
  <c r="AA235" i="5"/>
  <c r="N308" i="5"/>
  <c r="S308" i="5"/>
  <c r="T308" i="5"/>
  <c r="I308" i="5"/>
  <c r="O308" i="5"/>
  <c r="AD308" i="5" s="1"/>
  <c r="R308" i="5"/>
  <c r="P308" i="5"/>
  <c r="AM308" i="5"/>
  <c r="O293" i="5"/>
  <c r="T293" i="5"/>
  <c r="I293" i="5"/>
  <c r="P293" i="5"/>
  <c r="N293" i="5"/>
  <c r="R293" i="5"/>
  <c r="S293" i="5"/>
  <c r="N331" i="5"/>
  <c r="T331" i="5"/>
  <c r="S331" i="5"/>
  <c r="I331" i="5"/>
  <c r="R331" i="5"/>
  <c r="P331" i="5"/>
  <c r="O331" i="5"/>
  <c r="AM331" i="5"/>
  <c r="T332" i="5"/>
  <c r="R332" i="5"/>
  <c r="P332" i="5"/>
  <c r="S332" i="5"/>
  <c r="O332" i="5"/>
  <c r="I332" i="5"/>
  <c r="N332" i="5"/>
  <c r="T292" i="5"/>
  <c r="R292" i="5"/>
  <c r="S292" i="5"/>
  <c r="I292" i="5"/>
  <c r="P292" i="5"/>
  <c r="N292" i="5"/>
  <c r="O292" i="5"/>
  <c r="AD329" i="5"/>
  <c r="N316" i="5"/>
  <c r="T316" i="5"/>
  <c r="S316" i="5"/>
  <c r="P316" i="5"/>
  <c r="O316" i="5"/>
  <c r="I316" i="5"/>
  <c r="R316" i="5"/>
  <c r="AM316" i="5"/>
  <c r="T336" i="5"/>
  <c r="R336" i="5"/>
  <c r="P336" i="5"/>
  <c r="O336" i="5"/>
  <c r="I336" i="5"/>
  <c r="N336" i="5"/>
  <c r="S336" i="5"/>
  <c r="AM336" i="5"/>
  <c r="AD323" i="5"/>
  <c r="AD309" i="5"/>
  <c r="AM288" i="5"/>
  <c r="AD241" i="5"/>
  <c r="AD250" i="5"/>
  <c r="T317" i="5"/>
  <c r="R317" i="5"/>
  <c r="O317" i="5"/>
  <c r="S317" i="5"/>
  <c r="I317" i="5"/>
  <c r="N317" i="5"/>
  <c r="P317" i="5"/>
  <c r="I312" i="5"/>
  <c r="N312" i="5"/>
  <c r="R312" i="5"/>
  <c r="S312" i="5"/>
  <c r="T312" i="5"/>
  <c r="P312" i="5"/>
  <c r="O312" i="5"/>
  <c r="AM312" i="5"/>
  <c r="AD236" i="5"/>
  <c r="O303" i="5"/>
  <c r="T303" i="5"/>
  <c r="R303" i="5"/>
  <c r="N303" i="5"/>
  <c r="P303" i="5"/>
  <c r="I303" i="5"/>
  <c r="S303" i="5"/>
  <c r="P322" i="5"/>
  <c r="N322" i="5"/>
  <c r="I322" i="5"/>
  <c r="T322" i="5"/>
  <c r="R322" i="5"/>
  <c r="S322" i="5"/>
  <c r="O322" i="5"/>
  <c r="P318" i="5"/>
  <c r="S318" i="5"/>
  <c r="R318" i="5"/>
  <c r="T318" i="5"/>
  <c r="N318" i="5"/>
  <c r="I318" i="5"/>
  <c r="O318" i="5"/>
  <c r="AD246" i="5"/>
  <c r="T313" i="5"/>
  <c r="P313" i="5"/>
  <c r="R313" i="5"/>
  <c r="S313" i="5"/>
  <c r="O313" i="5"/>
  <c r="I313" i="5"/>
  <c r="N313" i="5"/>
  <c r="AM318" i="5"/>
  <c r="AD265" i="5"/>
  <c r="AD225" i="5"/>
  <c r="T328" i="5"/>
  <c r="P328" i="5"/>
  <c r="R328" i="5"/>
  <c r="I328" i="5"/>
  <c r="S328" i="5"/>
  <c r="N328" i="5"/>
  <c r="O328" i="5"/>
  <c r="AD238" i="5"/>
  <c r="O305" i="5"/>
  <c r="R305" i="5"/>
  <c r="T305" i="5"/>
  <c r="P305" i="5"/>
  <c r="N305" i="5"/>
  <c r="AD305" i="5" s="1"/>
  <c r="S305" i="5"/>
  <c r="I305" i="5"/>
  <c r="AD228" i="5"/>
  <c r="O295" i="5"/>
  <c r="T295" i="5"/>
  <c r="R295" i="5"/>
  <c r="N295" i="5"/>
  <c r="I295" i="5"/>
  <c r="S295" i="5"/>
  <c r="P295" i="5"/>
  <c r="AD330" i="5"/>
  <c r="P324" i="5"/>
  <c r="T324" i="5"/>
  <c r="S324" i="5"/>
  <c r="I324" i="5"/>
  <c r="R324" i="5"/>
  <c r="N324" i="5"/>
  <c r="O324" i="5"/>
  <c r="P306" i="5"/>
  <c r="S306" i="5"/>
  <c r="R306" i="5"/>
  <c r="I306" i="5"/>
  <c r="N306" i="5"/>
  <c r="O306" i="5"/>
  <c r="T306" i="5"/>
  <c r="P304" i="5"/>
  <c r="S304" i="5"/>
  <c r="R304" i="5"/>
  <c r="O304" i="5"/>
  <c r="N304" i="5"/>
  <c r="T304" i="5"/>
  <c r="I304" i="5"/>
  <c r="T311" i="5"/>
  <c r="P311" i="5"/>
  <c r="R311" i="5"/>
  <c r="N311" i="5"/>
  <c r="O311" i="5"/>
  <c r="I311" i="5"/>
  <c r="S311" i="5"/>
  <c r="O314" i="5"/>
  <c r="R314" i="5"/>
  <c r="T314" i="5"/>
  <c r="N314" i="5"/>
  <c r="P314" i="5"/>
  <c r="S314" i="5"/>
  <c r="I314" i="5"/>
  <c r="T315" i="5"/>
  <c r="P315" i="5"/>
  <c r="R315" i="5"/>
  <c r="N315" i="5"/>
  <c r="S315" i="5"/>
  <c r="I315" i="5"/>
  <c r="O315" i="5"/>
  <c r="AD232" i="5"/>
  <c r="O299" i="5"/>
  <c r="S299" i="5"/>
  <c r="P299" i="5"/>
  <c r="I299" i="5"/>
  <c r="N299" i="5"/>
  <c r="T299" i="5"/>
  <c r="R299" i="5"/>
  <c r="AM299" i="5"/>
  <c r="AH285" i="5"/>
  <c r="AG340" i="5"/>
  <c r="I335" i="5"/>
  <c r="T335" i="5"/>
  <c r="P335" i="5"/>
  <c r="N335" i="5"/>
  <c r="R335" i="5"/>
  <c r="S335" i="5"/>
  <c r="O335" i="5"/>
  <c r="T288" i="5"/>
  <c r="P288" i="5"/>
  <c r="S288" i="5"/>
  <c r="N288" i="5"/>
  <c r="I288" i="5"/>
  <c r="R288" i="5"/>
  <c r="O288" i="5"/>
  <c r="AK314" i="5"/>
  <c r="AL314" i="5" s="1"/>
  <c r="AM314" i="5" s="1"/>
  <c r="AI314" i="5"/>
  <c r="AJ314" i="5" s="1"/>
  <c r="T302" i="5"/>
  <c r="R302" i="5"/>
  <c r="P302" i="5"/>
  <c r="I302" i="5"/>
  <c r="N302" i="5"/>
  <c r="S302" i="5"/>
  <c r="O302" i="5"/>
  <c r="AM302" i="5"/>
  <c r="T338" i="5"/>
  <c r="P338" i="5"/>
  <c r="R338" i="5"/>
  <c r="O338" i="5"/>
  <c r="N338" i="5"/>
  <c r="S338" i="5"/>
  <c r="I338" i="5"/>
  <c r="AB339" i="5"/>
  <c r="AA339" i="5"/>
  <c r="AA307" i="5"/>
  <c r="AB307" i="5"/>
  <c r="AB325" i="5"/>
  <c r="AA325" i="5"/>
  <c r="N285" i="5"/>
  <c r="J340" i="5"/>
  <c r="I60" i="14" s="1"/>
  <c r="AD239" i="5"/>
  <c r="AD237" i="5"/>
  <c r="AD247" i="5"/>
  <c r="T334" i="5"/>
  <c r="R334" i="5"/>
  <c r="P334" i="5"/>
  <c r="N334" i="5"/>
  <c r="S334" i="5"/>
  <c r="I334" i="5"/>
  <c r="O334" i="5"/>
  <c r="N310" i="5"/>
  <c r="I310" i="5"/>
  <c r="S310" i="5"/>
  <c r="T310" i="5"/>
  <c r="P310" i="5"/>
  <c r="O310" i="5"/>
  <c r="R310" i="5"/>
  <c r="T294" i="5"/>
  <c r="R294" i="5"/>
  <c r="S294" i="5"/>
  <c r="P294" i="5"/>
  <c r="I294" i="5"/>
  <c r="N294" i="5"/>
  <c r="O294" i="5"/>
  <c r="AM294" i="5"/>
  <c r="AD260" i="5"/>
  <c r="N327" i="5"/>
  <c r="I327" i="5"/>
  <c r="R327" i="5"/>
  <c r="S327" i="5"/>
  <c r="P327" i="5"/>
  <c r="O327" i="5"/>
  <c r="T327" i="5"/>
  <c r="AM327" i="5"/>
  <c r="AA323" i="5"/>
  <c r="AB323" i="5"/>
  <c r="AD266" i="5"/>
  <c r="S333" i="5"/>
  <c r="N333" i="5"/>
  <c r="I333" i="5"/>
  <c r="T333" i="5"/>
  <c r="P333" i="5"/>
  <c r="O333" i="5"/>
  <c r="AD333" i="5" s="1"/>
  <c r="R333" i="5"/>
  <c r="AM333" i="5"/>
  <c r="AD270" i="5"/>
  <c r="O337" i="5"/>
  <c r="I337" i="5"/>
  <c r="S337" i="5"/>
  <c r="N337" i="5"/>
  <c r="R337" i="5"/>
  <c r="P337" i="5"/>
  <c r="T337" i="5"/>
  <c r="AD252" i="5"/>
  <c r="T319" i="5"/>
  <c r="R319" i="5"/>
  <c r="O319" i="5"/>
  <c r="P319" i="5"/>
  <c r="I319" i="5"/>
  <c r="S319" i="5"/>
  <c r="N319" i="5"/>
  <c r="T298" i="5"/>
  <c r="S298" i="5"/>
  <c r="R298" i="5"/>
  <c r="N298" i="5"/>
  <c r="I298" i="5"/>
  <c r="P298" i="5"/>
  <c r="O298" i="5"/>
  <c r="AM298" i="5"/>
  <c r="AD254" i="5"/>
  <c r="R321" i="5"/>
  <c r="O321" i="5"/>
  <c r="T321" i="5"/>
  <c r="I321" i="5"/>
  <c r="P321" i="5"/>
  <c r="S321" i="5"/>
  <c r="N321" i="5"/>
  <c r="AM321" i="5"/>
  <c r="T300" i="5"/>
  <c r="P300" i="5"/>
  <c r="N300" i="5"/>
  <c r="S300" i="5"/>
  <c r="R300" i="5"/>
  <c r="I300" i="5"/>
  <c r="O300" i="5"/>
  <c r="N326" i="5"/>
  <c r="I326" i="5"/>
  <c r="P326" i="5"/>
  <c r="O326" i="5"/>
  <c r="T326" i="5"/>
  <c r="S326" i="5"/>
  <c r="R326" i="5"/>
  <c r="AD234" i="5"/>
  <c r="O301" i="5"/>
  <c r="T301" i="5"/>
  <c r="S301" i="5"/>
  <c r="P301" i="5"/>
  <c r="I301" i="5"/>
  <c r="N301" i="5"/>
  <c r="R301" i="5"/>
  <c r="AD222" i="5"/>
  <c r="N289" i="5"/>
  <c r="T289" i="5"/>
  <c r="P289" i="5"/>
  <c r="I289" i="5"/>
  <c r="O289" i="5"/>
  <c r="R289" i="5"/>
  <c r="S289" i="5"/>
  <c r="T296" i="5"/>
  <c r="N296" i="5"/>
  <c r="I296" i="5"/>
  <c r="S296" i="5"/>
  <c r="R296" i="5"/>
  <c r="P296" i="5"/>
  <c r="O296" i="5"/>
  <c r="AM296" i="5"/>
  <c r="AB286" i="5"/>
  <c r="AD221" i="5"/>
  <c r="AM289" i="5"/>
  <c r="AM313" i="5"/>
  <c r="AD235" i="5"/>
  <c r="AD271" i="5"/>
  <c r="AD325" i="5"/>
  <c r="I285" i="5"/>
  <c r="Y285" i="5" s="1"/>
  <c r="P320" i="5"/>
  <c r="R320" i="5"/>
  <c r="N320" i="5"/>
  <c r="I320" i="5"/>
  <c r="T320" i="5"/>
  <c r="S320" i="5"/>
  <c r="O320" i="5"/>
  <c r="AD230" i="5"/>
  <c r="T297" i="5"/>
  <c r="N297" i="5"/>
  <c r="R297" i="5"/>
  <c r="S297" i="5"/>
  <c r="O297" i="5"/>
  <c r="I297" i="5"/>
  <c r="P297" i="5"/>
  <c r="AH145" i="6"/>
  <c r="AA88" i="4"/>
  <c r="AB88" i="4"/>
  <c r="AB89" i="4"/>
  <c r="AC89" i="4" s="1"/>
  <c r="AC42" i="4"/>
  <c r="S42" i="4" s="1"/>
  <c r="T18" i="4"/>
  <c r="T28" i="4" s="1"/>
  <c r="AC88" i="6"/>
  <c r="AC198" i="5"/>
  <c r="AC180" i="5"/>
  <c r="AC170" i="5"/>
  <c r="AC154" i="5"/>
  <c r="AC162" i="5"/>
  <c r="AC155" i="5"/>
  <c r="AC190" i="5"/>
  <c r="AC184" i="5"/>
  <c r="AC160" i="5"/>
  <c r="AC164" i="5"/>
  <c r="AC166" i="5"/>
  <c r="AC194" i="5"/>
  <c r="AC83" i="6"/>
  <c r="R84" i="5"/>
  <c r="AC96" i="6"/>
  <c r="AC84" i="6"/>
  <c r="AC93" i="6"/>
  <c r="R81" i="6"/>
  <c r="P113" i="6"/>
  <c r="R42" i="4"/>
  <c r="R52" i="4" s="1"/>
  <c r="AC97" i="6"/>
  <c r="AC100" i="6"/>
  <c r="AC85" i="6"/>
  <c r="AB117" i="6"/>
  <c r="AA117" i="6"/>
  <c r="AB115" i="6"/>
  <c r="AA115" i="6"/>
  <c r="AB131" i="6"/>
  <c r="AA131" i="6"/>
  <c r="AB123" i="6"/>
  <c r="AA123" i="6"/>
  <c r="AA132" i="6"/>
  <c r="AB132" i="6"/>
  <c r="AC98" i="6"/>
  <c r="AB122" i="6"/>
  <c r="AA122" i="6"/>
  <c r="AB128" i="6"/>
  <c r="AA128" i="6"/>
  <c r="AB114" i="6"/>
  <c r="AA114" i="6"/>
  <c r="AA130" i="6"/>
  <c r="AB130" i="6"/>
  <c r="AC99" i="6"/>
  <c r="AC91" i="6"/>
  <c r="AB125" i="6"/>
  <c r="AA125" i="6"/>
  <c r="AA116" i="6"/>
  <c r="AB116" i="6"/>
  <c r="AB126" i="6"/>
  <c r="AA126" i="6"/>
  <c r="AC95" i="6"/>
  <c r="AC92" i="6"/>
  <c r="AC86" i="6"/>
  <c r="AB124" i="6"/>
  <c r="AA124" i="6"/>
  <c r="AB120" i="6"/>
  <c r="AA120" i="6"/>
  <c r="AA129" i="6"/>
  <c r="AB129" i="6"/>
  <c r="AA121" i="6"/>
  <c r="AB121" i="6"/>
  <c r="AC82" i="6"/>
  <c r="AC90" i="6"/>
  <c r="AC94" i="6"/>
  <c r="AC81" i="6"/>
  <c r="S81" i="6" s="1"/>
  <c r="AA113" i="6"/>
  <c r="AB113" i="6"/>
  <c r="AC177" i="5"/>
  <c r="AC197" i="5"/>
  <c r="AC183" i="5"/>
  <c r="AC156" i="5"/>
  <c r="AC178" i="5"/>
  <c r="AC163" i="5"/>
  <c r="AC171" i="5"/>
  <c r="AC191" i="5"/>
  <c r="AC174" i="5"/>
  <c r="AC202" i="5"/>
  <c r="AC159" i="5"/>
  <c r="AC176" i="5"/>
  <c r="AC199" i="5"/>
  <c r="AC196" i="5"/>
  <c r="AC179" i="5"/>
  <c r="AC175" i="5"/>
  <c r="AC200" i="5"/>
  <c r="AC188" i="5"/>
  <c r="AC168" i="5"/>
  <c r="AC186" i="5"/>
  <c r="AC203" i="5"/>
  <c r="AA270" i="5"/>
  <c r="AB270" i="5"/>
  <c r="AB233" i="5"/>
  <c r="AA233" i="5"/>
  <c r="O219" i="5"/>
  <c r="AD219" i="5" s="1"/>
  <c r="AB267" i="5"/>
  <c r="AA267" i="5"/>
  <c r="AB224" i="5"/>
  <c r="AA224" i="5"/>
  <c r="AB271" i="5"/>
  <c r="AA271" i="5"/>
  <c r="AA226" i="5"/>
  <c r="AB226" i="5"/>
  <c r="AA254" i="5"/>
  <c r="AB254" i="5"/>
  <c r="AB259" i="5"/>
  <c r="AA259" i="5"/>
  <c r="AB245" i="5"/>
  <c r="AA245" i="5"/>
  <c r="AB257" i="5"/>
  <c r="AA257" i="5"/>
  <c r="AA152" i="5"/>
  <c r="AB152" i="5"/>
  <c r="AB234" i="5"/>
  <c r="AA234" i="5"/>
  <c r="AB229" i="5"/>
  <c r="AA229" i="5"/>
  <c r="AB249" i="5"/>
  <c r="AA249" i="5"/>
  <c r="O220" i="5"/>
  <c r="AB231" i="5"/>
  <c r="AA231" i="5"/>
  <c r="AB227" i="5"/>
  <c r="AA227" i="5"/>
  <c r="AB244" i="5"/>
  <c r="AA244" i="5"/>
  <c r="AA258" i="5"/>
  <c r="AB258" i="5"/>
  <c r="AB272" i="5"/>
  <c r="AA272" i="5"/>
  <c r="AA238" i="5"/>
  <c r="AB238" i="5"/>
  <c r="AB265" i="5"/>
  <c r="AA265" i="5"/>
  <c r="AC205" i="5"/>
  <c r="AC193" i="5"/>
  <c r="AC256" i="5"/>
  <c r="AC169" i="5"/>
  <c r="AC173" i="5"/>
  <c r="AD152" i="5"/>
  <c r="P152" i="5"/>
  <c r="R152" i="5" s="1"/>
  <c r="AC241" i="5"/>
  <c r="AC161" i="5"/>
  <c r="AB250" i="5"/>
  <c r="AA250" i="5"/>
  <c r="AB266" i="5"/>
  <c r="AA266" i="5"/>
  <c r="AB240" i="5"/>
  <c r="AA240" i="5"/>
  <c r="AB264" i="5"/>
  <c r="AA264" i="5"/>
  <c r="AB247" i="5"/>
  <c r="AA247" i="5"/>
  <c r="AA221" i="5"/>
  <c r="AB221" i="5"/>
  <c r="AA237" i="5"/>
  <c r="AB237" i="5"/>
  <c r="AB225" i="5"/>
  <c r="AA225" i="5"/>
  <c r="AB153" i="5"/>
  <c r="AA153" i="5"/>
  <c r="AC204" i="5"/>
  <c r="AC85" i="5"/>
  <c r="S85" i="5" s="1"/>
  <c r="AC172" i="5"/>
  <c r="AC195" i="5"/>
  <c r="AC192" i="5"/>
  <c r="AC187" i="5"/>
  <c r="AC182" i="5"/>
  <c r="AC167" i="5"/>
  <c r="AB261" i="5"/>
  <c r="AA261" i="5"/>
  <c r="AA242" i="5"/>
  <c r="AB242" i="5"/>
  <c r="AB243" i="5"/>
  <c r="AA243" i="5"/>
  <c r="AA262" i="5"/>
  <c r="AB262" i="5"/>
  <c r="AA230" i="5"/>
  <c r="AB230" i="5"/>
  <c r="AB228" i="5"/>
  <c r="AA228" i="5"/>
  <c r="AB260" i="5"/>
  <c r="AA260" i="5"/>
  <c r="AA268" i="5"/>
  <c r="AB268" i="5"/>
  <c r="AA246" i="5"/>
  <c r="AB246" i="5"/>
  <c r="AA253" i="5"/>
  <c r="AB253" i="5"/>
  <c r="AB263" i="5"/>
  <c r="AA263" i="5"/>
  <c r="AA236" i="5"/>
  <c r="AB236" i="5"/>
  <c r="AA269" i="5"/>
  <c r="AB269" i="5"/>
  <c r="AB223" i="5"/>
  <c r="AA223" i="5"/>
  <c r="AD153" i="5"/>
  <c r="P153" i="5"/>
  <c r="R153" i="5" s="1"/>
  <c r="AC189" i="5"/>
  <c r="AC185" i="5"/>
  <c r="AC157" i="5"/>
  <c r="AC86" i="5"/>
  <c r="S86" i="5" s="1"/>
  <c r="AC165" i="5"/>
  <c r="AC181" i="5"/>
  <c r="AC69" i="4"/>
  <c r="AB93" i="4"/>
  <c r="AA93" i="4"/>
  <c r="AB94" i="4"/>
  <c r="AA94" i="4"/>
  <c r="AA95" i="4"/>
  <c r="AB95" i="4"/>
  <c r="AC68" i="4"/>
  <c r="AC71" i="4"/>
  <c r="AC73" i="4"/>
  <c r="AB90" i="4"/>
  <c r="AA90" i="4"/>
  <c r="AB92" i="4"/>
  <c r="AA92" i="4"/>
  <c r="AA91" i="4"/>
  <c r="AB91" i="4"/>
  <c r="AB96" i="4"/>
  <c r="AA96" i="4"/>
  <c r="AC74" i="4"/>
  <c r="AC66" i="4"/>
  <c r="AC72" i="4"/>
  <c r="AC70" i="4"/>
  <c r="AA65" i="4"/>
  <c r="AB65" i="4"/>
  <c r="P52" i="4"/>
  <c r="R28" i="4"/>
  <c r="AD65" i="4"/>
  <c r="AD75" i="4" s="1"/>
  <c r="P65" i="4"/>
  <c r="P219" i="5"/>
  <c r="R219" i="5" s="1"/>
  <c r="AA218" i="5"/>
  <c r="AB151" i="5"/>
  <c r="R151" i="5" s="1"/>
  <c r="AA151" i="5"/>
  <c r="S69" i="6"/>
  <c r="G61" i="16"/>
  <c r="N97" i="4"/>
  <c r="N133" i="6"/>
  <c r="N273" i="5"/>
  <c r="AD133" i="6"/>
  <c r="AE133" i="6"/>
  <c r="R69" i="6"/>
  <c r="AE97" i="4"/>
  <c r="S71" i="5"/>
  <c r="P139" i="5"/>
  <c r="O206" i="5"/>
  <c r="AC12" i="9"/>
  <c r="G18" i="10"/>
  <c r="J94" i="19"/>
  <c r="K93" i="19"/>
  <c r="J28" i="13"/>
  <c r="I38" i="16"/>
  <c r="K162" i="7"/>
  <c r="J186" i="7"/>
  <c r="I19" i="13"/>
  <c r="L9" i="7"/>
  <c r="M9" i="7" s="1"/>
  <c r="I99" i="7"/>
  <c r="I8" i="14"/>
  <c r="I11" i="14" s="1"/>
  <c r="J8" i="13"/>
  <c r="H21" i="14"/>
  <c r="H41" i="14" s="1"/>
  <c r="H66" i="14" s="1"/>
  <c r="H15" i="10"/>
  <c r="J13" i="10"/>
  <c r="T84" i="5" l="1"/>
  <c r="L162" i="7"/>
  <c r="G76" i="14"/>
  <c r="H77" i="14"/>
  <c r="G77" i="14"/>
  <c r="F76" i="14"/>
  <c r="F77" i="14"/>
  <c r="F27" i="11"/>
  <c r="F29" i="11" s="1"/>
  <c r="F42" i="11" s="1"/>
  <c r="H76" i="14"/>
  <c r="L53" i="2"/>
  <c r="J50" i="10"/>
  <c r="J24" i="11"/>
  <c r="I76" i="14" s="1"/>
  <c r="G29" i="16"/>
  <c r="H29" i="16"/>
  <c r="G54" i="2"/>
  <c r="J37" i="3"/>
  <c r="T81" i="6"/>
  <c r="AB287" i="5"/>
  <c r="AA291" i="5"/>
  <c r="AB290" i="5"/>
  <c r="AC290" i="5" s="1"/>
  <c r="AD383" i="5"/>
  <c r="AA193" i="6"/>
  <c r="AA330" i="5"/>
  <c r="AC330" i="5" s="1"/>
  <c r="AD356" i="5"/>
  <c r="AD387" i="5"/>
  <c r="AD400" i="5"/>
  <c r="AD361" i="5"/>
  <c r="AD385" i="5"/>
  <c r="AD384" i="5"/>
  <c r="AD394" i="5"/>
  <c r="AD398" i="5"/>
  <c r="AD355" i="5"/>
  <c r="J76" i="14"/>
  <c r="J77" i="14"/>
  <c r="L18" i="3"/>
  <c r="L17" i="3"/>
  <c r="L21" i="3"/>
  <c r="H23" i="3"/>
  <c r="H22" i="3" s="1"/>
  <c r="H54" i="3" s="1"/>
  <c r="J19" i="13"/>
  <c r="K186" i="7"/>
  <c r="K189" i="7" s="1"/>
  <c r="AB309" i="5"/>
  <c r="AC309" i="5" s="1"/>
  <c r="Y340" i="5"/>
  <c r="AA340" i="5" s="1"/>
  <c r="K165" i="3"/>
  <c r="H57" i="16" s="1"/>
  <c r="H61" i="16"/>
  <c r="S210" i="6"/>
  <c r="I210" i="6"/>
  <c r="N210" i="6"/>
  <c r="AD210" i="6" s="1"/>
  <c r="T210" i="6"/>
  <c r="P210" i="6"/>
  <c r="R210" i="6"/>
  <c r="AG358" i="5"/>
  <c r="AH358" i="5" s="1"/>
  <c r="F425" i="5"/>
  <c r="AG425" i="5" s="1"/>
  <c r="AH425" i="5" s="1"/>
  <c r="AF457" i="5"/>
  <c r="Y457" i="5"/>
  <c r="Y192" i="6"/>
  <c r="AF192" i="6"/>
  <c r="H224" i="6"/>
  <c r="T465" i="5"/>
  <c r="S465" i="5"/>
  <c r="P465" i="5"/>
  <c r="N465" i="5"/>
  <c r="I465" i="5"/>
  <c r="R465" i="5"/>
  <c r="O465" i="5"/>
  <c r="AD465" i="5" s="1"/>
  <c r="AM465" i="5"/>
  <c r="T427" i="5"/>
  <c r="S427" i="5"/>
  <c r="P427" i="5"/>
  <c r="I427" i="5"/>
  <c r="N427" i="5"/>
  <c r="R427" i="5"/>
  <c r="O427" i="5"/>
  <c r="AD427" i="5" s="1"/>
  <c r="T442" i="5"/>
  <c r="N442" i="5"/>
  <c r="I442" i="5"/>
  <c r="S442" i="5"/>
  <c r="P442" i="5"/>
  <c r="O442" i="5"/>
  <c r="AD442" i="5" s="1"/>
  <c r="R442" i="5"/>
  <c r="AM442" i="5"/>
  <c r="T368" i="5"/>
  <c r="J435" i="5"/>
  <c r="P368" i="5"/>
  <c r="N368" i="5"/>
  <c r="I368" i="5"/>
  <c r="S368" i="5"/>
  <c r="O368" i="5"/>
  <c r="R368" i="5"/>
  <c r="AM368" i="5"/>
  <c r="T404" i="5"/>
  <c r="S404" i="5"/>
  <c r="J471" i="5"/>
  <c r="P404" i="5"/>
  <c r="N404" i="5"/>
  <c r="I404" i="5"/>
  <c r="R404" i="5"/>
  <c r="O404" i="5"/>
  <c r="AM404" i="5"/>
  <c r="AF406" i="5"/>
  <c r="Y406" i="5"/>
  <c r="H473" i="5"/>
  <c r="AF357" i="5"/>
  <c r="Y357" i="5"/>
  <c r="H424" i="5"/>
  <c r="AF361" i="5"/>
  <c r="Y361" i="5"/>
  <c r="H428" i="5"/>
  <c r="AA368" i="5"/>
  <c r="AB368" i="5"/>
  <c r="AF358" i="5"/>
  <c r="Y358" i="5"/>
  <c r="H425" i="5"/>
  <c r="AA139" i="4"/>
  <c r="AB139" i="4"/>
  <c r="AH340" i="5"/>
  <c r="AF367" i="5"/>
  <c r="Y367" i="5"/>
  <c r="H434" i="5"/>
  <c r="AF388" i="5"/>
  <c r="Y388" i="5"/>
  <c r="H455" i="5"/>
  <c r="AF394" i="5"/>
  <c r="Y394" i="5"/>
  <c r="H461" i="5"/>
  <c r="AD209" i="6"/>
  <c r="AD229" i="6" s="1"/>
  <c r="AA366" i="5"/>
  <c r="AB366" i="5"/>
  <c r="S212" i="6"/>
  <c r="T212" i="6"/>
  <c r="N212" i="6"/>
  <c r="AD212" i="6" s="1"/>
  <c r="I212" i="6"/>
  <c r="P212" i="6"/>
  <c r="R212" i="6"/>
  <c r="S217" i="6"/>
  <c r="T217" i="6"/>
  <c r="N217" i="6"/>
  <c r="AD217" i="6" s="1"/>
  <c r="I217" i="6"/>
  <c r="P217" i="6"/>
  <c r="R217" i="6"/>
  <c r="AF136" i="4"/>
  <c r="Y136" i="4"/>
  <c r="H158" i="4"/>
  <c r="AD364" i="5"/>
  <c r="T431" i="5"/>
  <c r="S431" i="5"/>
  <c r="P431" i="5"/>
  <c r="N431" i="5"/>
  <c r="I431" i="5"/>
  <c r="R431" i="5"/>
  <c r="O431" i="5"/>
  <c r="AD431" i="5" s="1"/>
  <c r="T451" i="5"/>
  <c r="P451" i="5"/>
  <c r="N451" i="5"/>
  <c r="I451" i="5"/>
  <c r="S451" i="5"/>
  <c r="R451" i="5"/>
  <c r="O451" i="5"/>
  <c r="AD451" i="5" s="1"/>
  <c r="T467" i="5"/>
  <c r="N467" i="5"/>
  <c r="I467" i="5"/>
  <c r="S467" i="5"/>
  <c r="P467" i="5"/>
  <c r="O467" i="5"/>
  <c r="AD467" i="5" s="1"/>
  <c r="R467" i="5"/>
  <c r="AM467" i="5"/>
  <c r="AG362" i="5"/>
  <c r="AH362" i="5" s="1"/>
  <c r="F429" i="5"/>
  <c r="AG429" i="5" s="1"/>
  <c r="AH429" i="5" s="1"/>
  <c r="F437" i="5"/>
  <c r="AG437" i="5" s="1"/>
  <c r="AH437" i="5" s="1"/>
  <c r="AG370" i="5"/>
  <c r="AH370" i="5" s="1"/>
  <c r="F461" i="5"/>
  <c r="AG461" i="5" s="1"/>
  <c r="AH461" i="5" s="1"/>
  <c r="AG394" i="5"/>
  <c r="AH394" i="5" s="1"/>
  <c r="T377" i="5"/>
  <c r="J444" i="5"/>
  <c r="R377" i="5"/>
  <c r="N377" i="5"/>
  <c r="I377" i="5"/>
  <c r="P377" i="5"/>
  <c r="S377" i="5"/>
  <c r="O377" i="5"/>
  <c r="AD377" i="5" s="1"/>
  <c r="AM377" i="5"/>
  <c r="K28" i="13"/>
  <c r="J38" i="16"/>
  <c r="AF446" i="5"/>
  <c r="Y446" i="5"/>
  <c r="AF353" i="5"/>
  <c r="Y353" i="5"/>
  <c r="H420" i="5"/>
  <c r="AF399" i="5"/>
  <c r="Y399" i="5"/>
  <c r="H466" i="5"/>
  <c r="AA374" i="5"/>
  <c r="AB374" i="5"/>
  <c r="AF362" i="5"/>
  <c r="Y362" i="5"/>
  <c r="H429" i="5"/>
  <c r="AF160" i="4"/>
  <c r="Y160" i="4"/>
  <c r="AA386" i="5"/>
  <c r="AB386" i="5"/>
  <c r="AA140" i="4"/>
  <c r="AB140" i="4"/>
  <c r="AM451" i="5"/>
  <c r="AF454" i="5"/>
  <c r="Y454" i="5"/>
  <c r="AF359" i="5"/>
  <c r="Y359" i="5"/>
  <c r="H426" i="5"/>
  <c r="Y225" i="6"/>
  <c r="AF225" i="6"/>
  <c r="AF440" i="5"/>
  <c r="Y440" i="5"/>
  <c r="AA390" i="5"/>
  <c r="AB390" i="5"/>
  <c r="Y195" i="6"/>
  <c r="AF195" i="6"/>
  <c r="H227" i="6"/>
  <c r="Y191" i="6"/>
  <c r="AF191" i="6"/>
  <c r="H223" i="6"/>
  <c r="AG406" i="5"/>
  <c r="AH406" i="5" s="1"/>
  <c r="F473" i="5"/>
  <c r="AG473" i="5" s="1"/>
  <c r="AH473" i="5" s="1"/>
  <c r="T472" i="5"/>
  <c r="N472" i="5"/>
  <c r="I472" i="5"/>
  <c r="S472" i="5"/>
  <c r="R472" i="5"/>
  <c r="P472" i="5"/>
  <c r="O472" i="5"/>
  <c r="AD472" i="5" s="1"/>
  <c r="AG395" i="5"/>
  <c r="AH395" i="5" s="1"/>
  <c r="F462" i="5"/>
  <c r="AG462" i="5" s="1"/>
  <c r="AH462" i="5" s="1"/>
  <c r="AG382" i="5"/>
  <c r="AH382" i="5" s="1"/>
  <c r="F449" i="5"/>
  <c r="AG449" i="5" s="1"/>
  <c r="AH449" i="5" s="1"/>
  <c r="AK448" i="5"/>
  <c r="AL448" i="5" s="1"/>
  <c r="AM448" i="5" s="1"/>
  <c r="AI448" i="5"/>
  <c r="AJ448" i="5" s="1"/>
  <c r="F471" i="5"/>
  <c r="AG471" i="5" s="1"/>
  <c r="AH471" i="5" s="1"/>
  <c r="AG404" i="5"/>
  <c r="AH404" i="5" s="1"/>
  <c r="AG381" i="5"/>
  <c r="AH381" i="5" s="1"/>
  <c r="F448" i="5"/>
  <c r="AG448" i="5" s="1"/>
  <c r="AH448" i="5" s="1"/>
  <c r="F436" i="5"/>
  <c r="AG436" i="5" s="1"/>
  <c r="AH436" i="5" s="1"/>
  <c r="AG369" i="5"/>
  <c r="AH369" i="5" s="1"/>
  <c r="T430" i="5"/>
  <c r="S430" i="5"/>
  <c r="R430" i="5"/>
  <c r="P430" i="5"/>
  <c r="N430" i="5"/>
  <c r="I430" i="5"/>
  <c r="O430" i="5"/>
  <c r="AD430" i="5" s="1"/>
  <c r="AM430" i="5"/>
  <c r="T433" i="5"/>
  <c r="P433" i="5"/>
  <c r="N433" i="5"/>
  <c r="I433" i="5"/>
  <c r="S433" i="5"/>
  <c r="R433" i="5"/>
  <c r="O433" i="5"/>
  <c r="AD433" i="5" s="1"/>
  <c r="AM433" i="5"/>
  <c r="T448" i="5"/>
  <c r="N448" i="5"/>
  <c r="I448" i="5"/>
  <c r="S448" i="5"/>
  <c r="P448" i="5"/>
  <c r="R448" i="5"/>
  <c r="O448" i="5"/>
  <c r="AD448" i="5" s="1"/>
  <c r="T371" i="5"/>
  <c r="J438" i="5"/>
  <c r="S371" i="5"/>
  <c r="R371" i="5"/>
  <c r="N371" i="5"/>
  <c r="N407" i="5" s="1"/>
  <c r="P371" i="5"/>
  <c r="I371" i="5"/>
  <c r="O371" i="5"/>
  <c r="AM371" i="5"/>
  <c r="T391" i="5"/>
  <c r="J458" i="5"/>
  <c r="P391" i="5"/>
  <c r="S391" i="5"/>
  <c r="R391" i="5"/>
  <c r="I391" i="5"/>
  <c r="N391" i="5"/>
  <c r="O391" i="5"/>
  <c r="AD391" i="5" s="1"/>
  <c r="AM391" i="5"/>
  <c r="AF397" i="5"/>
  <c r="Y397" i="5"/>
  <c r="H464" i="5"/>
  <c r="AM472" i="5"/>
  <c r="AF354" i="5"/>
  <c r="Y354" i="5"/>
  <c r="H421" i="5"/>
  <c r="AF396" i="5"/>
  <c r="Y396" i="5"/>
  <c r="H463" i="5"/>
  <c r="AM456" i="5"/>
  <c r="AF369" i="5"/>
  <c r="Y369" i="5"/>
  <c r="H436" i="5"/>
  <c r="T464" i="5"/>
  <c r="R464" i="5"/>
  <c r="P464" i="5"/>
  <c r="N464" i="5"/>
  <c r="I464" i="5"/>
  <c r="S464" i="5"/>
  <c r="O464" i="5"/>
  <c r="AM464" i="5"/>
  <c r="AA185" i="6"/>
  <c r="AC185" i="6" s="1"/>
  <c r="AF405" i="5"/>
  <c r="Y405" i="5"/>
  <c r="H472" i="5"/>
  <c r="AF442" i="5"/>
  <c r="Y442" i="5"/>
  <c r="AG187" i="6"/>
  <c r="AH187" i="6" s="1"/>
  <c r="F219" i="6"/>
  <c r="AG219" i="6" s="1"/>
  <c r="AH219" i="6" s="1"/>
  <c r="S221" i="6"/>
  <c r="T221" i="6"/>
  <c r="N221" i="6"/>
  <c r="AD221" i="6" s="1"/>
  <c r="I221" i="6"/>
  <c r="P221" i="6"/>
  <c r="R221" i="6"/>
  <c r="Y178" i="6"/>
  <c r="AB178" i="6" s="1"/>
  <c r="AF178" i="6"/>
  <c r="H210" i="6"/>
  <c r="T402" i="5"/>
  <c r="S402" i="5"/>
  <c r="J469" i="5"/>
  <c r="I402" i="5"/>
  <c r="P402" i="5"/>
  <c r="N402" i="5"/>
  <c r="R402" i="5"/>
  <c r="O402" i="5"/>
  <c r="AM402" i="5"/>
  <c r="AG356" i="5"/>
  <c r="AH356" i="5" s="1"/>
  <c r="F423" i="5"/>
  <c r="AG423" i="5" s="1"/>
  <c r="AH423" i="5" s="1"/>
  <c r="AG352" i="5"/>
  <c r="F419" i="5"/>
  <c r="AG419" i="5" s="1"/>
  <c r="Y181" i="6"/>
  <c r="AB181" i="6" s="1"/>
  <c r="AF181" i="6"/>
  <c r="H213" i="6"/>
  <c r="S224" i="6"/>
  <c r="T224" i="6"/>
  <c r="N224" i="6"/>
  <c r="AD224" i="6" s="1"/>
  <c r="I224" i="6"/>
  <c r="P224" i="6"/>
  <c r="R224" i="6"/>
  <c r="AG390" i="5"/>
  <c r="AH390" i="5" s="1"/>
  <c r="F457" i="5"/>
  <c r="AG457" i="5" s="1"/>
  <c r="AH457" i="5" s="1"/>
  <c r="AG385" i="5"/>
  <c r="AH385" i="5" s="1"/>
  <c r="F452" i="5"/>
  <c r="AG452" i="5" s="1"/>
  <c r="AH452" i="5" s="1"/>
  <c r="AG357" i="5"/>
  <c r="AH357" i="5" s="1"/>
  <c r="F424" i="5"/>
  <c r="AG424" i="5" s="1"/>
  <c r="AH424" i="5" s="1"/>
  <c r="AF389" i="5"/>
  <c r="Y389" i="5"/>
  <c r="H456" i="5"/>
  <c r="AF360" i="5"/>
  <c r="Y360" i="5"/>
  <c r="H427" i="5"/>
  <c r="AF433" i="5"/>
  <c r="Y433" i="5"/>
  <c r="F440" i="5"/>
  <c r="AG440" i="5" s="1"/>
  <c r="AH440" i="5" s="1"/>
  <c r="AG373" i="5"/>
  <c r="AH373" i="5" s="1"/>
  <c r="T452" i="5"/>
  <c r="P452" i="5"/>
  <c r="N452" i="5"/>
  <c r="I452" i="5"/>
  <c r="S452" i="5"/>
  <c r="R452" i="5"/>
  <c r="O452" i="5"/>
  <c r="AD452" i="5" s="1"/>
  <c r="T446" i="5"/>
  <c r="S446" i="5"/>
  <c r="P446" i="5"/>
  <c r="N446" i="5"/>
  <c r="I446" i="5"/>
  <c r="R446" i="5"/>
  <c r="O446" i="5"/>
  <c r="AM446" i="5"/>
  <c r="AG184" i="6"/>
  <c r="AH184" i="6" s="1"/>
  <c r="F216" i="6"/>
  <c r="AG216" i="6" s="1"/>
  <c r="AH216" i="6" s="1"/>
  <c r="AF453" i="5"/>
  <c r="Y453" i="5"/>
  <c r="AF162" i="4"/>
  <c r="Y162" i="4"/>
  <c r="AF370" i="5"/>
  <c r="Y370" i="5"/>
  <c r="H437" i="5"/>
  <c r="AG186" i="6"/>
  <c r="AH186" i="6" s="1"/>
  <c r="F218" i="6"/>
  <c r="AG218" i="6" s="1"/>
  <c r="AH218" i="6" s="1"/>
  <c r="AF355" i="5"/>
  <c r="Y355" i="5"/>
  <c r="H422" i="5"/>
  <c r="AA137" i="4"/>
  <c r="AB137" i="4"/>
  <c r="AF363" i="5"/>
  <c r="Y363" i="5"/>
  <c r="H430" i="5"/>
  <c r="Y179" i="6"/>
  <c r="AF179" i="6"/>
  <c r="H211" i="6"/>
  <c r="S216" i="6"/>
  <c r="T216" i="6"/>
  <c r="N216" i="6"/>
  <c r="AD216" i="6" s="1"/>
  <c r="I216" i="6"/>
  <c r="P216" i="6"/>
  <c r="R216" i="6"/>
  <c r="AG387" i="5"/>
  <c r="AH387" i="5" s="1"/>
  <c r="F454" i="5"/>
  <c r="AG454" i="5" s="1"/>
  <c r="AH454" i="5" s="1"/>
  <c r="AH165" i="6"/>
  <c r="AB111" i="4"/>
  <c r="AC111" i="4" s="1"/>
  <c r="AB156" i="6"/>
  <c r="AC156" i="6" s="1"/>
  <c r="Y119" i="4"/>
  <c r="AF400" i="5"/>
  <c r="Y400" i="5"/>
  <c r="H467" i="5"/>
  <c r="J229" i="6"/>
  <c r="AF460" i="5"/>
  <c r="Y460" i="5"/>
  <c r="AM431" i="5"/>
  <c r="Y188" i="6"/>
  <c r="AF188" i="6"/>
  <c r="H220" i="6"/>
  <c r="AG181" i="6"/>
  <c r="AH181" i="6" s="1"/>
  <c r="F213" i="6"/>
  <c r="AG213" i="6" s="1"/>
  <c r="AH213" i="6" s="1"/>
  <c r="F459" i="5"/>
  <c r="AG459" i="5" s="1"/>
  <c r="AH459" i="5" s="1"/>
  <c r="AG392" i="5"/>
  <c r="AH392" i="5" s="1"/>
  <c r="T454" i="5"/>
  <c r="N454" i="5"/>
  <c r="I454" i="5"/>
  <c r="S454" i="5"/>
  <c r="P454" i="5"/>
  <c r="O454" i="5"/>
  <c r="AD454" i="5" s="1"/>
  <c r="R454" i="5"/>
  <c r="T461" i="5"/>
  <c r="P461" i="5"/>
  <c r="N461" i="5"/>
  <c r="I461" i="5"/>
  <c r="S461" i="5"/>
  <c r="R461" i="5"/>
  <c r="O461" i="5"/>
  <c r="AD461" i="5" s="1"/>
  <c r="AM461" i="5"/>
  <c r="AG177" i="6"/>
  <c r="F209" i="6"/>
  <c r="AG209" i="6" s="1"/>
  <c r="AF402" i="5"/>
  <c r="Y402" i="5"/>
  <c r="H469" i="5"/>
  <c r="AA379" i="5"/>
  <c r="AB379" i="5"/>
  <c r="AF380" i="5"/>
  <c r="Y380" i="5"/>
  <c r="H447" i="5"/>
  <c r="AG360" i="5"/>
  <c r="AH360" i="5" s="1"/>
  <c r="F427" i="5"/>
  <c r="AG427" i="5" s="1"/>
  <c r="AH427" i="5" s="1"/>
  <c r="AD359" i="5"/>
  <c r="T426" i="5"/>
  <c r="R426" i="5"/>
  <c r="P426" i="5"/>
  <c r="I426" i="5"/>
  <c r="S426" i="5"/>
  <c r="N426" i="5"/>
  <c r="O426" i="5"/>
  <c r="AD426" i="5" s="1"/>
  <c r="AG396" i="5"/>
  <c r="AH396" i="5" s="1"/>
  <c r="F463" i="5"/>
  <c r="AG463" i="5" s="1"/>
  <c r="AH463" i="5" s="1"/>
  <c r="AF378" i="5"/>
  <c r="Y378" i="5"/>
  <c r="H445" i="5"/>
  <c r="AF423" i="5"/>
  <c r="Y423" i="5"/>
  <c r="AA138" i="4"/>
  <c r="AB138" i="4"/>
  <c r="AD197" i="6"/>
  <c r="AF444" i="5"/>
  <c r="Y444" i="5"/>
  <c r="AA387" i="5"/>
  <c r="AB387" i="5"/>
  <c r="AD457" i="5"/>
  <c r="AA373" i="5"/>
  <c r="AB373" i="5"/>
  <c r="AG179" i="6"/>
  <c r="AH179" i="6" s="1"/>
  <c r="F211" i="6"/>
  <c r="AG211" i="6" s="1"/>
  <c r="AH211" i="6" s="1"/>
  <c r="Y196" i="6"/>
  <c r="AF196" i="6"/>
  <c r="H228" i="6"/>
  <c r="N419" i="5"/>
  <c r="AD360" i="5"/>
  <c r="T423" i="5"/>
  <c r="P423" i="5"/>
  <c r="N423" i="5"/>
  <c r="I423" i="5"/>
  <c r="S423" i="5"/>
  <c r="R423" i="5"/>
  <c r="O423" i="5"/>
  <c r="AD423" i="5" s="1"/>
  <c r="AD393" i="5"/>
  <c r="T367" i="5"/>
  <c r="J434" i="5"/>
  <c r="S367" i="5"/>
  <c r="R367" i="5"/>
  <c r="N367" i="5"/>
  <c r="P367" i="5"/>
  <c r="I367" i="5"/>
  <c r="O367" i="5"/>
  <c r="AD367" i="5" s="1"/>
  <c r="AM367" i="5"/>
  <c r="AD365" i="5"/>
  <c r="O386" i="5"/>
  <c r="J453" i="5"/>
  <c r="P386" i="5"/>
  <c r="S386" i="5"/>
  <c r="N386" i="5"/>
  <c r="T386" i="5"/>
  <c r="R386" i="5"/>
  <c r="I386" i="5"/>
  <c r="AM386" i="5"/>
  <c r="T449" i="5"/>
  <c r="R449" i="5"/>
  <c r="P449" i="5"/>
  <c r="I449" i="5"/>
  <c r="S449" i="5"/>
  <c r="N449" i="5"/>
  <c r="O449" i="5"/>
  <c r="AD449" i="5" s="1"/>
  <c r="AF449" i="5"/>
  <c r="Y449" i="5"/>
  <c r="AF132" i="4"/>
  <c r="Y132" i="4"/>
  <c r="H154" i="4"/>
  <c r="AD399" i="5"/>
  <c r="F438" i="5"/>
  <c r="AG438" i="5" s="1"/>
  <c r="AH438" i="5" s="1"/>
  <c r="AG371" i="5"/>
  <c r="AH371" i="5" s="1"/>
  <c r="AG388" i="5"/>
  <c r="AH388" i="5" s="1"/>
  <c r="F455" i="5"/>
  <c r="AG455" i="5" s="1"/>
  <c r="AH455" i="5" s="1"/>
  <c r="Y217" i="6"/>
  <c r="AB217" i="6" s="1"/>
  <c r="AF217" i="6"/>
  <c r="AF392" i="5"/>
  <c r="Y392" i="5"/>
  <c r="H459" i="5"/>
  <c r="AF471" i="5"/>
  <c r="Y471" i="5"/>
  <c r="AA375" i="5"/>
  <c r="AB375" i="5"/>
  <c r="Y180" i="6"/>
  <c r="AF180" i="6"/>
  <c r="H212" i="6"/>
  <c r="Y183" i="6"/>
  <c r="AF183" i="6"/>
  <c r="H215" i="6"/>
  <c r="S213" i="6"/>
  <c r="T213" i="6"/>
  <c r="I213" i="6"/>
  <c r="N213" i="6"/>
  <c r="AD213" i="6" s="1"/>
  <c r="R213" i="6"/>
  <c r="P213" i="6"/>
  <c r="F441" i="5"/>
  <c r="AG441" i="5" s="1"/>
  <c r="AH441" i="5" s="1"/>
  <c r="AG374" i="5"/>
  <c r="AH374" i="5" s="1"/>
  <c r="T362" i="5"/>
  <c r="J429" i="5"/>
  <c r="P362" i="5"/>
  <c r="N362" i="5"/>
  <c r="I362" i="5"/>
  <c r="S362" i="5"/>
  <c r="R362" i="5"/>
  <c r="O362" i="5"/>
  <c r="AD362" i="5" s="1"/>
  <c r="AM362" i="5"/>
  <c r="AF391" i="5"/>
  <c r="Y391" i="5"/>
  <c r="H458" i="5"/>
  <c r="AD403" i="5"/>
  <c r="T450" i="5"/>
  <c r="S450" i="5"/>
  <c r="P450" i="5"/>
  <c r="I450" i="5"/>
  <c r="N450" i="5"/>
  <c r="R450" i="5"/>
  <c r="O450" i="5"/>
  <c r="AM450" i="5"/>
  <c r="Y184" i="6"/>
  <c r="AF184" i="6"/>
  <c r="H216" i="6"/>
  <c r="S222" i="6"/>
  <c r="N222" i="6"/>
  <c r="AD222" i="6" s="1"/>
  <c r="I222" i="6"/>
  <c r="T222" i="6"/>
  <c r="P222" i="6"/>
  <c r="R222" i="6"/>
  <c r="AF383" i="5"/>
  <c r="Y383" i="5"/>
  <c r="H450" i="5"/>
  <c r="S215" i="6"/>
  <c r="N215" i="6"/>
  <c r="AD215" i="6" s="1"/>
  <c r="I215" i="6"/>
  <c r="T215" i="6"/>
  <c r="R215" i="6"/>
  <c r="P215" i="6"/>
  <c r="Y182" i="6"/>
  <c r="AB182" i="6" s="1"/>
  <c r="AF182" i="6"/>
  <c r="H214" i="6"/>
  <c r="AG379" i="5"/>
  <c r="AH379" i="5" s="1"/>
  <c r="F446" i="5"/>
  <c r="AG446" i="5" s="1"/>
  <c r="AH446" i="5" s="1"/>
  <c r="AF441" i="5"/>
  <c r="Y441" i="5"/>
  <c r="AA381" i="5"/>
  <c r="AB381" i="5"/>
  <c r="AA403" i="5"/>
  <c r="AB403" i="5"/>
  <c r="S226" i="6"/>
  <c r="N226" i="6"/>
  <c r="AD226" i="6" s="1"/>
  <c r="I226" i="6"/>
  <c r="T226" i="6"/>
  <c r="P226" i="6"/>
  <c r="R226" i="6"/>
  <c r="AF134" i="4"/>
  <c r="Y134" i="4"/>
  <c r="H156" i="4"/>
  <c r="R432" i="5"/>
  <c r="T432" i="5"/>
  <c r="S432" i="5"/>
  <c r="I432" i="5"/>
  <c r="P432" i="5"/>
  <c r="N432" i="5"/>
  <c r="O432" i="5"/>
  <c r="AD432" i="5" s="1"/>
  <c r="AM432" i="5"/>
  <c r="AG377" i="5"/>
  <c r="AH377" i="5" s="1"/>
  <c r="F444" i="5"/>
  <c r="AG444" i="5" s="1"/>
  <c r="AH444" i="5" s="1"/>
  <c r="AG376" i="5"/>
  <c r="AH376" i="5" s="1"/>
  <c r="F443" i="5"/>
  <c r="AG443" i="5" s="1"/>
  <c r="AH443" i="5" s="1"/>
  <c r="AF385" i="5"/>
  <c r="Y385" i="5"/>
  <c r="H452" i="5"/>
  <c r="Y194" i="6"/>
  <c r="AB194" i="6" s="1"/>
  <c r="AF194" i="6"/>
  <c r="H226" i="6"/>
  <c r="AF135" i="4"/>
  <c r="Y135" i="4"/>
  <c r="H157" i="4"/>
  <c r="T372" i="5"/>
  <c r="S372" i="5"/>
  <c r="J439" i="5"/>
  <c r="N372" i="5"/>
  <c r="P372" i="5"/>
  <c r="I372" i="5"/>
  <c r="O372" i="5"/>
  <c r="R372" i="5"/>
  <c r="AM372" i="5"/>
  <c r="AG165" i="6"/>
  <c r="AF395" i="5"/>
  <c r="Y395" i="5"/>
  <c r="H462" i="5"/>
  <c r="N163" i="4"/>
  <c r="AD153" i="4"/>
  <c r="AD163" i="4" s="1"/>
  <c r="AD443" i="5"/>
  <c r="AA393" i="5"/>
  <c r="AB393" i="5"/>
  <c r="R218" i="6"/>
  <c r="T218" i="6"/>
  <c r="I218" i="6"/>
  <c r="S218" i="6"/>
  <c r="N218" i="6"/>
  <c r="AD218" i="6" s="1"/>
  <c r="P218" i="6"/>
  <c r="Y187" i="6"/>
  <c r="AF187" i="6"/>
  <c r="H219" i="6"/>
  <c r="Y190" i="6"/>
  <c r="AB190" i="6" s="1"/>
  <c r="AF190" i="6"/>
  <c r="H222" i="6"/>
  <c r="T447" i="5"/>
  <c r="N447" i="5"/>
  <c r="I447" i="5"/>
  <c r="S447" i="5"/>
  <c r="R447" i="5"/>
  <c r="P447" i="5"/>
  <c r="O447" i="5"/>
  <c r="T456" i="5"/>
  <c r="R456" i="5"/>
  <c r="P456" i="5"/>
  <c r="I456" i="5"/>
  <c r="S456" i="5"/>
  <c r="N456" i="5"/>
  <c r="O456" i="5"/>
  <c r="AD456" i="5" s="1"/>
  <c r="T437" i="5"/>
  <c r="N437" i="5"/>
  <c r="I437" i="5"/>
  <c r="S437" i="5"/>
  <c r="R437" i="5"/>
  <c r="P437" i="5"/>
  <c r="O437" i="5"/>
  <c r="AD437" i="5" s="1"/>
  <c r="F470" i="5"/>
  <c r="AG470" i="5" s="1"/>
  <c r="AH470" i="5" s="1"/>
  <c r="AG403" i="5"/>
  <c r="AH403" i="5" s="1"/>
  <c r="AG354" i="5"/>
  <c r="AH354" i="5" s="1"/>
  <c r="F421" i="5"/>
  <c r="AG421" i="5" s="1"/>
  <c r="AH421" i="5" s="1"/>
  <c r="F445" i="5"/>
  <c r="AG445" i="5" s="1"/>
  <c r="AH445" i="5" s="1"/>
  <c r="AG378" i="5"/>
  <c r="AH378" i="5" s="1"/>
  <c r="T428" i="5"/>
  <c r="N428" i="5"/>
  <c r="I428" i="5"/>
  <c r="S428" i="5"/>
  <c r="P428" i="5"/>
  <c r="R428" i="5"/>
  <c r="O428" i="5"/>
  <c r="AD428" i="5" s="1"/>
  <c r="AM428" i="5"/>
  <c r="T401" i="5"/>
  <c r="S401" i="5"/>
  <c r="J468" i="5"/>
  <c r="J474" i="5" s="1"/>
  <c r="N401" i="5"/>
  <c r="P401" i="5"/>
  <c r="R401" i="5"/>
  <c r="I401" i="5"/>
  <c r="O401" i="5"/>
  <c r="AD401" i="5" s="1"/>
  <c r="AM401" i="5"/>
  <c r="AF384" i="5"/>
  <c r="Y384" i="5"/>
  <c r="H451" i="5"/>
  <c r="R219" i="6"/>
  <c r="T219" i="6"/>
  <c r="S219" i="6"/>
  <c r="N219" i="6"/>
  <c r="AD219" i="6" s="1"/>
  <c r="I219" i="6"/>
  <c r="P219" i="6"/>
  <c r="Y189" i="6"/>
  <c r="AB189" i="6" s="1"/>
  <c r="AF189" i="6"/>
  <c r="H221" i="6"/>
  <c r="AF398" i="5"/>
  <c r="Y398" i="5"/>
  <c r="H465" i="5"/>
  <c r="AF448" i="5"/>
  <c r="Y448" i="5"/>
  <c r="AF470" i="5"/>
  <c r="Y470" i="5"/>
  <c r="AA356" i="5"/>
  <c r="AB356" i="5"/>
  <c r="AF401" i="5"/>
  <c r="Y401" i="5"/>
  <c r="H468" i="5"/>
  <c r="N197" i="6"/>
  <c r="AM437" i="5"/>
  <c r="AM427" i="5"/>
  <c r="AA377" i="5"/>
  <c r="AB377" i="5"/>
  <c r="AD424" i="5"/>
  <c r="AC193" i="6"/>
  <c r="S225" i="6"/>
  <c r="I225" i="6"/>
  <c r="T225" i="6"/>
  <c r="N225" i="6"/>
  <c r="AD225" i="6" s="1"/>
  <c r="P225" i="6"/>
  <c r="R225" i="6"/>
  <c r="AG196" i="6"/>
  <c r="AH196" i="6" s="1"/>
  <c r="F228" i="6"/>
  <c r="AG228" i="6" s="1"/>
  <c r="AH228" i="6" s="1"/>
  <c r="AG361" i="5"/>
  <c r="AH361" i="5" s="1"/>
  <c r="F428" i="5"/>
  <c r="AG428" i="5" s="1"/>
  <c r="AH428" i="5" s="1"/>
  <c r="AG401" i="5"/>
  <c r="AH401" i="5" s="1"/>
  <c r="F468" i="5"/>
  <c r="AG468" i="5" s="1"/>
  <c r="AH468" i="5" s="1"/>
  <c r="J407" i="5"/>
  <c r="J60" i="14" s="1"/>
  <c r="R436" i="5"/>
  <c r="P436" i="5"/>
  <c r="N436" i="5"/>
  <c r="I436" i="5"/>
  <c r="T436" i="5"/>
  <c r="S436" i="5"/>
  <c r="O436" i="5"/>
  <c r="AD436" i="5" s="1"/>
  <c r="AM436" i="5"/>
  <c r="F464" i="5"/>
  <c r="AG464" i="5" s="1"/>
  <c r="AH464" i="5" s="1"/>
  <c r="AG397" i="5"/>
  <c r="AH397" i="5" s="1"/>
  <c r="F465" i="5"/>
  <c r="AG465" i="5" s="1"/>
  <c r="AH465" i="5" s="1"/>
  <c r="AG398" i="5"/>
  <c r="AH398" i="5" s="1"/>
  <c r="F434" i="5"/>
  <c r="AG434" i="5" s="1"/>
  <c r="AH434" i="5" s="1"/>
  <c r="AG367" i="5"/>
  <c r="AH367" i="5" s="1"/>
  <c r="AD375" i="5"/>
  <c r="AG405" i="5"/>
  <c r="AH405" i="5" s="1"/>
  <c r="F472" i="5"/>
  <c r="AG472" i="5" s="1"/>
  <c r="AH472" i="5" s="1"/>
  <c r="AG380" i="5"/>
  <c r="AH380" i="5" s="1"/>
  <c r="F447" i="5"/>
  <c r="AG447" i="5" s="1"/>
  <c r="AH447" i="5" s="1"/>
  <c r="T460" i="5"/>
  <c r="N460" i="5"/>
  <c r="I460" i="5"/>
  <c r="S460" i="5"/>
  <c r="R460" i="5"/>
  <c r="P460" i="5"/>
  <c r="O460" i="5"/>
  <c r="AD388" i="5"/>
  <c r="T455" i="5"/>
  <c r="R455" i="5"/>
  <c r="P455" i="5"/>
  <c r="I455" i="5"/>
  <c r="S455" i="5"/>
  <c r="N455" i="5"/>
  <c r="O455" i="5"/>
  <c r="AM455" i="5"/>
  <c r="AD366" i="5"/>
  <c r="AD381" i="5"/>
  <c r="T378" i="5"/>
  <c r="J445" i="5"/>
  <c r="S378" i="5"/>
  <c r="N378" i="5"/>
  <c r="I378" i="5"/>
  <c r="P378" i="5"/>
  <c r="O378" i="5"/>
  <c r="R378" i="5"/>
  <c r="AM378" i="5"/>
  <c r="T373" i="5"/>
  <c r="P373" i="5"/>
  <c r="N373" i="5"/>
  <c r="I373" i="5"/>
  <c r="J440" i="5"/>
  <c r="R373" i="5"/>
  <c r="S373" i="5"/>
  <c r="O373" i="5"/>
  <c r="AM373" i="5"/>
  <c r="AF376" i="5"/>
  <c r="Y376" i="5"/>
  <c r="H443" i="5"/>
  <c r="AA382" i="5"/>
  <c r="AB382" i="5"/>
  <c r="AF364" i="5"/>
  <c r="Y364" i="5"/>
  <c r="H431" i="5"/>
  <c r="T466" i="5"/>
  <c r="N466" i="5"/>
  <c r="I466" i="5"/>
  <c r="S466" i="5"/>
  <c r="R466" i="5"/>
  <c r="P466" i="5"/>
  <c r="O466" i="5"/>
  <c r="AF372" i="5"/>
  <c r="Y372" i="5"/>
  <c r="H439" i="5"/>
  <c r="AF365" i="5"/>
  <c r="Y365" i="5"/>
  <c r="H432" i="5"/>
  <c r="AD420" i="5"/>
  <c r="AF159" i="4"/>
  <c r="Y159" i="4"/>
  <c r="AF435" i="5"/>
  <c r="Y435" i="5"/>
  <c r="AF371" i="5"/>
  <c r="Y371" i="5"/>
  <c r="H438" i="5"/>
  <c r="AD441" i="5"/>
  <c r="AF161" i="4"/>
  <c r="Y161" i="4"/>
  <c r="AA404" i="5"/>
  <c r="AB404" i="5"/>
  <c r="Y186" i="6"/>
  <c r="AB186" i="6" s="1"/>
  <c r="AF186" i="6"/>
  <c r="H218" i="6"/>
  <c r="S211" i="6"/>
  <c r="N211" i="6"/>
  <c r="AD211" i="6" s="1"/>
  <c r="I211" i="6"/>
  <c r="T211" i="6"/>
  <c r="R211" i="6"/>
  <c r="P211" i="6"/>
  <c r="P229" i="6" s="1"/>
  <c r="AF133" i="4"/>
  <c r="Y133" i="4"/>
  <c r="H155" i="4"/>
  <c r="T462" i="5"/>
  <c r="N462" i="5"/>
  <c r="I462" i="5"/>
  <c r="S462" i="5"/>
  <c r="R462" i="5"/>
  <c r="P462" i="5"/>
  <c r="O462" i="5"/>
  <c r="AD462" i="5" s="1"/>
  <c r="T422" i="5"/>
  <c r="P422" i="5"/>
  <c r="N422" i="5"/>
  <c r="I422" i="5"/>
  <c r="S422" i="5"/>
  <c r="R422" i="5"/>
  <c r="O422" i="5"/>
  <c r="AD422" i="5" s="1"/>
  <c r="F433" i="5"/>
  <c r="AG433" i="5" s="1"/>
  <c r="AH433" i="5" s="1"/>
  <c r="AG366" i="5"/>
  <c r="AH366" i="5" s="1"/>
  <c r="AG402" i="5"/>
  <c r="AH402" i="5" s="1"/>
  <c r="F469" i="5"/>
  <c r="AG469" i="5" s="1"/>
  <c r="AH469" i="5" s="1"/>
  <c r="AG383" i="5"/>
  <c r="AH383" i="5" s="1"/>
  <c r="F450" i="5"/>
  <c r="AG450" i="5" s="1"/>
  <c r="AH450" i="5" s="1"/>
  <c r="T470" i="5"/>
  <c r="R470" i="5"/>
  <c r="P470" i="5"/>
  <c r="N470" i="5"/>
  <c r="S470" i="5"/>
  <c r="I470" i="5"/>
  <c r="O470" i="5"/>
  <c r="AD470" i="5" s="1"/>
  <c r="AM470" i="5"/>
  <c r="AF177" i="6"/>
  <c r="H209" i="6"/>
  <c r="AG355" i="5"/>
  <c r="AH355" i="5" s="1"/>
  <c r="F422" i="5"/>
  <c r="AG422" i="5" s="1"/>
  <c r="AH422" i="5" s="1"/>
  <c r="F432" i="5"/>
  <c r="AG432" i="5" s="1"/>
  <c r="AH432" i="5" s="1"/>
  <c r="AG365" i="5"/>
  <c r="AH365" i="5" s="1"/>
  <c r="AM419" i="5"/>
  <c r="H64" i="16"/>
  <c r="G36" i="13"/>
  <c r="G40" i="13" s="1"/>
  <c r="M14" i="3"/>
  <c r="J21" i="14"/>
  <c r="J41" i="14" s="1"/>
  <c r="J66" i="14" s="1"/>
  <c r="J11" i="14"/>
  <c r="K68" i="11"/>
  <c r="M189" i="7"/>
  <c r="AD293" i="5"/>
  <c r="P218" i="5"/>
  <c r="I131" i="4"/>
  <c r="Y131" i="4" s="1"/>
  <c r="AB109" i="4"/>
  <c r="AC109" i="4" s="1"/>
  <c r="S109" i="4" s="1"/>
  <c r="S119" i="4" s="1"/>
  <c r="I177" i="6"/>
  <c r="Y165" i="6"/>
  <c r="AD299" i="5"/>
  <c r="AC248" i="5"/>
  <c r="AC255" i="5"/>
  <c r="AD319" i="5"/>
  <c r="AC235" i="5"/>
  <c r="AC239" i="5"/>
  <c r="AC232" i="5"/>
  <c r="AA251" i="5"/>
  <c r="AC251" i="5" s="1"/>
  <c r="AB222" i="5"/>
  <c r="AC222" i="5" s="1"/>
  <c r="I352" i="5"/>
  <c r="J59" i="10"/>
  <c r="K16" i="10" s="1"/>
  <c r="K59" i="10" s="1"/>
  <c r="J29" i="10"/>
  <c r="J57" i="10"/>
  <c r="K14" i="10" s="1"/>
  <c r="K57" i="10" s="1"/>
  <c r="G61" i="10"/>
  <c r="H15" i="12" s="1"/>
  <c r="H17" i="12" s="1"/>
  <c r="F35" i="16" s="1"/>
  <c r="AB110" i="4"/>
  <c r="AC110" i="4" s="1"/>
  <c r="AC252" i="5"/>
  <c r="AC118" i="6"/>
  <c r="AC150" i="6"/>
  <c r="S52" i="4"/>
  <c r="P165" i="6"/>
  <c r="N165" i="6"/>
  <c r="AA151" i="6"/>
  <c r="AB151" i="6"/>
  <c r="AA157" i="6"/>
  <c r="AB157" i="6"/>
  <c r="AA154" i="6"/>
  <c r="AB154" i="6"/>
  <c r="I61" i="16"/>
  <c r="AA158" i="6"/>
  <c r="AB158" i="6"/>
  <c r="AA163" i="6"/>
  <c r="AB163" i="6"/>
  <c r="AA147" i="6"/>
  <c r="AB147" i="6"/>
  <c r="AB145" i="6"/>
  <c r="AA160" i="6"/>
  <c r="AB160" i="6"/>
  <c r="AA161" i="6"/>
  <c r="AB161" i="6"/>
  <c r="AB146" i="6"/>
  <c r="AA146" i="6"/>
  <c r="AA148" i="6"/>
  <c r="AB148" i="6"/>
  <c r="AA149" i="6"/>
  <c r="AB149" i="6"/>
  <c r="AA155" i="6"/>
  <c r="AB155" i="6"/>
  <c r="AA159" i="6"/>
  <c r="AB159" i="6"/>
  <c r="AA162" i="6"/>
  <c r="AB162" i="6"/>
  <c r="AA164" i="6"/>
  <c r="AB164" i="6"/>
  <c r="AA153" i="6"/>
  <c r="AB153" i="6"/>
  <c r="AB152" i="6"/>
  <c r="AA152" i="6"/>
  <c r="AD298" i="5"/>
  <c r="AD314" i="5"/>
  <c r="AD306" i="5"/>
  <c r="AD328" i="5"/>
  <c r="AC286" i="5"/>
  <c r="AD326" i="5"/>
  <c r="AC307" i="5"/>
  <c r="AD302" i="5"/>
  <c r="AD337" i="5"/>
  <c r="AD295" i="5"/>
  <c r="AD303" i="5"/>
  <c r="AC323" i="5"/>
  <c r="AD294" i="5"/>
  <c r="AD310" i="5"/>
  <c r="AD338" i="5"/>
  <c r="AD322" i="5"/>
  <c r="AD312" i="5"/>
  <c r="AD317" i="5"/>
  <c r="AD292" i="5"/>
  <c r="AC115" i="4"/>
  <c r="AC118" i="4"/>
  <c r="AC116" i="4"/>
  <c r="F37" i="14"/>
  <c r="AA114" i="4"/>
  <c r="AB114" i="4"/>
  <c r="H115" i="3"/>
  <c r="H43" i="14"/>
  <c r="I59" i="16"/>
  <c r="AB113" i="4"/>
  <c r="AA113" i="4"/>
  <c r="AC117" i="4"/>
  <c r="AA112" i="4"/>
  <c r="AB112" i="4"/>
  <c r="O285" i="5"/>
  <c r="AD289" i="5"/>
  <c r="N340" i="5"/>
  <c r="AD332" i="5"/>
  <c r="AC329" i="5"/>
  <c r="AB324" i="5"/>
  <c r="AA324" i="5"/>
  <c r="AB338" i="5"/>
  <c r="AA338" i="5"/>
  <c r="AA320" i="5"/>
  <c r="AB320" i="5"/>
  <c r="AD296" i="5"/>
  <c r="AA296" i="5"/>
  <c r="AB296" i="5"/>
  <c r="AD301" i="5"/>
  <c r="AA326" i="5"/>
  <c r="AB326" i="5"/>
  <c r="AA319" i="5"/>
  <c r="AB319" i="5"/>
  <c r="AD327" i="5"/>
  <c r="AD334" i="5"/>
  <c r="AB302" i="5"/>
  <c r="AA302" i="5"/>
  <c r="AC325" i="5"/>
  <c r="AC339" i="5"/>
  <c r="AD288" i="5"/>
  <c r="AA299" i="5"/>
  <c r="AB299" i="5"/>
  <c r="AD315" i="5"/>
  <c r="AA314" i="5"/>
  <c r="AB314" i="5"/>
  <c r="AA311" i="5"/>
  <c r="AB311" i="5"/>
  <c r="AD304" i="5"/>
  <c r="AA306" i="5"/>
  <c r="AB306" i="5"/>
  <c r="AD324" i="5"/>
  <c r="AB295" i="5"/>
  <c r="AA295" i="5"/>
  <c r="AD313" i="5"/>
  <c r="AD318" i="5"/>
  <c r="AA317" i="5"/>
  <c r="AB317" i="5"/>
  <c r="AD336" i="5"/>
  <c r="AB316" i="5"/>
  <c r="AA316" i="5"/>
  <c r="AC291" i="5"/>
  <c r="AD331" i="5"/>
  <c r="AB301" i="5"/>
  <c r="AA301" i="5"/>
  <c r="AA321" i="5"/>
  <c r="AB321" i="5"/>
  <c r="AA294" i="5"/>
  <c r="AB294" i="5"/>
  <c r="AA335" i="5"/>
  <c r="AB335" i="5"/>
  <c r="AB328" i="5"/>
  <c r="AA328" i="5"/>
  <c r="AA313" i="5"/>
  <c r="AB313" i="5"/>
  <c r="AA318" i="5"/>
  <c r="AB318" i="5"/>
  <c r="AB312" i="5"/>
  <c r="AA312" i="5"/>
  <c r="AA336" i="5"/>
  <c r="AB336" i="5"/>
  <c r="AD316" i="5"/>
  <c r="AD320" i="5"/>
  <c r="I60" i="16"/>
  <c r="AB297" i="5"/>
  <c r="AA297" i="5"/>
  <c r="AD297" i="5"/>
  <c r="AC287" i="5"/>
  <c r="AB289" i="5"/>
  <c r="AA289" i="5"/>
  <c r="AD300" i="5"/>
  <c r="AD321" i="5"/>
  <c r="AB334" i="5"/>
  <c r="AA334" i="5"/>
  <c r="AB288" i="5"/>
  <c r="AA288" i="5"/>
  <c r="AD335" i="5"/>
  <c r="AB315" i="5"/>
  <c r="AA315" i="5"/>
  <c r="AD311" i="5"/>
  <c r="AA304" i="5"/>
  <c r="AB304" i="5"/>
  <c r="AB305" i="5"/>
  <c r="AA305" i="5"/>
  <c r="AB292" i="5"/>
  <c r="AA292" i="5"/>
  <c r="AB308" i="5"/>
  <c r="AA308" i="5"/>
  <c r="AA298" i="5"/>
  <c r="AB298" i="5"/>
  <c r="AA300" i="5"/>
  <c r="AB300" i="5"/>
  <c r="AB337" i="5"/>
  <c r="AA337" i="5"/>
  <c r="AB333" i="5"/>
  <c r="AA333" i="5"/>
  <c r="AB327" i="5"/>
  <c r="AA327" i="5"/>
  <c r="AB310" i="5"/>
  <c r="AA310" i="5"/>
  <c r="AB322" i="5"/>
  <c r="AA322" i="5"/>
  <c r="AB303" i="5"/>
  <c r="AA303" i="5"/>
  <c r="AB332" i="5"/>
  <c r="AA332" i="5"/>
  <c r="AB331" i="5"/>
  <c r="AA331" i="5"/>
  <c r="AB293" i="5"/>
  <c r="AA293" i="5"/>
  <c r="AC88" i="4"/>
  <c r="AC236" i="5"/>
  <c r="AC253" i="5"/>
  <c r="AC268" i="5"/>
  <c r="AC262" i="5"/>
  <c r="AC242" i="5"/>
  <c r="AC121" i="6"/>
  <c r="AC91" i="4"/>
  <c r="AC90" i="4"/>
  <c r="AC120" i="6"/>
  <c r="J189" i="7"/>
  <c r="H68" i="11"/>
  <c r="J68" i="11"/>
  <c r="AC129" i="6"/>
  <c r="R65" i="4"/>
  <c r="R75" i="4" s="1"/>
  <c r="AC225" i="5"/>
  <c r="AC264" i="5"/>
  <c r="AC266" i="5"/>
  <c r="AC231" i="5"/>
  <c r="AC259" i="5"/>
  <c r="AC226" i="5"/>
  <c r="AC270" i="5"/>
  <c r="R113" i="6"/>
  <c r="AC126" i="6"/>
  <c r="AC131" i="6"/>
  <c r="AC124" i="6"/>
  <c r="AC123" i="6"/>
  <c r="AC115" i="6"/>
  <c r="AC125" i="6"/>
  <c r="AC130" i="6"/>
  <c r="AC128" i="6"/>
  <c r="AC132" i="6"/>
  <c r="AC116" i="6"/>
  <c r="AC114" i="6"/>
  <c r="AC122" i="6"/>
  <c r="AC117" i="6"/>
  <c r="AC113" i="6"/>
  <c r="S113" i="6" s="1"/>
  <c r="S133" i="6" s="1"/>
  <c r="AC240" i="5"/>
  <c r="AC250" i="5"/>
  <c r="AC153" i="5"/>
  <c r="AC269" i="5"/>
  <c r="AC263" i="5"/>
  <c r="AC246" i="5"/>
  <c r="AC230" i="5"/>
  <c r="AC243" i="5"/>
  <c r="AC238" i="5"/>
  <c r="AC258" i="5"/>
  <c r="AC227" i="5"/>
  <c r="AC152" i="5"/>
  <c r="AC254" i="5"/>
  <c r="AC271" i="5"/>
  <c r="AC267" i="5"/>
  <c r="S153" i="5"/>
  <c r="AA220" i="5"/>
  <c r="AB220" i="5"/>
  <c r="AC260" i="5"/>
  <c r="AC261" i="5"/>
  <c r="T85" i="5"/>
  <c r="AC237" i="5"/>
  <c r="AC247" i="5"/>
  <c r="P220" i="5"/>
  <c r="R220" i="5" s="1"/>
  <c r="AD220" i="5"/>
  <c r="AC229" i="5"/>
  <c r="AC245" i="5"/>
  <c r="AC233" i="5"/>
  <c r="T86" i="5"/>
  <c r="S152" i="5"/>
  <c r="AA219" i="5"/>
  <c r="AB219" i="5"/>
  <c r="AC223" i="5"/>
  <c r="AC228" i="5"/>
  <c r="AC221" i="5"/>
  <c r="AC265" i="5"/>
  <c r="AC272" i="5"/>
  <c r="AC244" i="5"/>
  <c r="AC249" i="5"/>
  <c r="AC234" i="5"/>
  <c r="AC257" i="5"/>
  <c r="AC224" i="5"/>
  <c r="AC95" i="4"/>
  <c r="AC96" i="4"/>
  <c r="AC94" i="4"/>
  <c r="AC65" i="4"/>
  <c r="S65" i="4" s="1"/>
  <c r="S75" i="4" s="1"/>
  <c r="AC92" i="4"/>
  <c r="AC93" i="4"/>
  <c r="T42" i="4"/>
  <c r="T52" i="4" s="1"/>
  <c r="P75" i="4"/>
  <c r="AD87" i="4"/>
  <c r="AD97" i="4" s="1"/>
  <c r="P87" i="4"/>
  <c r="AA87" i="4"/>
  <c r="AB87" i="4"/>
  <c r="AC151" i="5"/>
  <c r="S151" i="5" s="1"/>
  <c r="T151" i="5" s="1"/>
  <c r="AB218" i="5"/>
  <c r="AC218" i="5" s="1"/>
  <c r="S101" i="6"/>
  <c r="P133" i="6"/>
  <c r="T69" i="6"/>
  <c r="R101" i="6"/>
  <c r="S139" i="5"/>
  <c r="O273" i="5"/>
  <c r="AB71" i="5"/>
  <c r="AC71" i="5" s="1"/>
  <c r="P206" i="5"/>
  <c r="G60" i="16"/>
  <c r="F44" i="14"/>
  <c r="G62" i="14"/>
  <c r="G68" i="14" s="1"/>
  <c r="F60" i="16"/>
  <c r="J95" i="19"/>
  <c r="K94" i="19"/>
  <c r="K54" i="2"/>
  <c r="I186" i="7"/>
  <c r="I162" i="7"/>
  <c r="G19" i="13"/>
  <c r="H186" i="7"/>
  <c r="I21" i="14"/>
  <c r="I41" i="14" s="1"/>
  <c r="I66" i="14" s="1"/>
  <c r="H18" i="10"/>
  <c r="H58" i="10"/>
  <c r="J56" i="10"/>
  <c r="K13" i="10" s="1"/>
  <c r="I15" i="7" l="1"/>
  <c r="K15" i="7"/>
  <c r="J15" i="7"/>
  <c r="M15" i="7"/>
  <c r="L15" i="7"/>
  <c r="I77" i="14"/>
  <c r="F17" i="13"/>
  <c r="F30" i="13" s="1"/>
  <c r="F48" i="13" s="1"/>
  <c r="F51" i="13" s="1"/>
  <c r="G32" i="12"/>
  <c r="G36" i="12" s="1"/>
  <c r="G57" i="12" s="1"/>
  <c r="G22" i="12" s="1"/>
  <c r="G11" i="13" s="1"/>
  <c r="I29" i="16"/>
  <c r="I54" i="2"/>
  <c r="I33" i="14"/>
  <c r="K37" i="3"/>
  <c r="L37" i="3"/>
  <c r="J23" i="3"/>
  <c r="J22" i="3" s="1"/>
  <c r="J54" i="3" s="1"/>
  <c r="AC137" i="4"/>
  <c r="AC140" i="4"/>
  <c r="AD386" i="5"/>
  <c r="I68" i="11"/>
  <c r="M17" i="3"/>
  <c r="M21" i="3"/>
  <c r="M18" i="3"/>
  <c r="I153" i="4"/>
  <c r="Y153" i="4" s="1"/>
  <c r="AA153" i="4" s="1"/>
  <c r="K23" i="3"/>
  <c r="K22" i="3" s="1"/>
  <c r="K54" i="3" s="1"/>
  <c r="AC382" i="5"/>
  <c r="AC377" i="5"/>
  <c r="AC356" i="5"/>
  <c r="AC387" i="5"/>
  <c r="AC403" i="5"/>
  <c r="AC375" i="5"/>
  <c r="AC139" i="4"/>
  <c r="AC404" i="5"/>
  <c r="AA189" i="6"/>
  <c r="AC189" i="6" s="1"/>
  <c r="AC390" i="5"/>
  <c r="AA194" i="6"/>
  <c r="AA182" i="6"/>
  <c r="AC379" i="5"/>
  <c r="L165" i="3"/>
  <c r="I57" i="16" s="1"/>
  <c r="AF209" i="6"/>
  <c r="AA133" i="4"/>
  <c r="AB133" i="4"/>
  <c r="AA435" i="5"/>
  <c r="AB435" i="5"/>
  <c r="AF439" i="5"/>
  <c r="Y439" i="5"/>
  <c r="AA448" i="5"/>
  <c r="AB448" i="5"/>
  <c r="AA384" i="5"/>
  <c r="AB384" i="5"/>
  <c r="AA187" i="6"/>
  <c r="AB187" i="6"/>
  <c r="AF462" i="5"/>
  <c r="Y462" i="5"/>
  <c r="AF452" i="5"/>
  <c r="Y452" i="5"/>
  <c r="AA391" i="5"/>
  <c r="AB391" i="5"/>
  <c r="AA180" i="6"/>
  <c r="AB180" i="6"/>
  <c r="AA196" i="6"/>
  <c r="AB196" i="6"/>
  <c r="AA444" i="5"/>
  <c r="AB444" i="5"/>
  <c r="AA378" i="5"/>
  <c r="AB378" i="5"/>
  <c r="AA402" i="5"/>
  <c r="AB402" i="5"/>
  <c r="AA179" i="6"/>
  <c r="AB179" i="6"/>
  <c r="AA370" i="5"/>
  <c r="AB370" i="5"/>
  <c r="AA453" i="5"/>
  <c r="AB453" i="5"/>
  <c r="AA360" i="5"/>
  <c r="AB360" i="5"/>
  <c r="AA389" i="5"/>
  <c r="AB389" i="5"/>
  <c r="T469" i="5"/>
  <c r="S469" i="5"/>
  <c r="I469" i="5"/>
  <c r="N469" i="5"/>
  <c r="P469" i="5"/>
  <c r="O469" i="5"/>
  <c r="AD469" i="5" s="1"/>
  <c r="R469" i="5"/>
  <c r="AM469" i="5"/>
  <c r="AF421" i="5"/>
  <c r="Y421" i="5"/>
  <c r="AF464" i="5"/>
  <c r="Y464" i="5"/>
  <c r="AA195" i="6"/>
  <c r="AB195" i="6"/>
  <c r="AA359" i="5"/>
  <c r="AB359" i="5"/>
  <c r="AA362" i="5"/>
  <c r="AB362" i="5"/>
  <c r="AF466" i="5"/>
  <c r="Y466" i="5"/>
  <c r="AA353" i="5"/>
  <c r="AB353" i="5"/>
  <c r="AF158" i="4"/>
  <c r="Y158" i="4"/>
  <c r="AA394" i="5"/>
  <c r="AB394" i="5"/>
  <c r="AA358" i="5"/>
  <c r="AB358" i="5"/>
  <c r="AF424" i="5"/>
  <c r="Y424" i="5"/>
  <c r="AA406" i="5"/>
  <c r="AB406" i="5"/>
  <c r="T471" i="5"/>
  <c r="S471" i="5"/>
  <c r="P471" i="5"/>
  <c r="N471" i="5"/>
  <c r="I471" i="5"/>
  <c r="O471" i="5"/>
  <c r="AD471" i="5" s="1"/>
  <c r="R471" i="5"/>
  <c r="AM471" i="5"/>
  <c r="I209" i="6"/>
  <c r="AF438" i="5"/>
  <c r="Y438" i="5"/>
  <c r="AF432" i="5"/>
  <c r="Y432" i="5"/>
  <c r="AA372" i="5"/>
  <c r="AB372" i="5"/>
  <c r="AD378" i="5"/>
  <c r="J60" i="16"/>
  <c r="I44" i="14"/>
  <c r="J44" i="14" s="1"/>
  <c r="J62" i="14"/>
  <c r="AF468" i="5"/>
  <c r="Y468" i="5"/>
  <c r="Y221" i="6"/>
  <c r="AF221" i="6"/>
  <c r="AA190" i="6"/>
  <c r="AC190" i="6" s="1"/>
  <c r="AA395" i="5"/>
  <c r="AB395" i="5"/>
  <c r="AF157" i="4"/>
  <c r="Y157" i="4"/>
  <c r="AA385" i="5"/>
  <c r="AB385" i="5"/>
  <c r="AA184" i="6"/>
  <c r="AB184" i="6"/>
  <c r="AC184" i="6" s="1"/>
  <c r="T429" i="5"/>
  <c r="N429" i="5"/>
  <c r="I429" i="5"/>
  <c r="P429" i="5"/>
  <c r="S429" i="5"/>
  <c r="R429" i="5"/>
  <c r="O429" i="5"/>
  <c r="AD429" i="5" s="1"/>
  <c r="AM429" i="5"/>
  <c r="AA183" i="6"/>
  <c r="AB183" i="6"/>
  <c r="AF459" i="5"/>
  <c r="Y459" i="5"/>
  <c r="AA132" i="4"/>
  <c r="AB132" i="4"/>
  <c r="R434" i="5"/>
  <c r="S434" i="5"/>
  <c r="I434" i="5"/>
  <c r="P434" i="5"/>
  <c r="T434" i="5"/>
  <c r="O434" i="5"/>
  <c r="N434" i="5"/>
  <c r="AM434" i="5"/>
  <c r="AA423" i="5"/>
  <c r="AB423" i="5"/>
  <c r="AA188" i="6"/>
  <c r="AB188" i="6"/>
  <c r="AF430" i="5"/>
  <c r="Y430" i="5"/>
  <c r="AD446" i="5"/>
  <c r="AA433" i="5"/>
  <c r="AB433" i="5"/>
  <c r="AA181" i="6"/>
  <c r="AC181" i="6" s="1"/>
  <c r="AF472" i="5"/>
  <c r="Y472" i="5"/>
  <c r="AF436" i="5"/>
  <c r="Y436" i="5"/>
  <c r="AF463" i="5"/>
  <c r="Y463" i="5"/>
  <c r="AA354" i="5"/>
  <c r="AB354" i="5"/>
  <c r="AC354" i="5" s="1"/>
  <c r="AA397" i="5"/>
  <c r="AB397" i="5"/>
  <c r="AD371" i="5"/>
  <c r="AA191" i="6"/>
  <c r="AB191" i="6"/>
  <c r="AA160" i="4"/>
  <c r="AB160" i="4"/>
  <c r="AA399" i="5"/>
  <c r="AB399" i="5"/>
  <c r="T444" i="5"/>
  <c r="S444" i="5"/>
  <c r="I444" i="5"/>
  <c r="N444" i="5"/>
  <c r="P444" i="5"/>
  <c r="R444" i="5"/>
  <c r="O444" i="5"/>
  <c r="AM444" i="5"/>
  <c r="AA136" i="4"/>
  <c r="AB136" i="4"/>
  <c r="N229" i="6"/>
  <c r="AF434" i="5"/>
  <c r="Y434" i="5"/>
  <c r="AF428" i="5"/>
  <c r="Y428" i="5"/>
  <c r="AA357" i="5"/>
  <c r="AB357" i="5"/>
  <c r="AD368" i="5"/>
  <c r="AA192" i="6"/>
  <c r="AB192" i="6"/>
  <c r="Y177" i="6"/>
  <c r="Y197" i="6" s="1"/>
  <c r="AA161" i="4"/>
  <c r="AB161" i="4"/>
  <c r="AC161" i="4" s="1"/>
  <c r="AA371" i="5"/>
  <c r="AB371" i="5"/>
  <c r="AA159" i="4"/>
  <c r="AB159" i="4"/>
  <c r="AC159" i="4" s="1"/>
  <c r="AA365" i="5"/>
  <c r="AB365" i="5"/>
  <c r="AF431" i="5"/>
  <c r="Y431" i="5"/>
  <c r="T440" i="5"/>
  <c r="S440" i="5"/>
  <c r="P440" i="5"/>
  <c r="N440" i="5"/>
  <c r="I440" i="5"/>
  <c r="R440" i="5"/>
  <c r="O440" i="5"/>
  <c r="AM440" i="5"/>
  <c r="T445" i="5"/>
  <c r="R445" i="5"/>
  <c r="P445" i="5"/>
  <c r="N445" i="5"/>
  <c r="S445" i="5"/>
  <c r="I445" i="5"/>
  <c r="O445" i="5"/>
  <c r="AM445" i="5"/>
  <c r="AA401" i="5"/>
  <c r="AB401" i="5"/>
  <c r="AA470" i="5"/>
  <c r="AB470" i="5"/>
  <c r="AF465" i="5"/>
  <c r="Y465" i="5"/>
  <c r="Y222" i="6"/>
  <c r="AF222" i="6"/>
  <c r="Y219" i="6"/>
  <c r="AF219" i="6"/>
  <c r="AD372" i="5"/>
  <c r="T439" i="5"/>
  <c r="S439" i="5"/>
  <c r="R439" i="5"/>
  <c r="P439" i="5"/>
  <c r="N439" i="5"/>
  <c r="I439" i="5"/>
  <c r="O439" i="5"/>
  <c r="AM439" i="5"/>
  <c r="AA135" i="4"/>
  <c r="AB135" i="4"/>
  <c r="AC194" i="6"/>
  <c r="AC381" i="5"/>
  <c r="AC182" i="6"/>
  <c r="AF450" i="5"/>
  <c r="Y450" i="5"/>
  <c r="Y212" i="6"/>
  <c r="AF212" i="6"/>
  <c r="AA392" i="5"/>
  <c r="AB392" i="5"/>
  <c r="AA217" i="6"/>
  <c r="AC217" i="6" s="1"/>
  <c r="Y228" i="6"/>
  <c r="AF228" i="6"/>
  <c r="AF447" i="5"/>
  <c r="Y447" i="5"/>
  <c r="AG229" i="6"/>
  <c r="AH209" i="6"/>
  <c r="AH229" i="6" s="1"/>
  <c r="AF467" i="5"/>
  <c r="Y467" i="5"/>
  <c r="Y211" i="6"/>
  <c r="AB211" i="6" s="1"/>
  <c r="AF211" i="6"/>
  <c r="AA363" i="5"/>
  <c r="AB363" i="5"/>
  <c r="AF422" i="5"/>
  <c r="Y422" i="5"/>
  <c r="AA162" i="4"/>
  <c r="AB162" i="4"/>
  <c r="Y213" i="6"/>
  <c r="AF213" i="6"/>
  <c r="AH419" i="5"/>
  <c r="AH474" i="5" s="1"/>
  <c r="AG474" i="5"/>
  <c r="AA178" i="6"/>
  <c r="AC178" i="6" s="1"/>
  <c r="AA405" i="5"/>
  <c r="AB405" i="5"/>
  <c r="AD464" i="5"/>
  <c r="AA369" i="5"/>
  <c r="AB369" i="5"/>
  <c r="AA396" i="5"/>
  <c r="AB396" i="5"/>
  <c r="T458" i="5"/>
  <c r="P458" i="5"/>
  <c r="N458" i="5"/>
  <c r="I458" i="5"/>
  <c r="R458" i="5"/>
  <c r="S458" i="5"/>
  <c r="O458" i="5"/>
  <c r="AD458" i="5" s="1"/>
  <c r="AM458" i="5"/>
  <c r="Y227" i="6"/>
  <c r="AB227" i="6" s="1"/>
  <c r="AF227" i="6"/>
  <c r="AA225" i="6"/>
  <c r="AB225" i="6"/>
  <c r="AA454" i="5"/>
  <c r="AB454" i="5"/>
  <c r="AC374" i="5"/>
  <c r="AA446" i="5"/>
  <c r="AB446" i="5"/>
  <c r="AF455" i="5"/>
  <c r="Y455" i="5"/>
  <c r="AA367" i="5"/>
  <c r="AB367" i="5"/>
  <c r="AA361" i="5"/>
  <c r="AB361" i="5"/>
  <c r="T435" i="5"/>
  <c r="P435" i="5"/>
  <c r="N435" i="5"/>
  <c r="N474" i="5" s="1"/>
  <c r="I435" i="5"/>
  <c r="R435" i="5"/>
  <c r="S435" i="5"/>
  <c r="O435" i="5"/>
  <c r="AD435" i="5" s="1"/>
  <c r="AM435" i="5"/>
  <c r="AA457" i="5"/>
  <c r="AB457" i="5"/>
  <c r="Y218" i="6"/>
  <c r="AF218" i="6"/>
  <c r="AA376" i="5"/>
  <c r="AB376" i="5"/>
  <c r="T468" i="5"/>
  <c r="S468" i="5"/>
  <c r="R468" i="5"/>
  <c r="I468" i="5"/>
  <c r="N468" i="5"/>
  <c r="P468" i="5"/>
  <c r="O468" i="5"/>
  <c r="AM468" i="5"/>
  <c r="Y226" i="6"/>
  <c r="AF226" i="6"/>
  <c r="AA134" i="4"/>
  <c r="AB134" i="4"/>
  <c r="AA441" i="5"/>
  <c r="AB441" i="5"/>
  <c r="Y214" i="6"/>
  <c r="AF214" i="6"/>
  <c r="AF154" i="4"/>
  <c r="Y154" i="4"/>
  <c r="S218" i="5"/>
  <c r="Y141" i="4"/>
  <c r="AF155" i="4"/>
  <c r="Y155" i="4"/>
  <c r="AA186" i="6"/>
  <c r="AC186" i="6" s="1"/>
  <c r="AD466" i="5"/>
  <c r="AA364" i="5"/>
  <c r="AB364" i="5"/>
  <c r="AF443" i="5"/>
  <c r="Y443" i="5"/>
  <c r="AD373" i="5"/>
  <c r="AD455" i="5"/>
  <c r="AD460" i="5"/>
  <c r="AA398" i="5"/>
  <c r="AB398" i="5"/>
  <c r="AF451" i="5"/>
  <c r="Y451" i="5"/>
  <c r="AD447" i="5"/>
  <c r="AC393" i="5"/>
  <c r="AF156" i="4"/>
  <c r="Y156" i="4"/>
  <c r="AA383" i="5"/>
  <c r="AB383" i="5"/>
  <c r="Y216" i="6"/>
  <c r="AF216" i="6"/>
  <c r="AD450" i="5"/>
  <c r="AF458" i="5"/>
  <c r="Y458" i="5"/>
  <c r="Y215" i="6"/>
  <c r="AB215" i="6" s="1"/>
  <c r="AF215" i="6"/>
  <c r="AA471" i="5"/>
  <c r="AB471" i="5"/>
  <c r="AA449" i="5"/>
  <c r="AB449" i="5"/>
  <c r="T453" i="5"/>
  <c r="N453" i="5"/>
  <c r="I453" i="5"/>
  <c r="S453" i="5"/>
  <c r="R453" i="5"/>
  <c r="P453" i="5"/>
  <c r="O453" i="5"/>
  <c r="AD453" i="5" s="1"/>
  <c r="AM453" i="5"/>
  <c r="AC373" i="5"/>
  <c r="AC138" i="4"/>
  <c r="AF445" i="5"/>
  <c r="Y445" i="5"/>
  <c r="AA380" i="5"/>
  <c r="AB380" i="5"/>
  <c r="AF469" i="5"/>
  <c r="Y469" i="5"/>
  <c r="AH177" i="6"/>
  <c r="AH197" i="6" s="1"/>
  <c r="AG197" i="6"/>
  <c r="Y220" i="6"/>
  <c r="AB220" i="6" s="1"/>
  <c r="AF220" i="6"/>
  <c r="AA460" i="5"/>
  <c r="AB460" i="5"/>
  <c r="AA400" i="5"/>
  <c r="AB400" i="5"/>
  <c r="AA355" i="5"/>
  <c r="AB355" i="5"/>
  <c r="AF437" i="5"/>
  <c r="Y437" i="5"/>
  <c r="AF427" i="5"/>
  <c r="Y427" i="5"/>
  <c r="AF456" i="5"/>
  <c r="Y456" i="5"/>
  <c r="AG407" i="5"/>
  <c r="AH352" i="5"/>
  <c r="AH407" i="5" s="1"/>
  <c r="AD402" i="5"/>
  <c r="Y210" i="6"/>
  <c r="AF210" i="6"/>
  <c r="AA442" i="5"/>
  <c r="AB442" i="5"/>
  <c r="N438" i="5"/>
  <c r="P438" i="5"/>
  <c r="S438" i="5"/>
  <c r="O438" i="5"/>
  <c r="AD438" i="5" s="1"/>
  <c r="R438" i="5"/>
  <c r="I438" i="5"/>
  <c r="T438" i="5"/>
  <c r="AM438" i="5"/>
  <c r="Y223" i="6"/>
  <c r="AB223" i="6" s="1"/>
  <c r="AF223" i="6"/>
  <c r="AA440" i="5"/>
  <c r="AB440" i="5"/>
  <c r="AF426" i="5"/>
  <c r="Y426" i="5"/>
  <c r="AC386" i="5"/>
  <c r="AF429" i="5"/>
  <c r="Y429" i="5"/>
  <c r="AF420" i="5"/>
  <c r="Y420" i="5"/>
  <c r="AC366" i="5"/>
  <c r="AF461" i="5"/>
  <c r="Y461" i="5"/>
  <c r="AA388" i="5"/>
  <c r="AB388" i="5"/>
  <c r="AF425" i="5"/>
  <c r="Y425" i="5"/>
  <c r="AC368" i="5"/>
  <c r="AF473" i="5"/>
  <c r="Y473" i="5"/>
  <c r="AD404" i="5"/>
  <c r="Y224" i="6"/>
  <c r="AF224" i="6"/>
  <c r="R109" i="4"/>
  <c r="T109" i="4" s="1"/>
  <c r="T119" i="4" s="1"/>
  <c r="L115" i="3" s="1"/>
  <c r="Y352" i="5"/>
  <c r="AB131" i="4"/>
  <c r="AA131" i="4"/>
  <c r="AA145" i="6"/>
  <c r="AC145" i="6" s="1"/>
  <c r="S145" i="6" s="1"/>
  <c r="S165" i="6" s="1"/>
  <c r="I419" i="5"/>
  <c r="Y419" i="5" s="1"/>
  <c r="AC313" i="5"/>
  <c r="AC335" i="5"/>
  <c r="AC321" i="5"/>
  <c r="AC306" i="5"/>
  <c r="AC299" i="5"/>
  <c r="O352" i="5"/>
  <c r="AD352" i="5" s="1"/>
  <c r="G37" i="14"/>
  <c r="I64" i="16"/>
  <c r="J36" i="13"/>
  <c r="J40" i="13" s="1"/>
  <c r="K56" i="10"/>
  <c r="AC114" i="4"/>
  <c r="AC163" i="6"/>
  <c r="AC157" i="6"/>
  <c r="AC147" i="6"/>
  <c r="AC158" i="6"/>
  <c r="AC151" i="6"/>
  <c r="R145" i="6"/>
  <c r="AC164" i="6"/>
  <c r="AC159" i="6"/>
  <c r="AC149" i="6"/>
  <c r="AC160" i="6"/>
  <c r="AC154" i="6"/>
  <c r="I117" i="3"/>
  <c r="I162" i="3" s="1"/>
  <c r="F56" i="14" s="1"/>
  <c r="AC152" i="6"/>
  <c r="AC146" i="6"/>
  <c r="AC153" i="6"/>
  <c r="AC162" i="6"/>
  <c r="AC155" i="6"/>
  <c r="AC148" i="6"/>
  <c r="AC161" i="6"/>
  <c r="AC331" i="5"/>
  <c r="AC327" i="5"/>
  <c r="AC337" i="5"/>
  <c r="AC292" i="5"/>
  <c r="AC334" i="5"/>
  <c r="AC289" i="5"/>
  <c r="AC297" i="5"/>
  <c r="AC293" i="5"/>
  <c r="AC332" i="5"/>
  <c r="AC310" i="5"/>
  <c r="AC333" i="5"/>
  <c r="AC308" i="5"/>
  <c r="AC305" i="5"/>
  <c r="AC288" i="5"/>
  <c r="AC338" i="5"/>
  <c r="AC336" i="5"/>
  <c r="AC318" i="5"/>
  <c r="AC294" i="5"/>
  <c r="AC295" i="5"/>
  <c r="AC302" i="5"/>
  <c r="AC296" i="5"/>
  <c r="AC324" i="5"/>
  <c r="AC113" i="4"/>
  <c r="AC112" i="4"/>
  <c r="I115" i="3"/>
  <c r="I160" i="3" s="1"/>
  <c r="F54" i="14" s="1"/>
  <c r="AD285" i="5"/>
  <c r="P285" i="5"/>
  <c r="O340" i="5"/>
  <c r="AA285" i="5"/>
  <c r="AB285" i="5"/>
  <c r="AC303" i="5"/>
  <c r="AC300" i="5"/>
  <c r="AC328" i="5"/>
  <c r="AC301" i="5"/>
  <c r="AC316" i="5"/>
  <c r="AC311" i="5"/>
  <c r="AC326" i="5"/>
  <c r="AC322" i="5"/>
  <c r="AC298" i="5"/>
  <c r="AC304" i="5"/>
  <c r="AC315" i="5"/>
  <c r="AC312" i="5"/>
  <c r="AC317" i="5"/>
  <c r="AC314" i="5"/>
  <c r="AC319" i="5"/>
  <c r="AC320" i="5"/>
  <c r="H37" i="14"/>
  <c r="F36" i="14"/>
  <c r="F56" i="16" s="1"/>
  <c r="F42" i="14"/>
  <c r="I189" i="7"/>
  <c r="G68" i="11"/>
  <c r="H189" i="7"/>
  <c r="F68" i="11"/>
  <c r="R87" i="4"/>
  <c r="R97" i="4" s="1"/>
  <c r="R218" i="5"/>
  <c r="AC220" i="5"/>
  <c r="T113" i="6"/>
  <c r="T133" i="6" s="1"/>
  <c r="K117" i="3" s="1"/>
  <c r="T153" i="5"/>
  <c r="T152" i="5"/>
  <c r="AC219" i="5"/>
  <c r="S219" i="5" s="1"/>
  <c r="T219" i="5" s="1"/>
  <c r="S220" i="5"/>
  <c r="AC87" i="4"/>
  <c r="S87" i="4" s="1"/>
  <c r="S97" i="4" s="1"/>
  <c r="P97" i="4"/>
  <c r="T65" i="4"/>
  <c r="T75" i="4" s="1"/>
  <c r="J115" i="3" s="1"/>
  <c r="R133" i="6"/>
  <c r="T101" i="6"/>
  <c r="P273" i="5"/>
  <c r="S206" i="5"/>
  <c r="G36" i="14" s="1"/>
  <c r="G56" i="16" s="1"/>
  <c r="R139" i="5"/>
  <c r="AB139" i="5"/>
  <c r="AC139" i="5" s="1"/>
  <c r="T71" i="5"/>
  <c r="H116" i="3" s="1"/>
  <c r="R71" i="5"/>
  <c r="G44" i="14"/>
  <c r="H62" i="14"/>
  <c r="H68" i="14" s="1"/>
  <c r="K95" i="19"/>
  <c r="J96" i="19"/>
  <c r="I15" i="10"/>
  <c r="H61" i="10"/>
  <c r="I15" i="12" s="1"/>
  <c r="F49" i="13" l="1"/>
  <c r="G23" i="12"/>
  <c r="F52" i="13" s="1"/>
  <c r="J54" i="2"/>
  <c r="J59" i="3"/>
  <c r="J68" i="3" s="1"/>
  <c r="AB153" i="4"/>
  <c r="R153" i="4" s="1"/>
  <c r="AC470" i="5"/>
  <c r="T218" i="5"/>
  <c r="AC394" i="5"/>
  <c r="AC353" i="5"/>
  <c r="AC362" i="5"/>
  <c r="AC195" i="6"/>
  <c r="AC360" i="5"/>
  <c r="AC370" i="5"/>
  <c r="AC402" i="5"/>
  <c r="AC444" i="5"/>
  <c r="AC180" i="6"/>
  <c r="AB177" i="6"/>
  <c r="R177" i="6" s="1"/>
  <c r="AA177" i="6"/>
  <c r="L23" i="3"/>
  <c r="L22" i="3" s="1"/>
  <c r="L54" i="3" s="1"/>
  <c r="M165" i="3"/>
  <c r="J57" i="16" s="1"/>
  <c r="AC380" i="5"/>
  <c r="AC471" i="5"/>
  <c r="AC192" i="6"/>
  <c r="AA220" i="6"/>
  <c r="AC220" i="6" s="1"/>
  <c r="AC399" i="5"/>
  <c r="AC191" i="6"/>
  <c r="AA227" i="6"/>
  <c r="AC227" i="6" s="1"/>
  <c r="AC162" i="4"/>
  <c r="AC363" i="5"/>
  <c r="AC433" i="5"/>
  <c r="AC187" i="6"/>
  <c r="AC448" i="5"/>
  <c r="AC355" i="5"/>
  <c r="AC460" i="5"/>
  <c r="AC357" i="5"/>
  <c r="AC397" i="5"/>
  <c r="AC188" i="6"/>
  <c r="AC132" i="4"/>
  <c r="AC441" i="5"/>
  <c r="AC361" i="5"/>
  <c r="AC396" i="5"/>
  <c r="AA211" i="6"/>
  <c r="AC211" i="6" s="1"/>
  <c r="AC398" i="5"/>
  <c r="AC454" i="5"/>
  <c r="AC405" i="5"/>
  <c r="AC406" i="5"/>
  <c r="AC358" i="5"/>
  <c r="AC384" i="5"/>
  <c r="AC133" i="4"/>
  <c r="AA425" i="5"/>
  <c r="AB425" i="5"/>
  <c r="AA426" i="5"/>
  <c r="AB426" i="5"/>
  <c r="AA427" i="5"/>
  <c r="AB427" i="5"/>
  <c r="AA455" i="5"/>
  <c r="AB455" i="5"/>
  <c r="AA228" i="6"/>
  <c r="AB228" i="6"/>
  <c r="AA468" i="5"/>
  <c r="AB468" i="5"/>
  <c r="Y474" i="5"/>
  <c r="AA473" i="5"/>
  <c r="AB473" i="5"/>
  <c r="AA429" i="5"/>
  <c r="AB429" i="5"/>
  <c r="AA215" i="6"/>
  <c r="AC215" i="6" s="1"/>
  <c r="AA156" i="4"/>
  <c r="AB156" i="4"/>
  <c r="AA451" i="5"/>
  <c r="AB451" i="5"/>
  <c r="AA443" i="5"/>
  <c r="AB443" i="5"/>
  <c r="AA226" i="6"/>
  <c r="AB226" i="6"/>
  <c r="AA218" i="6"/>
  <c r="AB218" i="6"/>
  <c r="AA467" i="5"/>
  <c r="AB467" i="5"/>
  <c r="AA447" i="5"/>
  <c r="AB447" i="5"/>
  <c r="AA212" i="6"/>
  <c r="AB212" i="6"/>
  <c r="AA222" i="6"/>
  <c r="AB222" i="6"/>
  <c r="AD445" i="5"/>
  <c r="AD440" i="5"/>
  <c r="AA459" i="5"/>
  <c r="AB459" i="5"/>
  <c r="AA157" i="4"/>
  <c r="AB157" i="4"/>
  <c r="AA452" i="5"/>
  <c r="AB452" i="5"/>
  <c r="AA461" i="5"/>
  <c r="AB461" i="5"/>
  <c r="AA154" i="4"/>
  <c r="AB154" i="4"/>
  <c r="AA463" i="5"/>
  <c r="AB463" i="5"/>
  <c r="AA424" i="5"/>
  <c r="AB424" i="5"/>
  <c r="AC388" i="5"/>
  <c r="AC440" i="5"/>
  <c r="AA223" i="6"/>
  <c r="AC223" i="6" s="1"/>
  <c r="AA210" i="6"/>
  <c r="AB210" i="6"/>
  <c r="AA456" i="5"/>
  <c r="AB456" i="5"/>
  <c r="AA437" i="5"/>
  <c r="AB437" i="5"/>
  <c r="AC400" i="5"/>
  <c r="AA458" i="5"/>
  <c r="AB458" i="5"/>
  <c r="AA216" i="6"/>
  <c r="AB216" i="6"/>
  <c r="Y163" i="4"/>
  <c r="AC134" i="4"/>
  <c r="AC376" i="5"/>
  <c r="AC457" i="5"/>
  <c r="AC367" i="5"/>
  <c r="AC446" i="5"/>
  <c r="AC369" i="5"/>
  <c r="AA422" i="5"/>
  <c r="AB422" i="5"/>
  <c r="AC392" i="5"/>
  <c r="AA450" i="5"/>
  <c r="AB450" i="5"/>
  <c r="AD439" i="5"/>
  <c r="AA465" i="5"/>
  <c r="AB465" i="5"/>
  <c r="AC401" i="5"/>
  <c r="AC365" i="5"/>
  <c r="AC371" i="5"/>
  <c r="AA428" i="5"/>
  <c r="AB428" i="5"/>
  <c r="AD444" i="5"/>
  <c r="AA436" i="5"/>
  <c r="AB436" i="5"/>
  <c r="I42" i="14"/>
  <c r="J42" i="14" s="1"/>
  <c r="J68" i="14"/>
  <c r="AC372" i="5"/>
  <c r="AA438" i="5"/>
  <c r="AB438" i="5"/>
  <c r="AA158" i="4"/>
  <c r="AB158" i="4"/>
  <c r="AA466" i="5"/>
  <c r="AB466" i="5"/>
  <c r="AC359" i="5"/>
  <c r="AA464" i="5"/>
  <c r="AB464" i="5"/>
  <c r="AC435" i="5"/>
  <c r="AA431" i="5"/>
  <c r="AB431" i="5"/>
  <c r="AA434" i="5"/>
  <c r="AB434" i="5"/>
  <c r="AA472" i="5"/>
  <c r="AB472" i="5"/>
  <c r="AA432" i="5"/>
  <c r="AB432" i="5"/>
  <c r="AA421" i="5"/>
  <c r="AB421" i="5"/>
  <c r="AA439" i="5"/>
  <c r="AB439" i="5"/>
  <c r="AA224" i="6"/>
  <c r="AB224" i="6"/>
  <c r="AA420" i="5"/>
  <c r="AB420" i="5"/>
  <c r="AC442" i="5"/>
  <c r="AA469" i="5"/>
  <c r="AB469" i="5"/>
  <c r="AA445" i="5"/>
  <c r="AB445" i="5"/>
  <c r="AC449" i="5"/>
  <c r="AC383" i="5"/>
  <c r="AC364" i="5"/>
  <c r="AA155" i="4"/>
  <c r="AB155" i="4"/>
  <c r="AA214" i="6"/>
  <c r="AB214" i="6"/>
  <c r="AD468" i="5"/>
  <c r="AC225" i="6"/>
  <c r="AA213" i="6"/>
  <c r="AB213" i="6"/>
  <c r="AC135" i="4"/>
  <c r="AA219" i="6"/>
  <c r="AB219" i="6"/>
  <c r="AC136" i="4"/>
  <c r="AC160" i="4"/>
  <c r="AA430" i="5"/>
  <c r="AB430" i="5"/>
  <c r="AC430" i="5" s="1"/>
  <c r="AC423" i="5"/>
  <c r="AD434" i="5"/>
  <c r="AC183" i="6"/>
  <c r="AC385" i="5"/>
  <c r="AC395" i="5"/>
  <c r="AA221" i="6"/>
  <c r="AB221" i="6"/>
  <c r="AC389" i="5"/>
  <c r="AC453" i="5"/>
  <c r="AC179" i="6"/>
  <c r="AC378" i="5"/>
  <c r="AC196" i="6"/>
  <c r="AC391" i="5"/>
  <c r="AA462" i="5"/>
  <c r="AB462" i="5"/>
  <c r="Y209" i="6"/>
  <c r="Y229" i="6" s="1"/>
  <c r="H118" i="3"/>
  <c r="H134" i="3"/>
  <c r="R119" i="4"/>
  <c r="P352" i="5"/>
  <c r="P407" i="5" s="1"/>
  <c r="O407" i="5"/>
  <c r="Y407" i="5"/>
  <c r="AA352" i="5"/>
  <c r="AB352" i="5"/>
  <c r="AC153" i="4"/>
  <c r="S153" i="4" s="1"/>
  <c r="S163" i="4" s="1"/>
  <c r="R131" i="4"/>
  <c r="AC131" i="4"/>
  <c r="S131" i="4" s="1"/>
  <c r="S141" i="4" s="1"/>
  <c r="O419" i="5"/>
  <c r="T145" i="6"/>
  <c r="T165" i="6" s="1"/>
  <c r="L117" i="3" s="1"/>
  <c r="L162" i="3" s="1"/>
  <c r="I56" i="14" s="1"/>
  <c r="R165" i="6"/>
  <c r="J117" i="3"/>
  <c r="K162" i="3" s="1"/>
  <c r="H56" i="14" s="1"/>
  <c r="J160" i="3"/>
  <c r="G54" i="14" s="1"/>
  <c r="P340" i="5"/>
  <c r="R285" i="5"/>
  <c r="AC285" i="5"/>
  <c r="S285" i="5" s="1"/>
  <c r="S340" i="5" s="1"/>
  <c r="AB340" i="5"/>
  <c r="AC340" i="5" s="1"/>
  <c r="T220" i="5"/>
  <c r="T87" i="4"/>
  <c r="T97" i="4" s="1"/>
  <c r="T139" i="5"/>
  <c r="I116" i="3" s="1"/>
  <c r="S273" i="5"/>
  <c r="H36" i="14" s="1"/>
  <c r="H56" i="16" s="1"/>
  <c r="R206" i="5"/>
  <c r="AB206" i="5"/>
  <c r="AC206" i="5" s="1"/>
  <c r="AB273" i="5"/>
  <c r="G42" i="14"/>
  <c r="H60" i="16"/>
  <c r="I62" i="14"/>
  <c r="I68" i="14" s="1"/>
  <c r="H44" i="14"/>
  <c r="K59" i="3"/>
  <c r="K68" i="3" s="1"/>
  <c r="K71" i="3" s="1"/>
  <c r="J97" i="19"/>
  <c r="K96" i="19"/>
  <c r="I58" i="10"/>
  <c r="I18" i="10"/>
  <c r="I17" i="12"/>
  <c r="G35" i="16" s="1"/>
  <c r="H15" i="7" l="1"/>
  <c r="H18" i="7" s="1"/>
  <c r="H33" i="7" s="1"/>
  <c r="H38" i="7" s="1"/>
  <c r="H47" i="7" s="1"/>
  <c r="AC177" i="6"/>
  <c r="S177" i="6" s="1"/>
  <c r="S197" i="6" s="1"/>
  <c r="G25" i="12"/>
  <c r="AC219" i="6"/>
  <c r="AC458" i="5"/>
  <c r="AC424" i="5"/>
  <c r="AC154" i="4"/>
  <c r="AC213" i="6"/>
  <c r="AC214" i="6"/>
  <c r="AC422" i="5"/>
  <c r="AC473" i="5"/>
  <c r="AC445" i="5"/>
  <c r="AC224" i="6"/>
  <c r="AC421" i="5"/>
  <c r="AC472" i="5"/>
  <c r="AC431" i="5"/>
  <c r="AC158" i="4"/>
  <c r="AC437" i="5"/>
  <c r="AC210" i="6"/>
  <c r="AC461" i="5"/>
  <c r="AC157" i="4"/>
  <c r="AC212" i="6"/>
  <c r="AC467" i="5"/>
  <c r="AC226" i="6"/>
  <c r="AC451" i="5"/>
  <c r="AC228" i="6"/>
  <c r="AC427" i="5"/>
  <c r="AC425" i="5"/>
  <c r="AC462" i="5"/>
  <c r="AC221" i="6"/>
  <c r="AC469" i="5"/>
  <c r="AC420" i="5"/>
  <c r="AC439" i="5"/>
  <c r="AC432" i="5"/>
  <c r="AC434" i="5"/>
  <c r="AC466" i="5"/>
  <c r="AC438" i="5"/>
  <c r="AC428" i="5"/>
  <c r="AC450" i="5"/>
  <c r="AC456" i="5"/>
  <c r="AC452" i="5"/>
  <c r="AC468" i="5"/>
  <c r="AC455" i="5"/>
  <c r="AC426" i="5"/>
  <c r="AA209" i="6"/>
  <c r="AB209" i="6"/>
  <c r="AC155" i="4"/>
  <c r="AC464" i="5"/>
  <c r="AC436" i="5"/>
  <c r="AC465" i="5"/>
  <c r="AC216" i="6"/>
  <c r="AC463" i="5"/>
  <c r="AC459" i="5"/>
  <c r="AC222" i="6"/>
  <c r="AC447" i="5"/>
  <c r="AC218" i="6"/>
  <c r="AC443" i="5"/>
  <c r="AC156" i="4"/>
  <c r="AC429" i="5"/>
  <c r="H136" i="3"/>
  <c r="AC352" i="5"/>
  <c r="S352" i="5" s="1"/>
  <c r="S407" i="5" s="1"/>
  <c r="J36" i="14" s="1"/>
  <c r="J56" i="16" s="1"/>
  <c r="AB407" i="5"/>
  <c r="R352" i="5"/>
  <c r="R407" i="5" s="1"/>
  <c r="I161" i="3"/>
  <c r="F55" i="14" s="1"/>
  <c r="I134" i="3"/>
  <c r="I164" i="3" s="1"/>
  <c r="AB419" i="5"/>
  <c r="AA419" i="5"/>
  <c r="R141" i="4"/>
  <c r="T131" i="4"/>
  <c r="T141" i="4" s="1"/>
  <c r="M115" i="3" s="1"/>
  <c r="M160" i="3" s="1"/>
  <c r="J54" i="14" s="1"/>
  <c r="P419" i="5"/>
  <c r="AD419" i="5"/>
  <c r="O474" i="5"/>
  <c r="R163" i="4"/>
  <c r="T153" i="4"/>
  <c r="T163" i="4" s="1"/>
  <c r="J37" i="14"/>
  <c r="I37" i="14"/>
  <c r="R197" i="6"/>
  <c r="T177" i="6"/>
  <c r="T197" i="6" s="1"/>
  <c r="M117" i="3" s="1"/>
  <c r="M162" i="3" s="1"/>
  <c r="J56" i="14" s="1"/>
  <c r="J162" i="3"/>
  <c r="G56" i="14" s="1"/>
  <c r="K115" i="3"/>
  <c r="K160" i="3" s="1"/>
  <c r="H54" i="14" s="1"/>
  <c r="R340" i="5"/>
  <c r="T285" i="5"/>
  <c r="T340" i="5" s="1"/>
  <c r="L116" i="3" s="1"/>
  <c r="I118" i="3"/>
  <c r="I36" i="14"/>
  <c r="I56" i="16" s="1"/>
  <c r="H42" i="14"/>
  <c r="T206" i="5"/>
  <c r="R273" i="5"/>
  <c r="T273" i="5"/>
  <c r="K159" i="3"/>
  <c r="I49" i="11" s="1"/>
  <c r="H62" i="16" s="1"/>
  <c r="L59" i="3"/>
  <c r="L68" i="3" s="1"/>
  <c r="L71" i="3" s="1"/>
  <c r="K97" i="19"/>
  <c r="J98" i="19"/>
  <c r="J15" i="10"/>
  <c r="I61" i="10"/>
  <c r="J15" i="12" s="1"/>
  <c r="I29" i="3" l="1"/>
  <c r="J29" i="3"/>
  <c r="H28" i="3"/>
  <c r="I26" i="3"/>
  <c r="I28" i="3" s="1"/>
  <c r="H29" i="3"/>
  <c r="J26" i="3"/>
  <c r="J28" i="3" s="1"/>
  <c r="R209" i="6"/>
  <c r="AC209" i="6"/>
  <c r="S209" i="6" s="1"/>
  <c r="S229" i="6" s="1"/>
  <c r="F67" i="11"/>
  <c r="F71" i="11" s="1"/>
  <c r="T352" i="5"/>
  <c r="T407" i="5" s="1"/>
  <c r="M116" i="3" s="1"/>
  <c r="M118" i="3" s="1"/>
  <c r="M136" i="3" s="1"/>
  <c r="K67" i="11" s="1"/>
  <c r="K71" i="11" s="1"/>
  <c r="G22" i="11"/>
  <c r="J164" i="3"/>
  <c r="H22" i="11" s="1"/>
  <c r="G28" i="16" s="1"/>
  <c r="I136" i="3"/>
  <c r="G67" i="11" s="1"/>
  <c r="G71" i="11" s="1"/>
  <c r="R419" i="5"/>
  <c r="P474" i="5"/>
  <c r="AB474" i="5"/>
  <c r="AC419" i="5"/>
  <c r="S419" i="5" s="1"/>
  <c r="S474" i="5" s="1"/>
  <c r="I163" i="3"/>
  <c r="F49" i="14" s="1"/>
  <c r="L160" i="3"/>
  <c r="I54" i="14" s="1"/>
  <c r="L118" i="3"/>
  <c r="K116" i="3"/>
  <c r="K118" i="3" s="1"/>
  <c r="J116" i="3"/>
  <c r="K107" i="3"/>
  <c r="L159" i="3"/>
  <c r="J49" i="11" s="1"/>
  <c r="I62" i="16" s="1"/>
  <c r="K98" i="19"/>
  <c r="J99" i="19"/>
  <c r="J58" i="10"/>
  <c r="J18" i="10"/>
  <c r="J17" i="12"/>
  <c r="H35" i="16" s="1"/>
  <c r="I30" i="3" l="1"/>
  <c r="J30" i="3"/>
  <c r="H30" i="3"/>
  <c r="R229" i="6"/>
  <c r="T209" i="6"/>
  <c r="T229" i="6" s="1"/>
  <c r="I168" i="3"/>
  <c r="M161" i="3"/>
  <c r="J55" i="14" s="1"/>
  <c r="L107" i="3"/>
  <c r="J75" i="14"/>
  <c r="G75" i="14"/>
  <c r="F28" i="16"/>
  <c r="F75" i="14"/>
  <c r="H75" i="14"/>
  <c r="I75" i="14"/>
  <c r="T419" i="5"/>
  <c r="T474" i="5" s="1"/>
  <c r="R474" i="5"/>
  <c r="J61" i="10"/>
  <c r="K15" i="10"/>
  <c r="L136" i="3"/>
  <c r="M163" i="3"/>
  <c r="F51" i="14"/>
  <c r="L161" i="3"/>
  <c r="I55" i="14" s="1"/>
  <c r="G21" i="11"/>
  <c r="F50" i="14"/>
  <c r="F35" i="14"/>
  <c r="K161" i="3"/>
  <c r="H55" i="14" s="1"/>
  <c r="K136" i="3"/>
  <c r="I67" i="11" s="1"/>
  <c r="I71" i="11" s="1"/>
  <c r="L163" i="3"/>
  <c r="I49" i="14" s="1"/>
  <c r="J161" i="3"/>
  <c r="G55" i="14" s="1"/>
  <c r="J118" i="3"/>
  <c r="L152" i="3"/>
  <c r="J100" i="19"/>
  <c r="K99" i="19"/>
  <c r="G33" i="14" l="1"/>
  <c r="F33" i="14"/>
  <c r="H33" i="14"/>
  <c r="J71" i="3"/>
  <c r="K15" i="12"/>
  <c r="K17" i="12" s="1"/>
  <c r="I35" i="16" s="1"/>
  <c r="L167" i="3"/>
  <c r="L141" i="3"/>
  <c r="K21" i="11"/>
  <c r="J74" i="14" s="1"/>
  <c r="J51" i="14"/>
  <c r="J49" i="14"/>
  <c r="J35" i="14"/>
  <c r="J50" i="14"/>
  <c r="F74" i="14"/>
  <c r="K58" i="10"/>
  <c r="K61" i="10" s="1"/>
  <c r="K18" i="10"/>
  <c r="J67" i="11"/>
  <c r="J71" i="11" s="1"/>
  <c r="M168" i="3"/>
  <c r="G23" i="11"/>
  <c r="G27" i="11" s="1"/>
  <c r="F27" i="16"/>
  <c r="J21" i="11"/>
  <c r="I27" i="16" s="1"/>
  <c r="I51" i="14"/>
  <c r="I35" i="14"/>
  <c r="K141" i="3"/>
  <c r="L168" i="3"/>
  <c r="I50" i="14"/>
  <c r="J163" i="3"/>
  <c r="J136" i="3"/>
  <c r="K163" i="3"/>
  <c r="J101" i="19"/>
  <c r="K100" i="19"/>
  <c r="H24" i="7"/>
  <c r="H50" i="7" s="1"/>
  <c r="J24" i="7"/>
  <c r="J107" i="3" l="1"/>
  <c r="K167" i="3" s="1"/>
  <c r="K152" i="3"/>
  <c r="L15" i="12"/>
  <c r="L17" i="12" s="1"/>
  <c r="J35" i="16" s="1"/>
  <c r="J27" i="16"/>
  <c r="K23" i="11"/>
  <c r="F73" i="14"/>
  <c r="I74" i="14"/>
  <c r="J23" i="11"/>
  <c r="J27" i="11" s="1"/>
  <c r="I73" i="14" s="1"/>
  <c r="H49" i="14"/>
  <c r="H35" i="14"/>
  <c r="H50" i="14"/>
  <c r="I21" i="11"/>
  <c r="H51" i="14"/>
  <c r="J168" i="3"/>
  <c r="H67" i="11"/>
  <c r="H71" i="11" s="1"/>
  <c r="K168" i="3"/>
  <c r="G49" i="14"/>
  <c r="G51" i="14"/>
  <c r="G50" i="14"/>
  <c r="H21" i="11"/>
  <c r="G35" i="14"/>
  <c r="F47" i="14"/>
  <c r="K101" i="19"/>
  <c r="J102" i="19"/>
  <c r="I24" i="7"/>
  <c r="H81" i="7"/>
  <c r="H167" i="7" s="1"/>
  <c r="I59" i="3"/>
  <c r="I68" i="3" s="1"/>
  <c r="J141" i="3" l="1"/>
  <c r="J159" i="3"/>
  <c r="H49" i="11" s="1"/>
  <c r="G62" i="16" s="1"/>
  <c r="I71" i="3"/>
  <c r="K27" i="11"/>
  <c r="J73" i="14" s="1"/>
  <c r="H74" i="14"/>
  <c r="H27" i="16"/>
  <c r="I23" i="11"/>
  <c r="I27" i="11" s="1"/>
  <c r="H73" i="14" s="1"/>
  <c r="G27" i="16"/>
  <c r="H23" i="11"/>
  <c r="H27" i="11" s="1"/>
  <c r="G47" i="14" s="1"/>
  <c r="G74" i="14"/>
  <c r="I47" i="14"/>
  <c r="J103" i="19"/>
  <c r="K102" i="19"/>
  <c r="H59" i="3"/>
  <c r="H68" i="3" s="1"/>
  <c r="H71" i="3" s="1"/>
  <c r="J47" i="14" l="1"/>
  <c r="G73" i="14"/>
  <c r="H47" i="14"/>
  <c r="J152" i="3"/>
  <c r="I159" i="3"/>
  <c r="G49" i="11" s="1"/>
  <c r="F62" i="16" s="1"/>
  <c r="J104" i="19"/>
  <c r="K103" i="19"/>
  <c r="I107" i="3"/>
  <c r="I152" i="3"/>
  <c r="J105" i="19" l="1"/>
  <c r="K104" i="19"/>
  <c r="J167" i="3"/>
  <c r="I141" i="3"/>
  <c r="H107" i="3"/>
  <c r="J106" i="19" l="1"/>
  <c r="K105" i="19"/>
  <c r="H141" i="3"/>
  <c r="I167" i="3"/>
  <c r="J18" i="7"/>
  <c r="J33" i="7" s="1"/>
  <c r="L18" i="7"/>
  <c r="I18" i="7"/>
  <c r="I33" i="7" s="1"/>
  <c r="K18" i="7"/>
  <c r="K33" i="7" s="1"/>
  <c r="L33" i="7" l="1"/>
  <c r="L38" i="7" s="1"/>
  <c r="L47" i="7" s="1"/>
  <c r="K106" i="19"/>
  <c r="J107" i="19"/>
  <c r="I38" i="7"/>
  <c r="I47" i="7" s="1"/>
  <c r="J38" i="7"/>
  <c r="J47" i="7" s="1"/>
  <c r="J50" i="7" s="1"/>
  <c r="K38" i="7"/>
  <c r="K47" i="7" s="1"/>
  <c r="K50" i="7" s="1"/>
  <c r="L50" i="7" l="1"/>
  <c r="I50" i="7"/>
  <c r="H178" i="7" s="1"/>
  <c r="J108" i="19"/>
  <c r="K107" i="19"/>
  <c r="I50" i="11"/>
  <c r="K195" i="7"/>
  <c r="I195" i="7"/>
  <c r="H195" i="7"/>
  <c r="G50" i="11"/>
  <c r="J50" i="11"/>
  <c r="K81" i="7"/>
  <c r="I14" i="11"/>
  <c r="H50" i="11"/>
  <c r="J195" i="7"/>
  <c r="J178" i="7"/>
  <c r="H60" i="11" s="1"/>
  <c r="H64" i="11" s="1"/>
  <c r="H73" i="11" s="1"/>
  <c r="L81" i="7" l="1"/>
  <c r="L167" i="7" s="1"/>
  <c r="J14" i="11"/>
  <c r="I29" i="14" s="1"/>
  <c r="K178" i="7"/>
  <c r="K183" i="7" s="1"/>
  <c r="K191" i="7" s="1"/>
  <c r="G14" i="11"/>
  <c r="I81" i="7"/>
  <c r="I167" i="7" s="1"/>
  <c r="H29" i="14"/>
  <c r="H28" i="14"/>
  <c r="H27" i="14"/>
  <c r="H183" i="7"/>
  <c r="H191" i="7" s="1"/>
  <c r="F60" i="11"/>
  <c r="F64" i="11" s="1"/>
  <c r="F73" i="11" s="1"/>
  <c r="J109" i="19"/>
  <c r="K108" i="19"/>
  <c r="I178" i="7"/>
  <c r="H14" i="11"/>
  <c r="J183" i="7"/>
  <c r="J191" i="7" s="1"/>
  <c r="J81" i="7"/>
  <c r="F63" i="16"/>
  <c r="G51" i="11"/>
  <c r="I51" i="11"/>
  <c r="H63" i="16"/>
  <c r="I19" i="11"/>
  <c r="H22" i="16"/>
  <c r="I63" i="16"/>
  <c r="J51" i="11"/>
  <c r="H51" i="11"/>
  <c r="G63" i="16"/>
  <c r="K167" i="7"/>
  <c r="I60" i="11" l="1"/>
  <c r="I64" i="11" s="1"/>
  <c r="I73" i="11" s="1"/>
  <c r="J19" i="11"/>
  <c r="I32" i="14" s="1"/>
  <c r="I27" i="14"/>
  <c r="I22" i="16"/>
  <c r="I28" i="14"/>
  <c r="F28" i="14"/>
  <c r="F70" i="14"/>
  <c r="F22" i="16"/>
  <c r="F29" i="14"/>
  <c r="G19" i="11"/>
  <c r="G29" i="11" s="1"/>
  <c r="I70" i="14"/>
  <c r="F27" i="14"/>
  <c r="H70" i="14"/>
  <c r="H32" i="14"/>
  <c r="H46" i="14"/>
  <c r="H26" i="14"/>
  <c r="G70" i="14"/>
  <c r="G29" i="14"/>
  <c r="G28" i="14"/>
  <c r="G27" i="14"/>
  <c r="I183" i="7"/>
  <c r="I191" i="7" s="1"/>
  <c r="G60" i="11"/>
  <c r="G64" i="11" s="1"/>
  <c r="G73" i="11" s="1"/>
  <c r="K109" i="19"/>
  <c r="J110" i="19"/>
  <c r="G22" i="16"/>
  <c r="H19" i="11"/>
  <c r="I29" i="11"/>
  <c r="H17" i="14" s="1"/>
  <c r="J167" i="7"/>
  <c r="J29" i="11" l="1"/>
  <c r="I17" i="14" s="1"/>
  <c r="I46" i="14"/>
  <c r="I26" i="14"/>
  <c r="F26" i="14"/>
  <c r="F32" i="14"/>
  <c r="F30" i="14" s="1"/>
  <c r="F17" i="14"/>
  <c r="H69" i="14"/>
  <c r="F69" i="14"/>
  <c r="I69" i="14"/>
  <c r="F46" i="14"/>
  <c r="H30" i="14"/>
  <c r="H25" i="14"/>
  <c r="G69" i="14"/>
  <c r="G32" i="14"/>
  <c r="G46" i="14"/>
  <c r="G26" i="14"/>
  <c r="I30" i="14"/>
  <c r="I25" i="14"/>
  <c r="K110" i="19"/>
  <c r="J111" i="19"/>
  <c r="H24" i="14"/>
  <c r="H66" i="16"/>
  <c r="H23" i="14"/>
  <c r="H22" i="14"/>
  <c r="H29" i="11"/>
  <c r="G17" i="14" s="1"/>
  <c r="I42" i="11"/>
  <c r="I24" i="14"/>
  <c r="I66" i="16"/>
  <c r="I23" i="14"/>
  <c r="I22" i="14"/>
  <c r="J42" i="11" l="1"/>
  <c r="I34" i="16" s="1"/>
  <c r="F66" i="16"/>
  <c r="F25" i="14"/>
  <c r="F23" i="14"/>
  <c r="F24" i="14"/>
  <c r="F22" i="14"/>
  <c r="G42" i="11"/>
  <c r="H32" i="12" s="1"/>
  <c r="F16" i="14" s="1"/>
  <c r="G30" i="14"/>
  <c r="G25" i="14"/>
  <c r="J112" i="19"/>
  <c r="K111" i="19"/>
  <c r="G24" i="14"/>
  <c r="G66" i="16"/>
  <c r="G23" i="14"/>
  <c r="G22" i="14"/>
  <c r="H42" i="11"/>
  <c r="H34" i="16"/>
  <c r="I17" i="13"/>
  <c r="I30" i="13" s="1"/>
  <c r="I48" i="13" s="1"/>
  <c r="J17" i="13" l="1"/>
  <c r="J30" i="13" s="1"/>
  <c r="J48" i="13" s="1"/>
  <c r="G17" i="13"/>
  <c r="G30" i="13" s="1"/>
  <c r="G48" i="13" s="1"/>
  <c r="G51" i="13" s="1"/>
  <c r="H11" i="13" s="1"/>
  <c r="H36" i="12"/>
  <c r="H57" i="12" s="1"/>
  <c r="H22" i="12" s="1"/>
  <c r="F34" i="16"/>
  <c r="J113" i="19"/>
  <c r="K112" i="19"/>
  <c r="H17" i="13"/>
  <c r="H30" i="13" s="1"/>
  <c r="H48" i="13" s="1"/>
  <c r="G34" i="16"/>
  <c r="I32" i="12" l="1"/>
  <c r="I36" i="12" s="1"/>
  <c r="G15" i="14" s="1"/>
  <c r="F37" i="16"/>
  <c r="F15" i="14"/>
  <c r="H51" i="13"/>
  <c r="I11" i="13" s="1"/>
  <c r="J114" i="19"/>
  <c r="K113" i="19"/>
  <c r="H23" i="12"/>
  <c r="F14" i="14" s="1"/>
  <c r="G52" i="13" s="1"/>
  <c r="G49" i="13"/>
  <c r="G16" i="14" l="1"/>
  <c r="J32" i="12"/>
  <c r="J36" i="12" s="1"/>
  <c r="K32" i="12" s="1"/>
  <c r="K36" i="12" s="1"/>
  <c r="I57" i="12"/>
  <c r="I22" i="12" s="1"/>
  <c r="I23" i="12" s="1"/>
  <c r="G14" i="14" s="1"/>
  <c r="H52" i="13" s="1"/>
  <c r="G37" i="16"/>
  <c r="I51" i="13"/>
  <c r="J51" i="13" s="1"/>
  <c r="K114" i="19"/>
  <c r="J115" i="19"/>
  <c r="F36" i="16"/>
  <c r="H25" i="12"/>
  <c r="K57" i="12" l="1"/>
  <c r="K22" i="12" s="1"/>
  <c r="K23" i="12" s="1"/>
  <c r="K25" i="12" s="1"/>
  <c r="K11" i="13"/>
  <c r="H16" i="14"/>
  <c r="H49" i="13"/>
  <c r="H37" i="16"/>
  <c r="J57" i="12"/>
  <c r="J22" i="12" s="1"/>
  <c r="I49" i="13" s="1"/>
  <c r="H15" i="14"/>
  <c r="I16" i="14"/>
  <c r="F13" i="14"/>
  <c r="F12" i="14"/>
  <c r="J11" i="13"/>
  <c r="J116" i="19"/>
  <c r="K115" i="19"/>
  <c r="G36" i="16"/>
  <c r="I25" i="12"/>
  <c r="I15" i="14" l="1"/>
  <c r="J23" i="12"/>
  <c r="H14" i="14" s="1"/>
  <c r="I52" i="13" s="1"/>
  <c r="I37" i="16"/>
  <c r="J49" i="13"/>
  <c r="G13" i="14"/>
  <c r="G12" i="14"/>
  <c r="J117" i="19"/>
  <c r="K116" i="19"/>
  <c r="J25" i="12" l="1"/>
  <c r="H12" i="14" s="1"/>
  <c r="H36" i="16"/>
  <c r="I14" i="14"/>
  <c r="J52" i="13" s="1"/>
  <c r="J118" i="19"/>
  <c r="K117" i="19"/>
  <c r="H13" i="14" l="1"/>
  <c r="I36" i="16"/>
  <c r="J119" i="19"/>
  <c r="K118" i="19"/>
  <c r="I12" i="14" l="1"/>
  <c r="I13" i="14"/>
  <c r="J120" i="19"/>
  <c r="K119" i="19"/>
  <c r="J121" i="19" l="1"/>
  <c r="K120" i="19"/>
  <c r="K121" i="19" l="1"/>
  <c r="J122" i="19"/>
  <c r="J123" i="19" l="1"/>
  <c r="K122" i="19"/>
  <c r="K123" i="19" l="1"/>
  <c r="J124" i="19"/>
  <c r="J125" i="19" l="1"/>
  <c r="K124" i="19"/>
  <c r="J126" i="19" l="1"/>
  <c r="K125" i="19"/>
  <c r="J127" i="19" l="1"/>
  <c r="K126" i="19"/>
  <c r="K127" i="19" l="1"/>
  <c r="J128" i="19"/>
  <c r="K128" i="19" l="1"/>
  <c r="J129" i="19"/>
  <c r="K129" i="19" l="1"/>
  <c r="J130" i="19"/>
  <c r="J131" i="19" l="1"/>
  <c r="K130" i="19"/>
  <c r="J132" i="19" l="1"/>
  <c r="K132" i="19" s="1"/>
  <c r="K131" i="19"/>
  <c r="M37" i="3" l="1"/>
  <c r="J43" i="16"/>
  <c r="L54" i="2" l="1"/>
  <c r="M18" i="7"/>
  <c r="M33" i="7" s="1"/>
  <c r="M38" i="7" s="1"/>
  <c r="M47" i="7" s="1"/>
  <c r="L195" i="7" s="1"/>
  <c r="M23" i="3"/>
  <c r="J33" i="14"/>
  <c r="M195" i="7" l="1"/>
  <c r="M50" i="7"/>
  <c r="M81" i="7" s="1"/>
  <c r="M167" i="7" s="1"/>
  <c r="K50" i="11"/>
  <c r="J63" i="16" s="1"/>
  <c r="M22" i="3"/>
  <c r="M54" i="3" s="1"/>
  <c r="M59" i="3" l="1"/>
  <c r="M68" i="3" s="1"/>
  <c r="M178" i="7"/>
  <c r="M183" i="7" s="1"/>
  <c r="M191" i="7" s="1"/>
  <c r="L178" i="7"/>
  <c r="J60" i="11" s="1"/>
  <c r="J64" i="11" s="1"/>
  <c r="J73" i="11" s="1"/>
  <c r="M159" i="3" l="1"/>
  <c r="K49" i="11" s="1"/>
  <c r="M71" i="3"/>
  <c r="M107" i="3" s="1"/>
  <c r="L183" i="7"/>
  <c r="L191" i="7" s="1"/>
  <c r="M152" i="3" l="1"/>
  <c r="K14" i="11" s="1"/>
  <c r="J28" i="14" s="1"/>
  <c r="K60" i="11"/>
  <c r="K64" i="11" s="1"/>
  <c r="K73" i="11" s="1"/>
  <c r="K51" i="11"/>
  <c r="J62" i="16"/>
  <c r="M141" i="3"/>
  <c r="M167" i="3"/>
  <c r="J27" i="14" l="1"/>
  <c r="J70" i="14"/>
  <c r="J22" i="16"/>
  <c r="K19" i="11"/>
  <c r="J32" i="14" s="1"/>
  <c r="J29" i="14"/>
  <c r="J46" i="14" l="1"/>
  <c r="J69" i="14"/>
  <c r="K29" i="11"/>
  <c r="J17" i="14" s="1"/>
  <c r="J26" i="14"/>
  <c r="J24" i="14"/>
  <c r="J66" i="16"/>
  <c r="J25" i="14"/>
  <c r="J30" i="14"/>
  <c r="J23" i="14"/>
  <c r="J22" i="14"/>
  <c r="K42" i="11" l="1"/>
  <c r="L32" i="12" s="1"/>
  <c r="L36" i="12" s="1"/>
  <c r="L57" i="12" s="1"/>
  <c r="L22" i="12" s="1"/>
  <c r="L23" i="12" s="1"/>
  <c r="L25" i="12" s="1"/>
  <c r="J34" i="16" l="1"/>
  <c r="K17" i="13"/>
  <c r="K30" i="13" s="1"/>
  <c r="K48" i="13" s="1"/>
  <c r="K51" i="13" s="1"/>
  <c r="J16" i="14"/>
  <c r="J15" i="14" l="1"/>
  <c r="J37" i="16"/>
  <c r="K49" i="13" l="1"/>
  <c r="J36" i="16" l="1"/>
  <c r="J14" i="14"/>
  <c r="K52" i="13" s="1"/>
  <c r="J12" i="14" l="1"/>
  <c r="J13" i="14"/>
</calcChain>
</file>

<file path=xl/comments1.xml><?xml version="1.0" encoding="utf-8"?>
<comments xmlns="http://schemas.openxmlformats.org/spreadsheetml/2006/main">
  <authors>
    <author>B Keizer</author>
    <author>ReinierG</author>
  </authors>
  <commentList>
    <comment ref="D13" authorId="0" shapeId="0">
      <text>
        <r>
          <rPr>
            <sz val="9"/>
            <color indexed="81"/>
            <rFont val="Tahoma"/>
            <family val="2"/>
          </rPr>
          <t xml:space="preserve">
Het volledige brinnummer van de school vermelden, dus ook met de laatste twee cijfers. Dan kan de juiste achterstandsscore opgehaald worden.</t>
        </r>
      </text>
    </comment>
    <comment ref="D35" authorId="0" shapeId="0">
      <text>
        <r>
          <rPr>
            <sz val="9"/>
            <color indexed="81"/>
            <rFont val="Tahoma"/>
            <family val="2"/>
          </rPr>
          <t xml:space="preserve">
Laatste meting o.b.v. telling 1 okt. 2018 van BRINnummer in cel G13.</t>
        </r>
      </text>
    </comment>
    <comment ref="F49" authorId="1" shapeId="0">
      <text>
        <r>
          <rPr>
            <sz val="8"/>
            <color indexed="81"/>
            <rFont val="Tahoma"/>
            <family val="2"/>
          </rPr>
          <t xml:space="preserve">
Nederlandstalig onderwijs aan anderstaligen (NOAT, ook wel NT2) Vergoeding voor de kosten van Nederlands onderwijs aan anderstalige leerlingen. Leerlingen uit Suriname, Ned. Antillen en Aruba worden buiten beschouwing gelaten.</t>
        </r>
      </text>
    </comment>
    <comment ref="F53" authorId="1" shapeId="0">
      <text>
        <r>
          <rPr>
            <sz val="8"/>
            <color indexed="81"/>
            <rFont val="Tahoma"/>
            <family val="2"/>
          </rPr>
          <t xml:space="preserve">
De berekening voor deze cellen is als volgt opgebouwd:
G = (A + B + C + D)
A= 0,0500 * ll onderbouw (4-7jr)
B= 0,0343 * ll bovenbouw
C= 1,5642 - (aantal ll * 0,0115); C kan niet&lt;0
D= 0,0179 * het schoolgewicht
(zie Besluit bekostiging WPO art. 14 d.d. 31 dec. 2018).</t>
        </r>
      </text>
    </comment>
    <comment ref="F54" authorId="1" shapeId="0">
      <text>
        <r>
          <rPr>
            <sz val="8"/>
            <color indexed="81"/>
            <rFont val="Tahoma"/>
            <family val="2"/>
          </rPr>
          <t xml:space="preserve">
Het genormeerd bruto grondoppervlak is afhankelijk van het aantal groepen (G). Zie tabel brutovloeroppervlak voor het aantal m2. werkblad 'tab'.</t>
        </r>
      </text>
    </comment>
    <comment ref="F57" authorId="1" shapeId="0">
      <text>
        <r>
          <rPr>
            <sz val="8"/>
            <color indexed="81"/>
            <rFont val="Tahoma"/>
            <family val="2"/>
          </rPr>
          <t xml:space="preserve">
De berekening voor deze cellen is als volgt opgebouwd:
G = (A + B + C)
A= 0,0500 * ll onderbouw (4-7jr)
B= 0,0343 * ll bovenbouw
C= 1,5642 - (aantal ll * 0,0115); C kan niet&lt;0
(zie Besluit bekostiging WPO art. 14).</t>
        </r>
      </text>
    </comment>
    <comment ref="F58" authorId="1" shapeId="0">
      <text>
        <r>
          <rPr>
            <sz val="8"/>
            <color indexed="81"/>
            <rFont val="Tahoma"/>
            <family val="2"/>
          </rPr>
          <t xml:space="preserve">
Het genormeerd bruto grondoppervlak is afhankelijk van het aantal groepen (G). Zie tabel brutovloeroppervlak voor het aantal m2. werkblad 'tab'.</t>
        </r>
      </text>
    </comment>
  </commentList>
</comments>
</file>

<file path=xl/comments10.xml><?xml version="1.0" encoding="utf-8"?>
<comments xmlns="http://schemas.openxmlformats.org/spreadsheetml/2006/main">
  <authors>
    <author>Bé Keizer</author>
  </authors>
  <commentList>
    <comment ref="B15" authorId="0" shapeId="0">
      <text>
        <r>
          <rPr>
            <sz val="9"/>
            <color indexed="81"/>
            <rFont val="Tahoma"/>
            <family val="2"/>
          </rPr>
          <t xml:space="preserve">
Aanloopschalen a1 en a2 achterwege gelaten. Aanpassing min. loon per 1-7-2018 zorgt dat de aanloopschalen dan tenminste 1594,20 zijn. </t>
        </r>
      </text>
    </comment>
    <comment ref="B60" authorId="0" shapeId="0">
      <text>
        <r>
          <rPr>
            <sz val="9"/>
            <color indexed="81"/>
            <rFont val="Tahoma"/>
            <family val="2"/>
          </rPr>
          <t xml:space="preserve">
Aanloopschalen a1 en a2 achterwege gelaten. Aanpassing min. loon per 1-1-2019 zorgt dat de aanloopschalen dan tenminste 1615,80 zijn. </t>
        </r>
      </text>
    </comment>
    <comment ref="B105" authorId="0" shapeId="0">
      <text>
        <r>
          <rPr>
            <sz val="9"/>
            <color indexed="81"/>
            <rFont val="Tahoma"/>
            <family val="2"/>
          </rPr>
          <t xml:space="preserve">
Aanloopschalen a1 en a2 achterwege gelaten. Aanpassing min. loon per 1-1-2019 zorgt dat de aanloopschalen dan tenminste 1615,80 zijn. </t>
        </r>
      </text>
    </comment>
  </commentList>
</comments>
</file>

<file path=xl/comments2.xml><?xml version="1.0" encoding="utf-8"?>
<comments xmlns="http://schemas.openxmlformats.org/spreadsheetml/2006/main">
  <authors>
    <author>Goedhart, R.</author>
  </authors>
  <commentList>
    <comment ref="D14" authorId="0" shapeId="0">
      <text>
        <r>
          <rPr>
            <sz val="8"/>
            <color indexed="81"/>
            <rFont val="Tahoma"/>
            <family val="2"/>
          </rPr>
          <t xml:space="preserve">
Neem de GGL zoals vermeld op de beschikking 2018-2019. Anders neemt het model voor 2018-2019 de GGL van 1 okt. 2018 over op basis van het ingevulde OP- bestand
</t>
        </r>
      </text>
    </comment>
    <comment ref="D52"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List>
</comments>
</file>

<file path=xl/comments3.xml><?xml version="1.0" encoding="utf-8"?>
<comments xmlns="http://schemas.openxmlformats.org/spreadsheetml/2006/main">
  <authors>
    <author>Goedhart, R.</author>
    <author>Bé Keizer</author>
  </authors>
  <commentList>
    <comment ref="D31" authorId="0" shapeId="0">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overige lasten materieel).</t>
        </r>
        <r>
          <rPr>
            <sz val="8"/>
            <color indexed="81"/>
            <rFont val="Tahoma"/>
            <family val="2"/>
          </rPr>
          <t xml:space="preserve">
</t>
        </r>
      </text>
    </comment>
    <comment ref="D90" authorId="0" shapeId="0">
      <text>
        <r>
          <rPr>
            <sz val="8"/>
            <color indexed="81"/>
            <rFont val="Tahoma"/>
            <family val="2"/>
          </rPr>
          <t xml:space="preserve">
wordt berekend in werkblad mip en act
</t>
        </r>
      </text>
    </comment>
    <comment ref="D105" authorId="0" shapeId="0">
      <text>
        <r>
          <rPr>
            <sz val="8"/>
            <color indexed="81"/>
            <rFont val="Tahoma"/>
            <family val="2"/>
          </rPr>
          <t xml:space="preserve">
wordt ontleend aan het werkblad mop
</t>
        </r>
      </text>
    </comment>
    <comment ref="M176" authorId="1"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4.xml><?xml version="1.0" encoding="utf-8"?>
<comments xmlns="http://schemas.openxmlformats.org/spreadsheetml/2006/main">
  <authors>
    <author>Goedhart, R.</author>
  </authors>
  <commentList>
    <comment ref="E8" authorId="0" shapeId="0">
      <text>
        <r>
          <rPr>
            <sz val="8"/>
            <color indexed="81"/>
            <rFont val="Tahoma"/>
            <family val="2"/>
          </rPr>
          <t xml:space="preserve">
hoeft niet te worden ingevuld</t>
        </r>
      </text>
    </comment>
    <comment ref="F8" authorId="0" shapeId="0">
      <text>
        <r>
          <rPr>
            <sz val="8"/>
            <color indexed="81"/>
            <rFont val="Tahoma"/>
            <family val="2"/>
          </rPr>
          <t xml:space="preserve">
hoeft niet te worden ingevuld</t>
        </r>
      </text>
    </comment>
  </commentList>
</comments>
</file>

<file path=xl/comments5.xml><?xml version="1.0" encoding="utf-8"?>
<comments xmlns="http://schemas.openxmlformats.org/spreadsheetml/2006/main">
  <authors>
    <author>Goedhart, R.</author>
  </authors>
  <commentList>
    <comment ref="D41" authorId="0" shapeId="0">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comments6.xml><?xml version="1.0" encoding="utf-8"?>
<comments xmlns="http://schemas.openxmlformats.org/spreadsheetml/2006/main">
  <authors>
    <author>Bé Keizer</author>
  </authors>
  <commentList>
    <comment ref="D87" authorId="0" shapeId="0">
      <text>
        <r>
          <rPr>
            <sz val="9"/>
            <color indexed="81"/>
            <rFont val="Tahoma"/>
            <family val="2"/>
          </rPr>
          <t xml:space="preserve">
Aanloopschalen a1 en a2 achterwege gelaten.</t>
        </r>
      </text>
    </comment>
  </commentList>
</comments>
</file>

<file path=xl/comments7.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voor bepaling hoogte voorziening duurzame inzetbaarheid (ouderenverlof), zie toolbox financiën</t>
        </r>
      </text>
    </comment>
  </commentList>
</comments>
</file>

<file path=xl/comments8.xml><?xml version="1.0" encoding="utf-8"?>
<comments xmlns="http://schemas.openxmlformats.org/spreadsheetml/2006/main">
  <authors>
    <author>Goedhart, R.</author>
    <author>Keizer</author>
  </authors>
  <commentList>
    <comment ref="D21" authorId="0" shapeId="0">
      <text>
        <r>
          <rPr>
            <sz val="8"/>
            <color indexed="81"/>
            <rFont val="Tahoma"/>
            <family val="2"/>
          </rPr>
          <t xml:space="preserve">
Hier wordt de datum van vandaag weergegeven. Bij het kopiëren van dit werkblad in het sommatiemodel, zal de datum in het sommatiemodel gefixeerd worden. </t>
        </r>
      </text>
    </comment>
    <comment ref="D41" authorId="1" shapeId="0">
      <text>
        <r>
          <rPr>
            <sz val="9"/>
            <color indexed="81"/>
            <rFont val="Tahoma"/>
            <family val="2"/>
          </rPr>
          <t xml:space="preserve">
Aantal leerlingen op 1 okt. T-1
</t>
        </r>
      </text>
    </comment>
    <comment ref="D47" authorId="1" shapeId="0">
      <text>
        <r>
          <rPr>
            <sz val="9"/>
            <color indexed="81"/>
            <rFont val="Tahoma"/>
            <family val="2"/>
          </rPr>
          <t xml:space="preserve">
Aantal leerlingen op 1 okt. T-1
</t>
        </r>
      </text>
    </comment>
  </commentList>
</comments>
</file>

<file path=xl/comments9.xml><?xml version="1.0" encoding="utf-8"?>
<comments xmlns="http://schemas.openxmlformats.org/spreadsheetml/2006/main">
  <authors>
    <author>B Keizer</author>
    <author>Keizer</author>
    <author>B. Keizer</author>
  </authors>
  <commentList>
    <comment ref="A38" authorId="0" shapeId="0">
      <text>
        <r>
          <rPr>
            <sz val="9"/>
            <color indexed="81"/>
            <rFont val="Tahoma"/>
            <family val="2"/>
          </rPr>
          <t xml:space="preserve">
De percentages voor 2020/21 en 2021/22 zijn voorlopige ramingen en die worden in de GPL-publicaties tzt opgegeven.</t>
        </r>
      </text>
    </comment>
    <comment ref="B52" authorId="1" shapeId="0">
      <text>
        <r>
          <rPr>
            <sz val="8"/>
            <color indexed="81"/>
            <rFont val="Tahoma"/>
            <family val="2"/>
          </rPr>
          <t xml:space="preserve">
Dit budget is bedoeld om de functie van schoolleider op een kleine school (aantal leerlingen 1 okt  T-1  &lt; 195 ll) aantrekkelijker te maken. </t>
        </r>
      </text>
    </comment>
    <comment ref="B53" authorId="0" shapeId="0">
      <text>
        <r>
          <rPr>
            <sz val="9"/>
            <color indexed="81"/>
            <rFont val="Tahoma"/>
            <family val="2"/>
          </rPr>
          <t xml:space="preserve">
Bedrag per leerling werkdruk is voor 2019-2020 met € 64,53 verhoogd naar € 220,08.</t>
        </r>
      </text>
    </comment>
    <comment ref="D55" authorId="0" shapeId="0">
      <text>
        <r>
          <rPr>
            <sz val="9"/>
            <color indexed="81"/>
            <rFont val="Tahoma"/>
            <family val="2"/>
          </rPr>
          <t xml:space="preserve">
Extra bijdrage voor KST vanaf 2018-2019.</t>
        </r>
      </text>
    </comment>
    <comment ref="J69" authorId="2" shapeId="0">
      <text>
        <r>
          <rPr>
            <sz val="9"/>
            <color indexed="81"/>
            <rFont val="Tahoma"/>
            <family val="2"/>
          </rPr>
          <t xml:space="preserve">
wordt 17 sept. 2019 bekend gemaakt.</t>
        </r>
      </text>
    </comment>
  </commentList>
</comments>
</file>

<file path=xl/sharedStrings.xml><?xml version="1.0" encoding="utf-8"?>
<sst xmlns="http://schemas.openxmlformats.org/spreadsheetml/2006/main" count="8579" uniqueCount="7018">
  <si>
    <t xml:space="preserve">Ook kan opgave gedaan worden van dotatie aan de personeelsvoorziening voor o.a. jubilea, die afzonderlijk is opgenomen. </t>
  </si>
  <si>
    <t>budget naar bestuur (personeel)</t>
  </si>
  <si>
    <t>budget naar bestuur (materieel)</t>
  </si>
  <si>
    <t>Naam school</t>
  </si>
  <si>
    <t>Brinnummer</t>
  </si>
  <si>
    <t>Datum laatste wijziging</t>
  </si>
  <si>
    <t>toeslag management kleine school (y&lt;200 lln)</t>
  </si>
  <si>
    <t xml:space="preserve">aantal leerlingen bovenbouw </t>
  </si>
  <si>
    <t>aantal leerlingen bas</t>
  </si>
  <si>
    <t>aantal leerlingen sbo</t>
  </si>
  <si>
    <t>FTE directie</t>
  </si>
  <si>
    <t>Personele bekostiging</t>
  </si>
  <si>
    <t>baten werk in opdracht van derden</t>
  </si>
  <si>
    <t>Minus: Overdrachten bestuur</t>
  </si>
  <si>
    <t xml:space="preserve">Overdracht naar bestuur </t>
  </si>
  <si>
    <t>o.b.v. percentage rijksbijdragen/ personele bekostiging</t>
  </si>
  <si>
    <t>Overdracht van bestuur</t>
  </si>
  <si>
    <t>saldo overdrachten</t>
  </si>
  <si>
    <t>FTE onderwijzend personeel</t>
  </si>
  <si>
    <t>Baten</t>
  </si>
  <si>
    <t xml:space="preserve">Saldo baten en lasten </t>
  </si>
  <si>
    <t>rijksbijdragen/  totale baten</t>
  </si>
  <si>
    <t>overige overheidsbijdragen/ totale baten</t>
  </si>
  <si>
    <t>overige baten/  totale baten</t>
  </si>
  <si>
    <t>investeringen/  totale baten</t>
  </si>
  <si>
    <t>poraad</t>
  </si>
  <si>
    <t>aanvullende bekostiging schoolleider 1</t>
  </si>
  <si>
    <t>aanvullende bekostiging schoolleider 2</t>
  </si>
  <si>
    <t>NOAT</t>
  </si>
  <si>
    <t>Normatieve Rijksbijdrage OCW</t>
  </si>
  <si>
    <t xml:space="preserve">- ga in linkerbovenhoek staan van het lichtgeel gearceerde gebied waarin selectie van deze school geplakt moet worden </t>
  </si>
  <si>
    <t>Sinds het schooljaar 09-10 geldt een aanvullende regeling voor de bekostiging van het onderwijsachterstandenbeleid. Daarvoor is het van belang</t>
  </si>
  <si>
    <t>eenheden</t>
  </si>
  <si>
    <t>aantal /</t>
  </si>
  <si>
    <t>versie</t>
  </si>
  <si>
    <t>Het model is beveiligd met het wachtwoord:</t>
  </si>
  <si>
    <t>Desgewenst kunt u het model dus aanpassen, maar kennis van Excel is dan wel vereist.</t>
  </si>
  <si>
    <t>SOMMATIEGEGEVENS</t>
  </si>
  <si>
    <t>2. Open sommatietiemodel</t>
  </si>
  <si>
    <t xml:space="preserve">In de gele cellen doet het model middels een formule een voorstel (veelal uitgaand van een situatie van krimp noch groei). Deze </t>
  </si>
  <si>
    <t>De invoer van de leerlinggegevens vergt een prognose voor de jaren daarna.</t>
  </si>
  <si>
    <t>- meubilair</t>
  </si>
  <si>
    <t>- ICT</t>
  </si>
  <si>
    <t xml:space="preserve">Een nauwkeurige opgave van het verwachte leerlingenaantal zorgt voor een zo deugdelijk mogelijke begroting van de inkomsten. </t>
  </si>
  <si>
    <t>Schoolgewicht voor toepassing art. 27 lid 3</t>
  </si>
  <si>
    <t xml:space="preserve">Materieel </t>
  </si>
  <si>
    <t>mutatie Liquide middelen (balans)</t>
  </si>
  <si>
    <t>grootboeknr.</t>
  </si>
  <si>
    <t>ACTIVAOVERZICHT</t>
  </si>
  <si>
    <t>Procedure</t>
  </si>
  <si>
    <t>In dit werkblad worden de afschrijvingen bepaald die ten laste van de (materiële) exploitatie van de school worden gebracht.</t>
  </si>
  <si>
    <t>Stand voorziening onderhoud per 01-01</t>
  </si>
  <si>
    <t>1. Basisgegevens (geg)</t>
  </si>
  <si>
    <t>Algemeen</t>
  </si>
  <si>
    <t>2. Personeel (pers)</t>
  </si>
  <si>
    <t xml:space="preserve">de informatie van alle scholen bij elkaar opgeteld tezamen met de baten en lasten van het bestuurskantoor. Hierdoor ontstaat op bestuursniveau </t>
  </si>
  <si>
    <t>2.1 Loonkosten directie (dir)</t>
  </si>
  <si>
    <t>2.2 Loonkosten onderwijzend personeel (op)</t>
  </si>
  <si>
    <t>2.3 Loonkosten onderwijsondersteunend personeel (oop)</t>
  </si>
  <si>
    <t>3. Materieel (mat)</t>
  </si>
  <si>
    <t xml:space="preserve">Door een vast percentage per bekostigingselement vast te stellen kunnen gelden van de school bovenschools worden gebracht. </t>
  </si>
  <si>
    <t>kosten, te weten dotatie onderhoud resp. afschrijvingen, zijn opgenomen in de werkbladen "mop" en "mip". Voor de jaarlijkse kosten moet voor de komende</t>
  </si>
  <si>
    <t>3.1 Meerjarenonderhoudsplan (mop)</t>
  </si>
  <si>
    <t>3.2 Meerjaren investeringsplan (mip)</t>
  </si>
  <si>
    <t>3.3 Activa (act)</t>
  </si>
  <si>
    <t xml:space="preserve">positief of negatief is. </t>
  </si>
  <si>
    <t>een meerjarig zicht op de exploitatie en balans.</t>
  </si>
  <si>
    <t>Dotatie vanuit exploitatie (materieel)</t>
  </si>
  <si>
    <t>Onttrekking</t>
  </si>
  <si>
    <t>Gegevens voor bepaling materiële instandhouding (o.b.v. kalenderjaar)</t>
  </si>
  <si>
    <t>voorraden</t>
  </si>
  <si>
    <t>effecten</t>
  </si>
  <si>
    <t>vorderingen</t>
  </si>
  <si>
    <t xml:space="preserve">activiteiten te kunnen financieren. Het corrigeren vindt plaats door per bekostigingselement een percentage vast te stellen dat bovenschools wordt </t>
  </si>
  <si>
    <t>Eindsaldo liquide middelen</t>
  </si>
  <si>
    <t>BASISGEGEVENS</t>
  </si>
  <si>
    <t>Nadere informatie</t>
  </si>
  <si>
    <t>De lasten in het kader van de materiële instandhouding kunnen worden onderverdeeld in jaarlijkse en meerjaarlijkse kosten. De meerjaarlijkse</t>
  </si>
  <si>
    <t>Lasten</t>
  </si>
  <si>
    <t>School ligt in impulsgebied</t>
  </si>
  <si>
    <t>Bedrag per gewichtenleerling Impulsgebied</t>
  </si>
  <si>
    <t>PAB budget</t>
  </si>
  <si>
    <t>éénmalig</t>
  </si>
  <si>
    <t xml:space="preserve">Rijksbijdragen OCW </t>
  </si>
  <si>
    <t>onderbouwformatie (vast deel)</t>
  </si>
  <si>
    <t>bovenbouwformatie (vast deel)</t>
  </si>
  <si>
    <t>onderbouwformatie (leeftijdsafhankelijk deel)</t>
  </si>
  <si>
    <t>bovenbouwformatie (leeftijdsafhankelijk deel)</t>
  </si>
  <si>
    <t>onderw.achterst. (vast deel) (schoolgewicht)</t>
  </si>
  <si>
    <t>onderw.achterst. (leeftijdsafhankelijk deel) (schoolgewicht)</t>
  </si>
  <si>
    <t xml:space="preserve">Voor dit werkblad geldt hetgeen in het vorige werkblad is vermeld eveneens. </t>
  </si>
  <si>
    <t>De exploitatie levert ook tal van kengetallen die er toe doen zoals relevante bedragen per leerling en verhoudingsgetallen. Die spreken voor zich.</t>
  </si>
  <si>
    <t xml:space="preserve">Hebt u vragen of opmerkingen, adviezen enzovoorts over dit instrument, dan zijn we daar nieuwsgierig naar: </t>
  </si>
  <si>
    <t>Jubilea kosten</t>
  </si>
  <si>
    <t>Dotatie jubilea</t>
  </si>
  <si>
    <t>Impulsgebieden onderwijsachterstandenbeleid</t>
  </si>
  <si>
    <t>basisbedrag=</t>
  </si>
  <si>
    <t>schoolleiding kleine school =</t>
  </si>
  <si>
    <t>A = leerling</t>
  </si>
  <si>
    <t>B = gewichtsleerling</t>
  </si>
  <si>
    <t>C = KST geld/ vast</t>
  </si>
  <si>
    <t>C = KST geld/ leerling</t>
  </si>
  <si>
    <t xml:space="preserve">In dit werkblad dienen de personele gegevens te worden opgegeven die noodzakelijk zijn voor de berekening van de loonkosten. Omdat in de latere </t>
  </si>
  <si>
    <t xml:space="preserve">die in latere jaren worden benoemd alvast in het eerste schooljaar op te nemen. Voor de jaren waarin ze nog niet zijn aangesteld wordt hun </t>
  </si>
  <si>
    <t>zodat alle mogelijke uitgaven van personele aard hier kunnen worden opgegeven.</t>
  </si>
  <si>
    <t xml:space="preserve">De totale loonkosten worden in de laatste kolom weergegeven, ter informatie en voor vergelijking met soortgelijke gegevens van het </t>
  </si>
  <si>
    <t xml:space="preserve">administratiekantoor (AK). In dat kader is het van belang er op te wijzen dat in dit instrument geen exacte loonberekening met alle specifieke </t>
  </si>
  <si>
    <t xml:space="preserve">Bij dit werkblad geldt bovendien dat de gewogen gemiddelde leeftijd (GGL) wordt berekend op grond van de opgave van de geboortedatum van de </t>
  </si>
  <si>
    <t>personeelsleden in combinatie met de opgegeven werktijdfactor.</t>
  </si>
  <si>
    <t xml:space="preserve">De balans is voor zover mogelijk automatisch aangemaakt maar vergt nog aanvullende gegevens. De indeling spoort volledig met de voorschriften </t>
  </si>
  <si>
    <t>investeringen t.l.v. school</t>
  </si>
  <si>
    <t>groot onderhoud t.l.v. school</t>
  </si>
  <si>
    <t xml:space="preserve">Vervangers ten laste van het Vervangingsfonds (blijven ook buiten beschouwing bij de bepaling van de GGL) dienen überhaupt niet opgenomen </t>
  </si>
  <si>
    <t>te worden. Hun kosten worden immers gedeclareerd ten laste van het Vervangingsfonds en blijven daarom buiten de begroting.</t>
  </si>
  <si>
    <t>Personeel/ formatie</t>
  </si>
  <si>
    <t xml:space="preserve">Hier wordt op grond van de leerlingaantallen en de GGL de normatieve rijksbijdrage voor uw personeel/ formatie berekend. </t>
  </si>
  <si>
    <t>bovenschools</t>
  </si>
  <si>
    <t>Eigen vermogen</t>
  </si>
  <si>
    <t>- klik op rechter muisknop</t>
  </si>
  <si>
    <t>dienst</t>
  </si>
  <si>
    <t xml:space="preserve">jaren </t>
  </si>
  <si>
    <t>leeftijd</t>
  </si>
  <si>
    <t>WTF</t>
  </si>
  <si>
    <t>DA</t>
  </si>
  <si>
    <t>DB</t>
  </si>
  <si>
    <t>DC</t>
  </si>
  <si>
    <t>LA</t>
  </si>
  <si>
    <t>LB</t>
  </si>
  <si>
    <t>LC</t>
  </si>
  <si>
    <t>AA</t>
  </si>
  <si>
    <t>AB</t>
  </si>
  <si>
    <t>AC</t>
  </si>
  <si>
    <t>AD</t>
  </si>
  <si>
    <t>DD</t>
  </si>
  <si>
    <t>DE</t>
  </si>
  <si>
    <t>AE</t>
  </si>
  <si>
    <t>LD</t>
  </si>
  <si>
    <t>LE</t>
  </si>
  <si>
    <t>totaal + 3 %</t>
  </si>
  <si>
    <t>4-7 jaar</t>
  </si>
  <si>
    <t>vanaf 8 jaar</t>
  </si>
  <si>
    <t>Ontwikkeling salarislasten</t>
  </si>
  <si>
    <t>Ontwikkeling lasten personeelsbeleid</t>
  </si>
  <si>
    <t>Groepsafhankelijke PvE's</t>
  </si>
  <si>
    <t>Leerlingafhankelijke PvE's</t>
  </si>
  <si>
    <t>salaristabellen</t>
  </si>
  <si>
    <t>schaal / regel</t>
  </si>
  <si>
    <t>regels</t>
  </si>
  <si>
    <t>DBuit</t>
  </si>
  <si>
    <t>DCuit</t>
  </si>
  <si>
    <t>LIOa</t>
  </si>
  <si>
    <t>LIOb</t>
  </si>
  <si>
    <t>ID1</t>
  </si>
  <si>
    <t>ID3</t>
  </si>
  <si>
    <t>directie</t>
  </si>
  <si>
    <t>KENGETALLEN</t>
  </si>
  <si>
    <t>Vlottende activa</t>
  </si>
  <si>
    <t>Vaste activa</t>
  </si>
  <si>
    <t>Langlopende schulden</t>
  </si>
  <si>
    <t>Kortlopende schulden</t>
  </si>
  <si>
    <t>Liquiditeit</t>
  </si>
  <si>
    <t>Crediteuren</t>
  </si>
  <si>
    <t>ID2</t>
  </si>
  <si>
    <t xml:space="preserve">totaal </t>
  </si>
  <si>
    <t>kleine scholentoeslag</t>
  </si>
  <si>
    <t>schooljaar</t>
  </si>
  <si>
    <t>factor OB</t>
  </si>
  <si>
    <t>factor BB</t>
  </si>
  <si>
    <t>factor gewicht</t>
  </si>
  <si>
    <t>groepsformatie onderbouw</t>
  </si>
  <si>
    <t>groepsformatie bovenbouw</t>
  </si>
  <si>
    <t>naam</t>
  </si>
  <si>
    <t>onderwijzend personeel</t>
  </si>
  <si>
    <t>GGL</t>
  </si>
  <si>
    <t>aanschaf</t>
  </si>
  <si>
    <t>bedrag</t>
  </si>
  <si>
    <t>jaar van</t>
  </si>
  <si>
    <t>teldatum leerlingen (t-1) per 1 oktober</t>
  </si>
  <si>
    <t>onderbouw</t>
  </si>
  <si>
    <t>bovenbouw</t>
  </si>
  <si>
    <t>vloer kleine school</t>
  </si>
  <si>
    <t>aftrek kleine school</t>
  </si>
  <si>
    <t>onderwijsachterstand (BOA)</t>
  </si>
  <si>
    <t>groeiformatie A + B</t>
  </si>
  <si>
    <t>toeslag directie</t>
  </si>
  <si>
    <t>aantal ll voor kleine school</t>
  </si>
  <si>
    <t>loonkosten</t>
  </si>
  <si>
    <t>situatie per</t>
  </si>
  <si>
    <t>vast bedrag per school</t>
  </si>
  <si>
    <t>kleine scholen toeslag</t>
  </si>
  <si>
    <t>leerlingafhankelijke vergoeding</t>
  </si>
  <si>
    <t>termijn</t>
  </si>
  <si>
    <t>MEERJARENBALANS</t>
  </si>
  <si>
    <t>(maand)</t>
  </si>
  <si>
    <t>loonkosten OOP</t>
  </si>
  <si>
    <t>loonkosten OP</t>
  </si>
  <si>
    <t>loonkosten directie</t>
  </si>
  <si>
    <t>genormeerd bruto grondoppervlak (A)</t>
  </si>
  <si>
    <t>leeft</t>
  </si>
  <si>
    <t>stand voorziening  per 31/12</t>
  </si>
  <si>
    <t>Voorzieningen</t>
  </si>
  <si>
    <t>schaal</t>
  </si>
  <si>
    <t>loonkosten directie / totale loonkosten</t>
  </si>
  <si>
    <t>loonkosten OP / totale loonkosten</t>
  </si>
  <si>
    <t>omrekening naar kalenderjaar</t>
  </si>
  <si>
    <t xml:space="preserve">loonkosten totaal </t>
  </si>
  <si>
    <t>afschrijving</t>
  </si>
  <si>
    <t>Financiële kengetallen</t>
  </si>
  <si>
    <t>Indices</t>
  </si>
  <si>
    <t>investering</t>
  </si>
  <si>
    <t>Rentabiliteit</t>
  </si>
  <si>
    <t>GRAFIEKEN</t>
  </si>
  <si>
    <t>omslagpunt lln. directietoeslag</t>
  </si>
  <si>
    <t>voet kleine scholen toeslag (vast deel)</t>
  </si>
  <si>
    <t>voet kleine scholen toeslag (leeftijdsafhankelijk deel)</t>
  </si>
  <si>
    <t>aftrek kleine scholen toeslag (vast deel)</t>
  </si>
  <si>
    <t>aftrek kleine scholen toeslag (leeftijdsafhankelijk deel)</t>
  </si>
  <si>
    <t>zeer kleine scholen toeslag (vast deel)</t>
  </si>
  <si>
    <t>zeer kleine scholen toeslag (leeftijdsafhankelijk deel)</t>
  </si>
  <si>
    <t xml:space="preserve">In dit blad worden diverse kengetallen en de ontwikkeling daarvan grafisch weergegeven. </t>
  </si>
  <si>
    <t>Postcode-gebieden:</t>
  </si>
  <si>
    <t>Saldo financiële baten en lasten</t>
  </si>
  <si>
    <t>De grafieken kunnen desgewenst worden gebruikt ter illustratie van het jaarverslag.</t>
  </si>
  <si>
    <t>(G)</t>
  </si>
  <si>
    <t xml:space="preserve">br. grondopp. </t>
  </si>
  <si>
    <t>(A)</t>
  </si>
  <si>
    <t>factor KST</t>
  </si>
  <si>
    <t>correctie KST</t>
  </si>
  <si>
    <t>kosten</t>
  </si>
  <si>
    <t>trede</t>
  </si>
  <si>
    <t>salaire toeslag schoolleiding</t>
  </si>
  <si>
    <t>teldatum</t>
  </si>
  <si>
    <t>Financiële baten</t>
  </si>
  <si>
    <t>Financiële lasten</t>
  </si>
  <si>
    <t>percentage onderbouwleerlingen (1 oktober t-1)</t>
  </si>
  <si>
    <t>percentage bovenbouwleerlingen (1 oktober t-1)</t>
  </si>
  <si>
    <t>Gebouwen en terreinen</t>
  </si>
  <si>
    <t>Inventaris en apparatuur</t>
  </si>
  <si>
    <t>Overige materiële vaste activa</t>
  </si>
  <si>
    <t>aanschafprijs</t>
  </si>
  <si>
    <t>afschrijvings-</t>
  </si>
  <si>
    <t>omschrijving</t>
  </si>
  <si>
    <t>activagroep</t>
  </si>
  <si>
    <t>(per eenheid)</t>
  </si>
  <si>
    <t>groep</t>
  </si>
  <si>
    <t xml:space="preserve">lokaal / </t>
  </si>
  <si>
    <t>kalenderjaar</t>
  </si>
  <si>
    <t>Overige baten</t>
  </si>
  <si>
    <t>Personele lasten</t>
  </si>
  <si>
    <t>Afschrijvingen</t>
  </si>
  <si>
    <t>Huisvestingslasten</t>
  </si>
  <si>
    <t>Rijksbijdragen OCW</t>
  </si>
  <si>
    <t>Ministerie van OCW</t>
  </si>
  <si>
    <t>wordt automatisch berekend op grond van het door u ingevulde OP-bestand. (zie loonkosten onderwijzend personeel / werkblad "op")</t>
  </si>
  <si>
    <t>Kredietinstellingen</t>
  </si>
  <si>
    <t>Algemene reserve</t>
  </si>
  <si>
    <t>Bestemmingsreserve 1</t>
  </si>
  <si>
    <t>Bestemmingsreserve 2</t>
  </si>
  <si>
    <t>Bestemmingsreserve 3</t>
  </si>
  <si>
    <t>Activa totaal</t>
  </si>
  <si>
    <t>Activa</t>
  </si>
  <si>
    <t>Passiva</t>
  </si>
  <si>
    <t>Passiva totaal</t>
  </si>
  <si>
    <t>Aantal gewichtenleerlingen (0,3 en 1,2)</t>
  </si>
  <si>
    <t>Postcode school</t>
  </si>
  <si>
    <t>Overige langlopende schulden</t>
  </si>
  <si>
    <t>Belastingen en premies sociale verzekeringen</t>
  </si>
  <si>
    <t>Schulden terzake pensioenen</t>
  </si>
  <si>
    <t>Overige kortlopende schulden</t>
  </si>
  <si>
    <t>Overlopende passiva</t>
  </si>
  <si>
    <t>Ontwikkeling totale baten</t>
  </si>
  <si>
    <t>Ontwikkeling totale lasten</t>
  </si>
  <si>
    <t>Onwikkelling huisvestingslasten</t>
  </si>
  <si>
    <t>Ontwikkeling afschrijvingen</t>
  </si>
  <si>
    <t>Ontwikkeling Rijksbijdragen</t>
  </si>
  <si>
    <t>Ontwikkeling overige overheidsbijdragen</t>
  </si>
  <si>
    <t>Ontwikkeling overige baten</t>
  </si>
  <si>
    <t>Leermiddelen PO</t>
  </si>
  <si>
    <t>laatste</t>
  </si>
  <si>
    <t>beslisregel</t>
  </si>
  <si>
    <t>Waarde activa per 31-12</t>
  </si>
  <si>
    <t>aanschaf-</t>
  </si>
  <si>
    <t>waarde</t>
  </si>
  <si>
    <t>per jaar</t>
  </si>
  <si>
    <t>totaal</t>
  </si>
  <si>
    <t>Waarde activa per 01-01</t>
  </si>
  <si>
    <t>directiekosten per leerling</t>
  </si>
  <si>
    <t>kosten OP per leerling</t>
  </si>
  <si>
    <t>bij bepalen 'G'</t>
  </si>
  <si>
    <t>geboorte</t>
  </si>
  <si>
    <t>datum</t>
  </si>
  <si>
    <t>gebdat</t>
  </si>
  <si>
    <t>berek I</t>
  </si>
  <si>
    <t>berek II</t>
  </si>
  <si>
    <t>kortlopende schulden</t>
  </si>
  <si>
    <t>totale baten</t>
  </si>
  <si>
    <t>LOONKOSTEN DIRECTIE</t>
  </si>
  <si>
    <t>LOONKOSTEN ONDERWIJZEND PERSONEEL</t>
  </si>
  <si>
    <t>Persoonsgegevens</t>
  </si>
  <si>
    <t>werkgeverslasten</t>
  </si>
  <si>
    <t>Mutatie Liquide middelen</t>
  </si>
  <si>
    <t>Kasstroom uit operationele activiteiten</t>
  </si>
  <si>
    <t>Mutaties werkkapitaal</t>
  </si>
  <si>
    <t>Kasstroom uit investeringsactiviteiten</t>
  </si>
  <si>
    <t>Mutaties voorzieningen</t>
  </si>
  <si>
    <t>Kasstroom uit financieringsactiviteiten</t>
  </si>
  <si>
    <t>diensttijd</t>
  </si>
  <si>
    <t>totaal leerlingafhankelijk</t>
  </si>
  <si>
    <t>groepen</t>
  </si>
  <si>
    <t>toename</t>
  </si>
  <si>
    <t>norm na 6</t>
  </si>
  <si>
    <t>Conform de indeling van de jaarrekening is nog opgave mogelijk voor overige overheidsbijdragen c.q. overige baten voor personeel.</t>
  </si>
  <si>
    <t>voorkeur over een langere periode) in kaart worden gebracht.</t>
  </si>
  <si>
    <t>Ouderbijdragen</t>
  </si>
  <si>
    <t>Sponsoring</t>
  </si>
  <si>
    <t>ouderbijdragen</t>
  </si>
  <si>
    <t>Salarissen en sociale lasten</t>
  </si>
  <si>
    <t xml:space="preserve">In dit werkblad kan op grond van een (door een extern bureau) opgestelde meerjarenonderhoudsplan de dotaties en onttrekkingen voor </t>
  </si>
  <si>
    <t xml:space="preserve">de komende jaren worden vastgesteld. </t>
  </si>
  <si>
    <t xml:space="preserve">Dit werkblad omvat de gegevens die nodig zijn als een bestuur de resultaten van deze school sommeert met andere financiële gegevens. </t>
  </si>
  <si>
    <t>Formatietoekenning</t>
  </si>
  <si>
    <t>extra na 13</t>
  </si>
  <si>
    <t xml:space="preserve">salaris </t>
  </si>
  <si>
    <t>vermindering groei</t>
  </si>
  <si>
    <t>Directie</t>
  </si>
  <si>
    <t>OP (landelijk)</t>
  </si>
  <si>
    <t>OP  leeftijdsgecorrigeerd: voet</t>
  </si>
  <si>
    <t>OP  leeftijdsgecorrigeerd: bedrag * GGL</t>
  </si>
  <si>
    <t>Landelijke GGL =</t>
  </si>
  <si>
    <t>meerh sbo DB10</t>
  </si>
  <si>
    <t>meerh sbo DB11</t>
  </si>
  <si>
    <t>meerh sbo DCuit15</t>
  </si>
  <si>
    <t>meerh sbo DC13</t>
  </si>
  <si>
    <t>Budget voor personeels- en arbeidsmarktbeleid</t>
  </si>
  <si>
    <t>Extra vergoed (swv zonder sbo) in fie LB</t>
  </si>
  <si>
    <t>meerh bas DA11</t>
  </si>
  <si>
    <t>Aanvullende vergoeding NOAT</t>
  </si>
  <si>
    <t>teldatum leerlingen per 1 oktober</t>
  </si>
  <si>
    <t>Lasten personeelsbeleid</t>
  </si>
  <si>
    <t>Procedure:</t>
  </si>
  <si>
    <t>Investeringen</t>
  </si>
  <si>
    <t>Gewogen Gemiddelde Leeftijd (1 oktober t-1)</t>
  </si>
  <si>
    <t xml:space="preserve">loonkosten/ per FTE </t>
  </si>
  <si>
    <t>MEERJARENINVESTERINGSPLAN (MIP)</t>
  </si>
  <si>
    <t>aantal cumi leerlingen (v)so</t>
  </si>
  <si>
    <t>aantal SO-leerlingen</t>
  </si>
  <si>
    <t>aantal VSO-leerlingen</t>
  </si>
  <si>
    <t>liquiditeit (vlottende activa / kortlopende schulden)</t>
  </si>
  <si>
    <t>1. Voer per jaar de bestedingen in bij "Onttrekking" die op grond van een recent meerjarenonderhoudsplan (MOP) worden voorgesteld.</t>
  </si>
  <si>
    <t xml:space="preserve">Exploitatie kengetallen </t>
  </si>
  <si>
    <t>sponsoring</t>
  </si>
  <si>
    <t>drempel gewichtenregeling</t>
  </si>
  <si>
    <t>PERSONEEL</t>
  </si>
  <si>
    <t xml:space="preserve">MATERIEEL </t>
  </si>
  <si>
    <t>Overige lasten</t>
  </si>
  <si>
    <t xml:space="preserve">Totaal lasten materieel </t>
  </si>
  <si>
    <t>Totaal baten materieel</t>
  </si>
  <si>
    <t>totaal baten personeel</t>
  </si>
  <si>
    <t>totaal lasten personeel</t>
  </si>
  <si>
    <t>Saldo personeel</t>
  </si>
  <si>
    <t>Saldo materieel</t>
  </si>
  <si>
    <t>Overige overheidsbijdragen en - subsidies</t>
  </si>
  <si>
    <t xml:space="preserve">Overige baten </t>
  </si>
  <si>
    <t>Overige overheidsbijdragen en -subsidies</t>
  </si>
  <si>
    <t>STAAT VAN BATEN EN LASTEN</t>
  </si>
  <si>
    <t xml:space="preserve">Baten </t>
  </si>
  <si>
    <t xml:space="preserve">Overige lasten </t>
  </si>
  <si>
    <t>Saldo baten en lasten</t>
  </si>
  <si>
    <t>Resultaat</t>
  </si>
  <si>
    <t>College-, cursus-, les- en examengelden</t>
  </si>
  <si>
    <t>Baten werk in opdracht van derden</t>
  </si>
  <si>
    <t>Overgedragen budget personeel</t>
  </si>
  <si>
    <t>Overgedragen budget naar bestuursniveau</t>
  </si>
  <si>
    <t>Budget personeel</t>
  </si>
  <si>
    <t>Budget materieel</t>
  </si>
  <si>
    <t>Ontwikkeling overige lasten (materieel)</t>
  </si>
  <si>
    <t>baten personeel</t>
  </si>
  <si>
    <t>lasten personeel</t>
  </si>
  <si>
    <t xml:space="preserve">totale formatie is tenminste  </t>
  </si>
  <si>
    <t>Financiële baten en lasten</t>
  </si>
  <si>
    <t>Aantal NOAT- leerlingen +3%</t>
  </si>
  <si>
    <t>KASSTROOMOVERZICHT</t>
  </si>
  <si>
    <t>In het werkblad tabellen (tab) geldt daarentegen dat de gele cellen gewijzigd kunnen worden, de witte niet.</t>
  </si>
  <si>
    <t>Reinier Goedhart, e-mail:</t>
  </si>
  <si>
    <t>www. poraad.nl</t>
  </si>
  <si>
    <t xml:space="preserve">Baten en lasten </t>
  </si>
  <si>
    <t>nn</t>
  </si>
  <si>
    <t>Overige voorzieningen</t>
  </si>
  <si>
    <t xml:space="preserve">Vaste activa </t>
  </si>
  <si>
    <t>2. Verdeel de dotatielasten gelijkmatig over de jaren heen (egalisastie van kosten) op zo'n manier dat deze voorziening nooit negatief zal uitvallen.</t>
  </si>
  <si>
    <t>- klik op optie "plakken speciaal" en vink "waarden" aan (onder kopje "plakken")</t>
  </si>
  <si>
    <t>waarvan gewichtenleerling:</t>
  </si>
  <si>
    <t>waarde  1/1</t>
  </si>
  <si>
    <t>3.1 Rijksbijdragen OCW</t>
  </si>
  <si>
    <t>3.2 Overige overheidsbijdragen en -subsidies</t>
  </si>
  <si>
    <t>3.5 Overige baten</t>
  </si>
  <si>
    <t>3.3 College-, cursus-, les- en examengelden</t>
  </si>
  <si>
    <t>3.4 Baten werk in opdracht van derden</t>
  </si>
  <si>
    <t>4.1 Personeelslasten</t>
  </si>
  <si>
    <t>4.2 Afschrijvingen</t>
  </si>
  <si>
    <t>4.3 Huisvestingslasten</t>
  </si>
  <si>
    <t>4.4 Overige lasten</t>
  </si>
  <si>
    <t>5.1 Financiële baten</t>
  </si>
  <si>
    <t>5.2 Financiële lasten</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</si>
  <si>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</si>
  <si>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</si>
  <si>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</si>
  <si>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</si>
  <si>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</si>
  <si>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</si>
  <si>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</si>
  <si>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</si>
  <si>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</si>
  <si>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2.3 Langlopende schulden</t>
  </si>
  <si>
    <t>2.4 Kortlopende schulden</t>
  </si>
  <si>
    <t>jubilea</t>
  </si>
  <si>
    <t>Personeelsbeleid</t>
  </si>
  <si>
    <t xml:space="preserve">In de tabellen zijn de gegevens opgenomen die betrekking hebben op de onderliggende normeringen voor de bekostiging. </t>
  </si>
  <si>
    <t>groeitelling bij leerlinggroei van</t>
  </si>
  <si>
    <t>Leerlingenprognose</t>
  </si>
  <si>
    <t xml:space="preserve">Daarnaast zijn tal van onderwerpen in het kader van personeelsbeleid aan de orde en is ruimte gelaten voor invullingen </t>
  </si>
  <si>
    <t xml:space="preserve">Het  werkblad kasstroomoverzicht houdt de liquiditeit en veranderingen daarin in beeld. </t>
  </si>
  <si>
    <t>2017/18</t>
  </si>
  <si>
    <t>verhoging t.o.v. vorig jaar:</t>
  </si>
  <si>
    <t>Speerpunt 1</t>
  </si>
  <si>
    <t>doel</t>
  </si>
  <si>
    <t>activiteit</t>
  </si>
  <si>
    <t>Speerpunt 2</t>
  </si>
  <si>
    <t>toelichting</t>
  </si>
  <si>
    <t xml:space="preserve">materiële kosten </t>
  </si>
  <si>
    <t>Speerpunt 3</t>
  </si>
  <si>
    <t xml:space="preserve">prestatiebox </t>
  </si>
  <si>
    <t>Prestatiebox</t>
  </si>
  <si>
    <t>bedrag per leerling</t>
  </si>
  <si>
    <t>zeer kleine scholen toeslag</t>
  </si>
  <si>
    <t xml:space="preserve">onder Start/Opmaak/Beveiliging/Blad beveiligen. </t>
  </si>
  <si>
    <t>Zie de informatie die verstrekt is in de werkbladen Loonkosten directie resp. onderwijzend personeel.</t>
  </si>
  <si>
    <t>5. Staat van baten en lasten (begr)</t>
  </si>
  <si>
    <t>6. Balans</t>
  </si>
  <si>
    <t>8. Kengetallen (ken)</t>
  </si>
  <si>
    <t>9. Grafieken (graf)</t>
  </si>
  <si>
    <t>10. Sommatie (som)</t>
  </si>
  <si>
    <t>11. Tabellen (tab)</t>
  </si>
  <si>
    <t>Bijvoorbeeld als het bestuur meer dan één school omvat en dan verplicht is een jaarrekening op bestuursniveau te maken.</t>
  </si>
  <si>
    <t xml:space="preserve">In dit werkblad kunt u een duidelijke relatie maken tussen het beleidsplan van de school (schoolplan) en de begroting. Het is vooral informatief bedoeld </t>
  </si>
  <si>
    <t>bedoeld, maar geeft een duidelijke link tussen de prioriteiten in het beleid, de speerpunten, en de financiele lasten die daar mee samenhangen.</t>
  </si>
  <si>
    <t>totale kosten</t>
  </si>
  <si>
    <t>overige personele kosten</t>
  </si>
  <si>
    <t>formatieve kosten</t>
  </si>
  <si>
    <t>Speerpunt 4</t>
  </si>
  <si>
    <t>2018/19</t>
  </si>
  <si>
    <t>LOONKOSTEN ONDERSTEUNEND EN BEHEERSPERSONEEL</t>
  </si>
  <si>
    <t>Speerpunt 5</t>
  </si>
  <si>
    <t>Saldo liquide middelen 31 dec t-1</t>
  </si>
  <si>
    <t>(Des)investeringen materiële vaste activa</t>
  </si>
  <si>
    <t>(Des)investeringen immateriële vaste activa</t>
  </si>
  <si>
    <t>(Des)investeringen financiële vaste activa</t>
  </si>
  <si>
    <t>piet</t>
  </si>
  <si>
    <t>ondersteunend en beheerspersoneel</t>
  </si>
  <si>
    <t>loonkosten OBP / totale loonkosten</t>
  </si>
  <si>
    <t>kosten OBP per leering</t>
  </si>
  <si>
    <t>2019/20</t>
  </si>
  <si>
    <t xml:space="preserve"> </t>
  </si>
  <si>
    <t>vanuit samenwerkingsverband</t>
  </si>
  <si>
    <t>vanuit samenwerkingsverband passend onderwijs</t>
  </si>
  <si>
    <r>
      <t xml:space="preserve">Afschrijvingen (vanuit </t>
    </r>
    <r>
      <rPr>
        <b/>
        <u/>
        <sz val="10"/>
        <color theme="1" tint="0.34998626667073579"/>
        <rFont val="Calibri"/>
        <family val="2"/>
      </rPr>
      <t>eerste waardering</t>
    </r>
    <r>
      <rPr>
        <b/>
        <sz val="10"/>
        <color theme="1" tint="0.34998626667073579"/>
        <rFont val="Calibri"/>
        <family val="2"/>
      </rPr>
      <t>)</t>
    </r>
  </si>
  <si>
    <t>o.b.v. percentage rijksbijdragen/ materiële bekostiging</t>
  </si>
  <si>
    <t>Personeelslasten</t>
  </si>
  <si>
    <t>overgangs-</t>
  </si>
  <si>
    <t>inzetbaarh.</t>
  </si>
  <si>
    <t>% eigen</t>
  </si>
  <si>
    <t>bijdrage</t>
  </si>
  <si>
    <t>eigen bijdr</t>
  </si>
  <si>
    <t>zonder</t>
  </si>
  <si>
    <t xml:space="preserve">met </t>
  </si>
  <si>
    <t>bijz.budget</t>
  </si>
  <si>
    <t>oudere wn</t>
  </si>
  <si>
    <t>start.leerkr</t>
  </si>
  <si>
    <t>regel. bapo</t>
  </si>
  <si>
    <t>werkg. ln</t>
  </si>
  <si>
    <t>bsn</t>
  </si>
  <si>
    <t>Kosten duurzame inzetbaarheid</t>
  </si>
  <si>
    <t>budget</t>
  </si>
  <si>
    <t>duurz.inzet.</t>
  </si>
  <si>
    <t>werkgeverslasten bij opname verlof</t>
  </si>
  <si>
    <t>excl.duurz.inz</t>
  </si>
  <si>
    <t>per uur</t>
  </si>
  <si>
    <t xml:space="preserve">uren </t>
  </si>
  <si>
    <t>loonkn. uur</t>
  </si>
  <si>
    <t>excl. wg.ln</t>
  </si>
  <si>
    <t>incl. wg.ln</t>
  </si>
  <si>
    <t>werkg.ln.</t>
  </si>
  <si>
    <t>Duurzame inzetbaarheid (in uren)</t>
  </si>
  <si>
    <t xml:space="preserve">kn. duurzame </t>
  </si>
  <si>
    <t>Loonkosten (incl. werkgeverslasten)</t>
  </si>
  <si>
    <t>Aantal FTE (incl. uren duurzame inzetbaarheid)</t>
  </si>
  <si>
    <t>De van het ministerie ontvangen (personele) lumpsum kan worden gecorrigeerd met een bedrag dat bovenschools wordt gebracht om bovenschoolse</t>
  </si>
  <si>
    <t>premies en dergelijke is opgenomen, maar uitgegaan wordt van een vast percentage aan werkgeverslasten.</t>
  </si>
  <si>
    <t>LIO-ers moeten daarom niet in dit werkblad maar in het werkblad voor onderwijs en beheerpersoneel (OBP) worden opgenomen.</t>
  </si>
  <si>
    <t>Dit werkblad geeft een overzicht van hetgeen is ingevuld in het werkblad "mip".</t>
  </si>
  <si>
    <t>4. Beleid (verborgen)</t>
  </si>
  <si>
    <t>2020/21</t>
  </si>
  <si>
    <t>Dotatie groot onderhoud (binnen- en buitenonderhoud)</t>
  </si>
  <si>
    <t>VOORZIENING GROOT ONDERHOUD (binnen- en buitenonderhoud)</t>
  </si>
  <si>
    <t>Overige Rijksbijdragen OCW</t>
  </si>
  <si>
    <t>Voorziening duurzame inzetbaarheid (ouderenverlof)</t>
  </si>
  <si>
    <t>dotatie voorziening jubilea</t>
  </si>
  <si>
    <t>Voorziening jubilea</t>
  </si>
  <si>
    <t>Voorziening groot onderhoud</t>
  </si>
  <si>
    <t>aantal plaatsen JJI en/of GJI</t>
  </si>
  <si>
    <t>totale baten/ rijksbijdragen</t>
  </si>
  <si>
    <t>personele lasten/totale baten</t>
  </si>
  <si>
    <t>totale lasten/ rijksbijdragen</t>
  </si>
  <si>
    <t xml:space="preserve">personele lasten/ rijksbijdragen </t>
  </si>
  <si>
    <t xml:space="preserve">materiële lasten/ rijksbijdragen </t>
  </si>
  <si>
    <t>Vanuit samenwerkingsverband Passend Onderwijs/ leerling</t>
  </si>
  <si>
    <t>Solvabiliteit 1</t>
  </si>
  <si>
    <t>Solvabiliteit 2</t>
  </si>
  <si>
    <t>onderwijsachterstandenbeleid / leerling</t>
  </si>
  <si>
    <t>leerling- FTE ratio</t>
  </si>
  <si>
    <t>leerling- directie ratio</t>
  </si>
  <si>
    <t>leerling- OP ratio</t>
  </si>
  <si>
    <t>leerling- OOP ratio</t>
  </si>
  <si>
    <t>baten per leerling (excl. financiële baten)</t>
  </si>
  <si>
    <t>lasten per leerling (excl. financiële lasten)</t>
  </si>
  <si>
    <t>FTE-leerling ratio's</t>
  </si>
  <si>
    <t xml:space="preserve">Ontwikkeling aantal leerlingen </t>
  </si>
  <si>
    <t>Ontwikkeling aantal FTE</t>
  </si>
  <si>
    <t>totale baten (incl. financiële baten)</t>
  </si>
  <si>
    <t>aantal cumi leerlingen sbo</t>
  </si>
  <si>
    <t>aantal leerlingen so jonger dan 8 jaar</t>
  </si>
  <si>
    <t>aantal leerlingen so  8 jaar en ouder</t>
  </si>
  <si>
    <t>aantal leerlingen vso</t>
  </si>
  <si>
    <t xml:space="preserve">     waarvan aantal SO-leerlingen</t>
  </si>
  <si>
    <t xml:space="preserve">     waarvan aantal VSO-leerlingen</t>
  </si>
  <si>
    <t>FTE onderwijs ondersteunend personeel</t>
  </si>
  <si>
    <t>1. Selecteer en kopieer geel gearceerde gebied in dit werkblad</t>
  </si>
  <si>
    <t>Kosten Duurzame inzetbaarheid</t>
  </si>
  <si>
    <t>2021/22</t>
  </si>
  <si>
    <t xml:space="preserve">werktijdfactor dan 0,0000.  De kosten voor duurzame inzetbaarheid worden apart berekend. </t>
  </si>
  <si>
    <t>Weerstandsvermogen 1</t>
  </si>
  <si>
    <t>Weerstandsvermogen 2</t>
  </si>
  <si>
    <t>Bij overige subsidies OCW kunt u de betreffende inkomsten opgeven.</t>
  </si>
  <si>
    <t>Generieke toekenningen vanuit SWV</t>
  </si>
  <si>
    <t>2022/23</t>
  </si>
  <si>
    <t>aantal leerlingen onderbouw</t>
  </si>
  <si>
    <t>2023/24</t>
  </si>
  <si>
    <t>2024/25</t>
  </si>
  <si>
    <t>BEGROTING 2018: LINK BEGROTING MET BELEIDSPLAN</t>
  </si>
  <si>
    <t xml:space="preserve">schooljaren de gegevens van de eerdere schooljaren worden gebruikt voor het maken van berekeningen, is het het eenvoudigst ook de personeelsleden </t>
  </si>
  <si>
    <t>L10</t>
  </si>
  <si>
    <t>L11</t>
  </si>
  <si>
    <t>L12</t>
  </si>
  <si>
    <t>L13</t>
  </si>
  <si>
    <t>L14</t>
  </si>
  <si>
    <t>meerh sbo DC 13</t>
  </si>
  <si>
    <t>het feit dat hier onder andere de "opnamekans" mogelijk een rol kan spelen bij de berekening.</t>
  </si>
  <si>
    <t>terzake van het departement. Op grond van de balans en de staat van baten en lasten worden de meest relevante financiële kengetallen vastgesteld.</t>
  </si>
  <si>
    <t>12. Salaristabellen (saltab)</t>
  </si>
  <si>
    <t>Bé Keizer, e-mail:</t>
  </si>
  <si>
    <t>b.keizer@poraad.nl</t>
  </si>
  <si>
    <t xml:space="preserve">r.goedhart@poraad.nl </t>
  </si>
  <si>
    <t xml:space="preserve">Uren ouderenverlof die gespaard worden, worden via deze berekening ook volledig ten laste van de exploitatie gebracht.  Hier kan een verschil zitten met </t>
  </si>
  <si>
    <t xml:space="preserve">de berekening coform het model "voorzieningen duurzame inzetbaarheid" vanuit de toolbox financiën van de PO-Raad. Dit heeft te maken met </t>
  </si>
  <si>
    <t>in de formules te gebruiken. Zie onder 'formules' 'namen beheren'.</t>
  </si>
  <si>
    <t>meubilair</t>
  </si>
  <si>
    <t>stoelen</t>
  </si>
  <si>
    <t xml:space="preserve">De salaristabellen die van toepassing zijn op grond van de cao PO, zijn hier afzonderlijk opgenomen en van een naam voorzien om </t>
  </si>
  <si>
    <t>zelfde als 2019?</t>
  </si>
  <si>
    <t>Het bedrag Convenant schoolleiding PO (Gele Katern 2004, nr. 17) is opgenomen in het budget PAB en afzonderlijk weergegeven.</t>
  </si>
  <si>
    <t>Hier is ook het toegekende budget Prestatiebox apart opgenomen.</t>
  </si>
  <si>
    <r>
      <t xml:space="preserve">De werkgeverslasten zijn opgenomen in het tabellenwerkblad en zijn geraamd op </t>
    </r>
    <r>
      <rPr>
        <b/>
        <sz val="10"/>
        <color rgb="FFC00000"/>
        <rFont val="Calibri"/>
        <family val="2"/>
      </rPr>
      <t>60%</t>
    </r>
    <r>
      <rPr>
        <sz val="10"/>
        <rFont val="Calibri"/>
        <family val="2"/>
      </rPr>
      <t xml:space="preserve">. Daarbij dient opgemerkt te worden dat dit een heel ruwe raming </t>
    </r>
  </si>
  <si>
    <t>betreft en het wordt met klem aangeraden op grond van de eigen historische gegevens een nauwkeuriger percentage vast te stellen.</t>
  </si>
  <si>
    <t>bij het Vervangingsfonds aangesloten zijn (zie modernisering) zullen rekening moeten houden met andere premiepercentages.</t>
  </si>
  <si>
    <r>
      <t>Daartoe is de tool "</t>
    </r>
    <r>
      <rPr>
        <b/>
        <sz val="10"/>
        <color rgb="FFC00000"/>
        <rFont val="Calibri"/>
        <family val="2"/>
      </rPr>
      <t>werkgeverslasten po 2019</t>
    </r>
    <r>
      <rPr>
        <sz val="10"/>
        <rFont val="Calibri"/>
        <family val="2"/>
      </rPr>
      <t>"  aangepast. Deze update is te vinden in de toolbox van de PO-Raad. Met name schoolbesturen die niet</t>
    </r>
  </si>
  <si>
    <t>Werkgeverslasten PO</t>
  </si>
  <si>
    <t>achterstandsscore</t>
  </si>
  <si>
    <t>Afdeling internationaal georiënteerd basisonderwijs</t>
  </si>
  <si>
    <t>bedrag personeel</t>
  </si>
  <si>
    <t>bedrag materieel</t>
  </si>
  <si>
    <t>leerlingen t/m leerlingen</t>
  </si>
  <si>
    <t>Tabel 1</t>
  </si>
  <si>
    <r>
      <t>Achterstandsscore</t>
    </r>
    <r>
      <rPr>
        <b/>
        <vertAlign val="superscript"/>
        <sz val="8"/>
        <rFont val="Arial"/>
        <family val="2"/>
      </rPr>
      <t xml:space="preserve"> </t>
    </r>
    <r>
      <rPr>
        <b/>
        <sz val="8"/>
        <rFont val="Arial"/>
        <family val="2"/>
      </rPr>
      <t>per basisschoolvestiging, 1 oktober 2018</t>
    </r>
  </si>
  <si>
    <t>School (BRIN vestiging)</t>
  </si>
  <si>
    <t>Aantal bekostigde leerlingen</t>
  </si>
  <si>
    <t>Achterstandsscore met drempel</t>
  </si>
  <si>
    <t>Achterstandsscore zonder drempel</t>
  </si>
  <si>
    <t>00AP00</t>
  </si>
  <si>
    <t>00AR00</t>
  </si>
  <si>
    <t>00AV00</t>
  </si>
  <si>
    <t>00AZ00</t>
  </si>
  <si>
    <t>00BA00</t>
  </si>
  <si>
    <t>00BB00</t>
  </si>
  <si>
    <t>00BS00</t>
  </si>
  <si>
    <t>00BW00</t>
  </si>
  <si>
    <t>00CD00</t>
  </si>
  <si>
    <t>00CG00</t>
  </si>
  <si>
    <t>00CS00</t>
  </si>
  <si>
    <t>00CU00</t>
  </si>
  <si>
    <t>00CV00</t>
  </si>
  <si>
    <t>00DA00</t>
  </si>
  <si>
    <t>00DD00</t>
  </si>
  <si>
    <t>00DM00</t>
  </si>
  <si>
    <t>00DN00</t>
  </si>
  <si>
    <t>00DO00</t>
  </si>
  <si>
    <t>00DW00</t>
  </si>
  <si>
    <t>00DX00</t>
  </si>
  <si>
    <t>00DY00</t>
  </si>
  <si>
    <t>00DZ00</t>
  </si>
  <si>
    <t>00EB00</t>
  </si>
  <si>
    <t>00EI00</t>
  </si>
  <si>
    <t>00FE00</t>
  </si>
  <si>
    <t>00FG00</t>
  </si>
  <si>
    <t>00FI00</t>
  </si>
  <si>
    <t>00FQ00</t>
  </si>
  <si>
    <t>00GQ00</t>
  </si>
  <si>
    <t>00GR00</t>
  </si>
  <si>
    <t>00GV00</t>
  </si>
  <si>
    <t>00GX00</t>
  </si>
  <si>
    <t>00GZ00</t>
  </si>
  <si>
    <t>00HA00</t>
  </si>
  <si>
    <t>00HH00</t>
  </si>
  <si>
    <t>00HZ00</t>
  </si>
  <si>
    <t>00IF00</t>
  </si>
  <si>
    <t>00IJ00</t>
  </si>
  <si>
    <t>00IM00</t>
  </si>
  <si>
    <t>01VE00</t>
  </si>
  <si>
    <t>01VG00</t>
  </si>
  <si>
    <t>01VG01</t>
  </si>
  <si>
    <t>01VI00</t>
  </si>
  <si>
    <t>01VQ00</t>
  </si>
  <si>
    <t>01VR00</t>
  </si>
  <si>
    <t>01VY00</t>
  </si>
  <si>
    <t>01WQ00</t>
  </si>
  <si>
    <t>01WU00</t>
  </si>
  <si>
    <t>01XH00</t>
  </si>
  <si>
    <t>01XU00</t>
  </si>
  <si>
    <t>02ZF00</t>
  </si>
  <si>
    <t>02ZW00</t>
  </si>
  <si>
    <t>02ZY00</t>
  </si>
  <si>
    <t>03AG00</t>
  </si>
  <si>
    <t>03AH00</t>
  </si>
  <si>
    <t>03AI00</t>
  </si>
  <si>
    <t>03AN00</t>
  </si>
  <si>
    <t>03AP00</t>
  </si>
  <si>
    <t>03AZ00</t>
  </si>
  <si>
    <t>03BA00</t>
  </si>
  <si>
    <t>03BR00</t>
  </si>
  <si>
    <t>03BS00</t>
  </si>
  <si>
    <t>03BT00</t>
  </si>
  <si>
    <t>03BU00</t>
  </si>
  <si>
    <t>03BV00</t>
  </si>
  <si>
    <t>03BX00</t>
  </si>
  <si>
    <t>03BY00</t>
  </si>
  <si>
    <t>03CJ00</t>
  </si>
  <si>
    <t>03CL00</t>
  </si>
  <si>
    <t>03CO00</t>
  </si>
  <si>
    <t>03CT00</t>
  </si>
  <si>
    <t>03CV00</t>
  </si>
  <si>
    <t>03DF00</t>
  </si>
  <si>
    <t>03DG00</t>
  </si>
  <si>
    <t>03DH00</t>
  </si>
  <si>
    <t>03DJ00</t>
  </si>
  <si>
    <t>03DK00</t>
  </si>
  <si>
    <t>03DV00</t>
  </si>
  <si>
    <t>03DW00</t>
  </si>
  <si>
    <t>03DX00</t>
  </si>
  <si>
    <t>03EE00</t>
  </si>
  <si>
    <t>03EH00</t>
  </si>
  <si>
    <t>a</t>
  </si>
  <si>
    <t>03EI00</t>
  </si>
  <si>
    <t>03EJ00</t>
  </si>
  <si>
    <t>03ES00</t>
  </si>
  <si>
    <t>03ET00</t>
  </si>
  <si>
    <t>03EU00</t>
  </si>
  <si>
    <t>03EV00</t>
  </si>
  <si>
    <t>03FH00</t>
  </si>
  <si>
    <t>03FJ00</t>
  </si>
  <si>
    <t>03FS00</t>
  </si>
  <si>
    <t>03FT00</t>
  </si>
  <si>
    <t>03FU00</t>
  </si>
  <si>
    <t>03GD00</t>
  </si>
  <si>
    <t>03GE00</t>
  </si>
  <si>
    <t>03GJ00</t>
  </si>
  <si>
    <t>03GL00</t>
  </si>
  <si>
    <t>03GP00</t>
  </si>
  <si>
    <t>03GR00</t>
  </si>
  <si>
    <t>03GR01</t>
  </si>
  <si>
    <t>03GT00</t>
  </si>
  <si>
    <t>03GW00</t>
  </si>
  <si>
    <t>03GW01</t>
  </si>
  <si>
    <t>03HA00</t>
  </si>
  <si>
    <t>03HB00</t>
  </si>
  <si>
    <t>03HC00</t>
  </si>
  <si>
    <t>03HD00</t>
  </si>
  <si>
    <t>03HE00</t>
  </si>
  <si>
    <t>03HF00</t>
  </si>
  <si>
    <t>03HG00</t>
  </si>
  <si>
    <t>03HH00</t>
  </si>
  <si>
    <t>03HI00</t>
  </si>
  <si>
    <t>03HK00</t>
  </si>
  <si>
    <t>03HL00</t>
  </si>
  <si>
    <t>03HM00</t>
  </si>
  <si>
    <t>03HO00</t>
  </si>
  <si>
    <t>03HP00</t>
  </si>
  <si>
    <t>03HQ00</t>
  </si>
  <si>
    <t>03HR00</t>
  </si>
  <si>
    <t>03HS00</t>
  </si>
  <si>
    <t>03HU00</t>
  </si>
  <si>
    <t>03HV00</t>
  </si>
  <si>
    <t>03HV01</t>
  </si>
  <si>
    <t>03HY00</t>
  </si>
  <si>
    <t>03HZ00</t>
  </si>
  <si>
    <t>03IA00</t>
  </si>
  <si>
    <t>03IB00</t>
  </si>
  <si>
    <t>03IC00</t>
  </si>
  <si>
    <t>03IH00</t>
  </si>
  <si>
    <t>03IK00</t>
  </si>
  <si>
    <t>03IV00</t>
  </si>
  <si>
    <t>03IW00</t>
  </si>
  <si>
    <t>03IX00</t>
  </si>
  <si>
    <t>03IY00</t>
  </si>
  <si>
    <t>03IZ00</t>
  </si>
  <si>
    <t>03JB00</t>
  </si>
  <si>
    <t>03JC00</t>
  </si>
  <si>
    <t>03JD00</t>
  </si>
  <si>
    <t>03JE00</t>
  </si>
  <si>
    <t>03JG00</t>
  </si>
  <si>
    <t>03JH00</t>
  </si>
  <si>
    <t>03JI00</t>
  </si>
  <si>
    <t>03JL00</t>
  </si>
  <si>
    <t>03JP00</t>
  </si>
  <si>
    <t>03JQ00</t>
  </si>
  <si>
    <t>03JS00</t>
  </si>
  <si>
    <t>03JW00</t>
  </si>
  <si>
    <t>03JX00</t>
  </si>
  <si>
    <t>03KA00</t>
  </si>
  <si>
    <t>03KF00</t>
  </si>
  <si>
    <t>03KI00</t>
  </si>
  <si>
    <t>03KJ00</t>
  </si>
  <si>
    <t>03KM00</t>
  </si>
  <si>
    <t>03KP00</t>
  </si>
  <si>
    <t>03KR00</t>
  </si>
  <si>
    <t>03KS00</t>
  </si>
  <si>
    <t>03KT00</t>
  </si>
  <si>
    <t>03KV00</t>
  </si>
  <si>
    <t>03KW00</t>
  </si>
  <si>
    <t>03KX00</t>
  </si>
  <si>
    <t>03LA00</t>
  </si>
  <si>
    <t>03LC00</t>
  </si>
  <si>
    <t>03LD00</t>
  </si>
  <si>
    <t>03LE00</t>
  </si>
  <si>
    <t>03LK00</t>
  </si>
  <si>
    <t>03LN00</t>
  </si>
  <si>
    <t>03LQ00</t>
  </si>
  <si>
    <t>03LR00</t>
  </si>
  <si>
    <t>03LS00</t>
  </si>
  <si>
    <t>03LT00</t>
  </si>
  <si>
    <t>03LX00</t>
  </si>
  <si>
    <t>03LY00</t>
  </si>
  <si>
    <t>03MA00</t>
  </si>
  <si>
    <t>03MF00</t>
  </si>
  <si>
    <t>03MH00</t>
  </si>
  <si>
    <t>03MI00</t>
  </si>
  <si>
    <t>03MJ00</t>
  </si>
  <si>
    <t>03MK00</t>
  </si>
  <si>
    <t>03ML00</t>
  </si>
  <si>
    <t>03MO00</t>
  </si>
  <si>
    <t>03MQ00</t>
  </si>
  <si>
    <t>03MR00</t>
  </si>
  <si>
    <t>03MT00</t>
  </si>
  <si>
    <t>03MW00</t>
  </si>
  <si>
    <t>03MX00</t>
  </si>
  <si>
    <t>03NB00</t>
  </si>
  <si>
    <t>03NC00</t>
  </si>
  <si>
    <t>03NE00</t>
  </si>
  <si>
    <t>03NF00</t>
  </si>
  <si>
    <t>03NH00</t>
  </si>
  <si>
    <t>03NI00</t>
  </si>
  <si>
    <t>03NJ00</t>
  </si>
  <si>
    <t>03NN00</t>
  </si>
  <si>
    <t>03NO00</t>
  </si>
  <si>
    <t>03NP00</t>
  </si>
  <si>
    <t>03NR00</t>
  </si>
  <si>
    <t>03NT00</t>
  </si>
  <si>
    <t>03NU00</t>
  </si>
  <si>
    <t>03NW00</t>
  </si>
  <si>
    <t>03NY00</t>
  </si>
  <si>
    <t>03NZ00</t>
  </si>
  <si>
    <t>03OA00</t>
  </si>
  <si>
    <t>03OB00</t>
  </si>
  <si>
    <t>03OC00</t>
  </si>
  <si>
    <t>03OJ00</t>
  </si>
  <si>
    <t>03OK00</t>
  </si>
  <si>
    <t>03OM00</t>
  </si>
  <si>
    <t>03ON00</t>
  </si>
  <si>
    <t>03OP00</t>
  </si>
  <si>
    <t>03OR00</t>
  </si>
  <si>
    <t>03OT00</t>
  </si>
  <si>
    <t>03OU00</t>
  </si>
  <si>
    <t>03PC00</t>
  </si>
  <si>
    <t>03PD00</t>
  </si>
  <si>
    <t>03PF00</t>
  </si>
  <si>
    <t>03PH00</t>
  </si>
  <si>
    <t>03PJ00</t>
  </si>
  <si>
    <t>03PK00</t>
  </si>
  <si>
    <t>03PL00</t>
  </si>
  <si>
    <t>03PM00</t>
  </si>
  <si>
    <t>03PN00</t>
  </si>
  <si>
    <t>03PP00</t>
  </si>
  <si>
    <t>03PQ00</t>
  </si>
  <si>
    <t>03PS00</t>
  </si>
  <si>
    <t>03PV00</t>
  </si>
  <si>
    <t>03PW00</t>
  </si>
  <si>
    <t>03PX00</t>
  </si>
  <si>
    <t>03PY00</t>
  </si>
  <si>
    <t>03QA00</t>
  </si>
  <si>
    <t>03QB00</t>
  </si>
  <si>
    <t>03QC00</t>
  </si>
  <si>
    <t>03QD00</t>
  </si>
  <si>
    <t>03QF00</t>
  </si>
  <si>
    <t>03QI00</t>
  </si>
  <si>
    <t>03QJ00</t>
  </si>
  <si>
    <t>03QK00</t>
  </si>
  <si>
    <t>03QL00</t>
  </si>
  <si>
    <t>03QN00</t>
  </si>
  <si>
    <t>03QO00</t>
  </si>
  <si>
    <t>03QP00</t>
  </si>
  <si>
    <t>03QQ00</t>
  </si>
  <si>
    <t>03QR00</t>
  </si>
  <si>
    <t>03QS00</t>
  </si>
  <si>
    <t>03QT00</t>
  </si>
  <si>
    <t>03QW00</t>
  </si>
  <si>
    <t>03QY00</t>
  </si>
  <si>
    <t>03QZ00</t>
  </si>
  <si>
    <t>03RA00</t>
  </si>
  <si>
    <t>03RC00</t>
  </si>
  <si>
    <t>03RD00</t>
  </si>
  <si>
    <t>03RE00</t>
  </si>
  <si>
    <t>03RG00</t>
  </si>
  <si>
    <t>03RK00</t>
  </si>
  <si>
    <t>03RL00</t>
  </si>
  <si>
    <t>03RN00</t>
  </si>
  <si>
    <t>03RO00</t>
  </si>
  <si>
    <t>03RO01</t>
  </si>
  <si>
    <t>03RP00</t>
  </si>
  <si>
    <t>03RQ00</t>
  </si>
  <si>
    <t>03RS00</t>
  </si>
  <si>
    <t>03RT00</t>
  </si>
  <si>
    <t>03RV00</t>
  </si>
  <si>
    <t>03RW00</t>
  </si>
  <si>
    <t>03RX00</t>
  </si>
  <si>
    <t>03RY00</t>
  </si>
  <si>
    <t>03RZ00</t>
  </si>
  <si>
    <t>03SB00</t>
  </si>
  <si>
    <t>03SC00</t>
  </si>
  <si>
    <t>03SE00</t>
  </si>
  <si>
    <t>03SG00</t>
  </si>
  <si>
    <t>03SH00</t>
  </si>
  <si>
    <t>03SJ00</t>
  </si>
  <si>
    <t>03SK00</t>
  </si>
  <si>
    <t>03SL00</t>
  </si>
  <si>
    <t>03SM00</t>
  </si>
  <si>
    <t>03SN00</t>
  </si>
  <si>
    <t>03SO00</t>
  </si>
  <si>
    <t>03SR00</t>
  </si>
  <si>
    <t>03ST00</t>
  </si>
  <si>
    <t>03SV00</t>
  </si>
  <si>
    <t>03SW00</t>
  </si>
  <si>
    <t>03SY00</t>
  </si>
  <si>
    <t>03TA00</t>
  </si>
  <si>
    <t>03TB00</t>
  </si>
  <si>
    <t>03TC00</t>
  </si>
  <si>
    <t>03TD00</t>
  </si>
  <si>
    <t>03TF00</t>
  </si>
  <si>
    <t>03TG00</t>
  </si>
  <si>
    <t>03TH00</t>
  </si>
  <si>
    <t>03TJ00</t>
  </si>
  <si>
    <t>03TL00</t>
  </si>
  <si>
    <t>03TM00</t>
  </si>
  <si>
    <t>03TN00</t>
  </si>
  <si>
    <t>03TO00</t>
  </si>
  <si>
    <t>03TP00</t>
  </si>
  <si>
    <t>03TQ00</t>
  </si>
  <si>
    <t>03TR00</t>
  </si>
  <si>
    <t>03TS00</t>
  </si>
  <si>
    <t>03TT00</t>
  </si>
  <si>
    <t>03TW00</t>
  </si>
  <si>
    <t>03TX00</t>
  </si>
  <si>
    <t>03TY00</t>
  </si>
  <si>
    <t>03TZ00</t>
  </si>
  <si>
    <t>03UA00</t>
  </si>
  <si>
    <t>03UB00</t>
  </si>
  <si>
    <t>03UC00</t>
  </si>
  <si>
    <t>03UE00</t>
  </si>
  <si>
    <t>03UG00</t>
  </si>
  <si>
    <t>03UJ00</t>
  </si>
  <si>
    <t>03UL00</t>
  </si>
  <si>
    <t>03UM00</t>
  </si>
  <si>
    <t>03UN00</t>
  </si>
  <si>
    <t>03UQ00</t>
  </si>
  <si>
    <t>03UR00</t>
  </si>
  <si>
    <t>03US00</t>
  </si>
  <si>
    <t>03UU00</t>
  </si>
  <si>
    <t>03UW00</t>
  </si>
  <si>
    <t>03UY00</t>
  </si>
  <si>
    <t>03UZ00</t>
  </si>
  <si>
    <t>03VA00</t>
  </si>
  <si>
    <t>03VB00</t>
  </si>
  <si>
    <t>03VC00</t>
  </si>
  <si>
    <t>03VD00</t>
  </si>
  <si>
    <t>03VE00</t>
  </si>
  <si>
    <t>03VG00</t>
  </si>
  <si>
    <t>03VH00</t>
  </si>
  <si>
    <t>03VI00</t>
  </si>
  <si>
    <t>03VK00</t>
  </si>
  <si>
    <t>03VL00</t>
  </si>
  <si>
    <t>03VP00</t>
  </si>
  <si>
    <t>03VQ00</t>
  </si>
  <si>
    <t>03VR00</t>
  </si>
  <si>
    <t>03VS00</t>
  </si>
  <si>
    <t>03VT00</t>
  </si>
  <si>
    <t>03VV00</t>
  </si>
  <si>
    <t>03VW00</t>
  </si>
  <si>
    <t>03VX00</t>
  </si>
  <si>
    <t>03VZ00</t>
  </si>
  <si>
    <t>03WD00</t>
  </si>
  <si>
    <t>03WE00</t>
  </si>
  <si>
    <t>03WF00</t>
  </si>
  <si>
    <t>03WG00</t>
  </si>
  <si>
    <t>03WH00</t>
  </si>
  <si>
    <t>03WI00</t>
  </si>
  <si>
    <t>03WK00</t>
  </si>
  <si>
    <t>03WL00</t>
  </si>
  <si>
    <t>03WM00</t>
  </si>
  <si>
    <t>03WN00</t>
  </si>
  <si>
    <t>03WT00</t>
  </si>
  <si>
    <t>03WU00</t>
  </si>
  <si>
    <t>03WV00</t>
  </si>
  <si>
    <t>03WX00</t>
  </si>
  <si>
    <t>03WY00</t>
  </si>
  <si>
    <t>03XA00</t>
  </si>
  <si>
    <t>03XB00</t>
  </si>
  <si>
    <t>03XC00</t>
  </si>
  <si>
    <t>03XE00</t>
  </si>
  <si>
    <t>03XH00</t>
  </si>
  <si>
    <t>03XI00</t>
  </si>
  <si>
    <t>03XJ00</t>
  </si>
  <si>
    <t>03XN00</t>
  </si>
  <si>
    <t>03XO00</t>
  </si>
  <si>
    <t>03XP00</t>
  </si>
  <si>
    <t>03XQ00</t>
  </si>
  <si>
    <t>03XT00</t>
  </si>
  <si>
    <t>03XV00</t>
  </si>
  <si>
    <t>03XW00</t>
  </si>
  <si>
    <t>03XX00</t>
  </si>
  <si>
    <t>03XY00</t>
  </si>
  <si>
    <t>03XZ00</t>
  </si>
  <si>
    <t>03YB00</t>
  </si>
  <si>
    <t>03YC00</t>
  </si>
  <si>
    <t>03YG00</t>
  </si>
  <si>
    <t>03YH00</t>
  </si>
  <si>
    <t>03YI00</t>
  </si>
  <si>
    <t>03YJ00</t>
  </si>
  <si>
    <t>03YL00</t>
  </si>
  <si>
    <t>03YM00</t>
  </si>
  <si>
    <t>03YN00</t>
  </si>
  <si>
    <t>03YO00</t>
  </si>
  <si>
    <t>03YP00</t>
  </si>
  <si>
    <t>03YS00</t>
  </si>
  <si>
    <t>03YW00</t>
  </si>
  <si>
    <t>03YY00</t>
  </si>
  <si>
    <t>03YZ00</t>
  </si>
  <si>
    <t>03ZB00</t>
  </si>
  <si>
    <t>03ZD00</t>
  </si>
  <si>
    <t>03ZE00</t>
  </si>
  <si>
    <t>03ZF00</t>
  </si>
  <si>
    <t>03ZH00</t>
  </si>
  <si>
    <t>03ZJ00</t>
  </si>
  <si>
    <t>03ZV00</t>
  </si>
  <si>
    <t>04AA00</t>
  </si>
  <si>
    <t>04AJ00</t>
  </si>
  <si>
    <t>04AM00</t>
  </si>
  <si>
    <t>04AW00</t>
  </si>
  <si>
    <t>04AZ00</t>
  </si>
  <si>
    <t>04BD00</t>
  </si>
  <si>
    <t>04BK00</t>
  </si>
  <si>
    <t>04BT00</t>
  </si>
  <si>
    <t>04CN00</t>
  </si>
  <si>
    <t>04CT00</t>
  </si>
  <si>
    <t>04DE00</t>
  </si>
  <si>
    <t>04DE01</t>
  </si>
  <si>
    <t>04DG00</t>
  </si>
  <si>
    <t>04DT00</t>
  </si>
  <si>
    <t>04DZ00</t>
  </si>
  <si>
    <t>04EC00</t>
  </si>
  <si>
    <t>04ED00</t>
  </si>
  <si>
    <t>04EN00</t>
  </si>
  <si>
    <t>04EV00</t>
  </si>
  <si>
    <t>04FB00</t>
  </si>
  <si>
    <t>04FD00</t>
  </si>
  <si>
    <t>04FE00</t>
  </si>
  <si>
    <t>04FF00</t>
  </si>
  <si>
    <t>04FH00</t>
  </si>
  <si>
    <t>04FI00</t>
  </si>
  <si>
    <t>04FJ00</t>
  </si>
  <si>
    <t>04FM00</t>
  </si>
  <si>
    <t>04FQ00</t>
  </si>
  <si>
    <t>04FT00</t>
  </si>
  <si>
    <t>04FV00</t>
  </si>
  <si>
    <t>04FX00</t>
  </si>
  <si>
    <t>04GB00</t>
  </si>
  <si>
    <t>04GD00</t>
  </si>
  <si>
    <t>04GF00</t>
  </si>
  <si>
    <t>04GH00</t>
  </si>
  <si>
    <t>04GK00</t>
  </si>
  <si>
    <t>04GX00</t>
  </si>
  <si>
    <t>04HB00</t>
  </si>
  <si>
    <t>04HC00</t>
  </si>
  <si>
    <t>04HM00</t>
  </si>
  <si>
    <t>04HO00</t>
  </si>
  <si>
    <t>04HS00</t>
  </si>
  <si>
    <t>04HT00</t>
  </si>
  <si>
    <t>04HU00</t>
  </si>
  <si>
    <t>04HW00</t>
  </si>
  <si>
    <t>04HX00</t>
  </si>
  <si>
    <t>04HY00</t>
  </si>
  <si>
    <t>04HZ00</t>
  </si>
  <si>
    <t>04IA00</t>
  </si>
  <si>
    <t>04IB00</t>
  </si>
  <si>
    <t>04IM00</t>
  </si>
  <si>
    <t>04IM01</t>
  </si>
  <si>
    <t>04IP00</t>
  </si>
  <si>
    <t>04IQ00</t>
  </si>
  <si>
    <t>04IR00</t>
  </si>
  <si>
    <t>04IT00</t>
  </si>
  <si>
    <t>04IU00</t>
  </si>
  <si>
    <t>04IY00</t>
  </si>
  <si>
    <t>04IZ00</t>
  </si>
  <si>
    <t>04JA00</t>
  </si>
  <si>
    <t>04JF00</t>
  </si>
  <si>
    <t>04JG00</t>
  </si>
  <si>
    <t>04JI00</t>
  </si>
  <si>
    <t>04JJ00</t>
  </si>
  <si>
    <t>04JO00</t>
  </si>
  <si>
    <t>04JR00</t>
  </si>
  <si>
    <t>04JS00</t>
  </si>
  <si>
    <t>04JU00</t>
  </si>
  <si>
    <t>04JV00</t>
  </si>
  <si>
    <t>04JW00</t>
  </si>
  <si>
    <t>04JX00</t>
  </si>
  <si>
    <t>04KC00</t>
  </si>
  <si>
    <t>04KD00</t>
  </si>
  <si>
    <t>04KI00</t>
  </si>
  <si>
    <t>04KI01</t>
  </si>
  <si>
    <t>04KJ00</t>
  </si>
  <si>
    <t>04KM00</t>
  </si>
  <si>
    <t>04KN00</t>
  </si>
  <si>
    <t>04KT00</t>
  </si>
  <si>
    <t>04KU00</t>
  </si>
  <si>
    <t>04KY00</t>
  </si>
  <si>
    <t>04KZ00</t>
  </si>
  <si>
    <t>04LA00</t>
  </si>
  <si>
    <t>04LB00</t>
  </si>
  <si>
    <t>04LD00</t>
  </si>
  <si>
    <t>04LG00</t>
  </si>
  <si>
    <t>04LI00</t>
  </si>
  <si>
    <t>04LJ00</t>
  </si>
  <si>
    <t>04LK00</t>
  </si>
  <si>
    <t>04LL00</t>
  </si>
  <si>
    <t>04LM00</t>
  </si>
  <si>
    <t>04LN00</t>
  </si>
  <si>
    <t>04LO00</t>
  </si>
  <si>
    <t>04LP00</t>
  </si>
  <si>
    <t>04LR00</t>
  </si>
  <si>
    <t>04LV00</t>
  </si>
  <si>
    <t>04LW00</t>
  </si>
  <si>
    <t>04LX00</t>
  </si>
  <si>
    <t>04LY00</t>
  </si>
  <si>
    <t>04MA00</t>
  </si>
  <si>
    <t>04MB00</t>
  </si>
  <si>
    <t>04MD00</t>
  </si>
  <si>
    <t>04MF00</t>
  </si>
  <si>
    <t>04MG00</t>
  </si>
  <si>
    <t>04MJ00</t>
  </si>
  <si>
    <t>04MK00</t>
  </si>
  <si>
    <t>04ML00</t>
  </si>
  <si>
    <t>04MN00</t>
  </si>
  <si>
    <t>04MS00</t>
  </si>
  <si>
    <t>04MU00</t>
  </si>
  <si>
    <t>04MV00</t>
  </si>
  <si>
    <t>04MY00</t>
  </si>
  <si>
    <t>04MZ00</t>
  </si>
  <si>
    <t>04NA00</t>
  </si>
  <si>
    <t>04NB00</t>
  </si>
  <si>
    <t>04NC00</t>
  </si>
  <si>
    <t>04ND00</t>
  </si>
  <si>
    <t>04NH00</t>
  </si>
  <si>
    <t>04NI00</t>
  </si>
  <si>
    <t>04NN00</t>
  </si>
  <si>
    <t>04NO00</t>
  </si>
  <si>
    <t>04NP00</t>
  </si>
  <si>
    <t>04NR00</t>
  </si>
  <si>
    <t>04NS00</t>
  </si>
  <si>
    <t>04NT00</t>
  </si>
  <si>
    <t>04NU00</t>
  </si>
  <si>
    <t>04NV00</t>
  </si>
  <si>
    <t>04NW00</t>
  </si>
  <si>
    <t>04OA00</t>
  </si>
  <si>
    <t>04OB00</t>
  </si>
  <si>
    <t>04OC00</t>
  </si>
  <si>
    <t>04OE00</t>
  </si>
  <si>
    <t>04OF00</t>
  </si>
  <si>
    <t>04OH00</t>
  </si>
  <si>
    <t>04OL00</t>
  </si>
  <si>
    <t>04OM00</t>
  </si>
  <si>
    <t>04ON00</t>
  </si>
  <si>
    <t>04ON01</t>
  </si>
  <si>
    <t>04OR00</t>
  </si>
  <si>
    <t>04OS00</t>
  </si>
  <si>
    <t>04OT00</t>
  </si>
  <si>
    <t>04OV00</t>
  </si>
  <si>
    <t>04OW00</t>
  </si>
  <si>
    <t>04PA00</t>
  </si>
  <si>
    <t>04PE00</t>
  </si>
  <si>
    <t>04PF00</t>
  </si>
  <si>
    <t>04PH00</t>
  </si>
  <si>
    <t>04PI00</t>
  </si>
  <si>
    <t>04PJ00</t>
  </si>
  <si>
    <t>04PK00</t>
  </si>
  <si>
    <t>04PL00</t>
  </si>
  <si>
    <t>04PN00</t>
  </si>
  <si>
    <t>04PO00</t>
  </si>
  <si>
    <t>04PP00</t>
  </si>
  <si>
    <t>04PQ00</t>
  </si>
  <si>
    <t>04PR00</t>
  </si>
  <si>
    <t>04PS00</t>
  </si>
  <si>
    <t>04PT00</t>
  </si>
  <si>
    <t>04PV00</t>
  </si>
  <si>
    <t>04PW00</t>
  </si>
  <si>
    <t>04PX00</t>
  </si>
  <si>
    <t>04PY00</t>
  </si>
  <si>
    <t>04PZ00</t>
  </si>
  <si>
    <t>04QC00</t>
  </si>
  <si>
    <t>04QD00</t>
  </si>
  <si>
    <t>04QE00</t>
  </si>
  <si>
    <t>04QG00</t>
  </si>
  <si>
    <t>04QH00</t>
  </si>
  <si>
    <t>04QI00</t>
  </si>
  <si>
    <t>04QL00</t>
  </si>
  <si>
    <t>04QM00</t>
  </si>
  <si>
    <t>04QN00</t>
  </si>
  <si>
    <t>04QP00</t>
  </si>
  <si>
    <t>04QQ00</t>
  </si>
  <si>
    <t>04QR00</t>
  </si>
  <si>
    <t>04QT00</t>
  </si>
  <si>
    <t>04QU00</t>
  </si>
  <si>
    <t>04QV00</t>
  </si>
  <si>
    <t>04QX00</t>
  </si>
  <si>
    <t>04QY00</t>
  </si>
  <si>
    <t>04RA00</t>
  </si>
  <si>
    <t>04RC00</t>
  </si>
  <si>
    <t>04RF00</t>
  </si>
  <si>
    <t>04RH00</t>
  </si>
  <si>
    <t>04RI00</t>
  </si>
  <si>
    <t>04RJ00</t>
  </si>
  <si>
    <t>04RK00</t>
  </si>
  <si>
    <t>04RL00</t>
  </si>
  <si>
    <t>04RM00</t>
  </si>
  <si>
    <t>04RO00</t>
  </si>
  <si>
    <t>04RP00</t>
  </si>
  <si>
    <t>04RQ00</t>
  </si>
  <si>
    <t>04RS00</t>
  </si>
  <si>
    <t>04RT00</t>
  </si>
  <si>
    <t>04RU00</t>
  </si>
  <si>
    <t>04RV00</t>
  </si>
  <si>
    <t>04RX00</t>
  </si>
  <si>
    <t>04SB00</t>
  </si>
  <si>
    <t>04SC00</t>
  </si>
  <si>
    <t>04SG00</t>
  </si>
  <si>
    <t>04SI00</t>
  </si>
  <si>
    <t>04SJ00</t>
  </si>
  <si>
    <t>04SK00</t>
  </si>
  <si>
    <t>04SL00</t>
  </si>
  <si>
    <t>04SN00</t>
  </si>
  <si>
    <t>04SO00</t>
  </si>
  <si>
    <t>04SP00</t>
  </si>
  <si>
    <t>04SR00</t>
  </si>
  <si>
    <t>04ST00</t>
  </si>
  <si>
    <t>04SV00</t>
  </si>
  <si>
    <t>04SW00</t>
  </si>
  <si>
    <t>04SX00</t>
  </si>
  <si>
    <t>04SY00</t>
  </si>
  <si>
    <t>04TA00</t>
  </si>
  <si>
    <t>04TB00</t>
  </si>
  <si>
    <t>04TC00</t>
  </si>
  <si>
    <t>04TD00</t>
  </si>
  <si>
    <t>04TE00</t>
  </si>
  <si>
    <t>04TF00</t>
  </si>
  <si>
    <t>04TG00</t>
  </si>
  <si>
    <t>04TH00</t>
  </si>
  <si>
    <t>04TK00</t>
  </si>
  <si>
    <t>04TL00</t>
  </si>
  <si>
    <t>04TL01</t>
  </si>
  <si>
    <t>04TM00</t>
  </si>
  <si>
    <t>04TN00</t>
  </si>
  <si>
    <t>04TQ00</t>
  </si>
  <si>
    <t>04TT00</t>
  </si>
  <si>
    <t>04TU00</t>
  </si>
  <si>
    <t>04TV00</t>
  </si>
  <si>
    <t>04TW00</t>
  </si>
  <si>
    <t>04TX00</t>
  </si>
  <si>
    <t>04UA00</t>
  </si>
  <si>
    <t>04UB00</t>
  </si>
  <si>
    <t>04UC00</t>
  </si>
  <si>
    <t>04UD00</t>
  </si>
  <si>
    <t>04UF00</t>
  </si>
  <si>
    <t>04UG00</t>
  </si>
  <si>
    <t>04UH00</t>
  </si>
  <si>
    <t>04UI00</t>
  </si>
  <si>
    <t>04UK00</t>
  </si>
  <si>
    <t>04UL00</t>
  </si>
  <si>
    <t>04UN00</t>
  </si>
  <si>
    <t>04UO00</t>
  </si>
  <si>
    <t>04UQ00</t>
  </si>
  <si>
    <t>04UR00</t>
  </si>
  <si>
    <t>04US00</t>
  </si>
  <si>
    <t>04UT00</t>
  </si>
  <si>
    <t>04UU00</t>
  </si>
  <si>
    <t>04UV00</t>
  </si>
  <si>
    <t>04UW00</t>
  </si>
  <si>
    <t>04UZ00</t>
  </si>
  <si>
    <t>04VA00</t>
  </si>
  <si>
    <t>04VD00</t>
  </si>
  <si>
    <t>04VF00</t>
  </si>
  <si>
    <t>04VG00</t>
  </si>
  <si>
    <t>04VH00</t>
  </si>
  <si>
    <t>04VI00</t>
  </si>
  <si>
    <t>04VJ00</t>
  </si>
  <si>
    <t>04VK00</t>
  </si>
  <si>
    <t>04VL00</t>
  </si>
  <si>
    <t>04VM00</t>
  </si>
  <si>
    <t>04VN00</t>
  </si>
  <si>
    <t>04VO00</t>
  </si>
  <si>
    <t>04VQ00</t>
  </si>
  <si>
    <t>04VR00</t>
  </si>
  <si>
    <t>04VS00</t>
  </si>
  <si>
    <t>04VT00</t>
  </si>
  <si>
    <t>04VV00</t>
  </si>
  <si>
    <t>04VW00</t>
  </si>
  <si>
    <t>04VX00</t>
  </si>
  <si>
    <t>04VY00</t>
  </si>
  <si>
    <t>04WC00</t>
  </si>
  <si>
    <t>04WD00</t>
  </si>
  <si>
    <t>04WG00</t>
  </si>
  <si>
    <t>04WJ00</t>
  </si>
  <si>
    <t>04WL00</t>
  </si>
  <si>
    <t>04WM00</t>
  </si>
  <si>
    <t>04WO00</t>
  </si>
  <si>
    <t>04WQ00</t>
  </si>
  <si>
    <t>04WR00</t>
  </si>
  <si>
    <t>04WS00</t>
  </si>
  <si>
    <t>04WT00</t>
  </si>
  <si>
    <t>04WU00</t>
  </si>
  <si>
    <t>04WV00</t>
  </si>
  <si>
    <t>04WW00</t>
  </si>
  <si>
    <t>04WX00</t>
  </si>
  <si>
    <t>04XA00</t>
  </si>
  <si>
    <t>04XB00</t>
  </si>
  <si>
    <t>04XC00</t>
  </si>
  <si>
    <t>04XD00</t>
  </si>
  <si>
    <t>04XH00</t>
  </si>
  <si>
    <t>04XL00</t>
  </si>
  <si>
    <t>04XS00</t>
  </si>
  <si>
    <t>04XT00</t>
  </si>
  <si>
    <t>04XW00</t>
  </si>
  <si>
    <t>04XX00</t>
  </si>
  <si>
    <t>04XZ00</t>
  </si>
  <si>
    <t>04YG00</t>
  </si>
  <si>
    <t>04YJ00</t>
  </si>
  <si>
    <t>04YQ00</t>
  </si>
  <si>
    <t>04YR00</t>
  </si>
  <si>
    <t>04YT00</t>
  </si>
  <si>
    <t>04YU00</t>
  </si>
  <si>
    <t>04YY00</t>
  </si>
  <si>
    <t>04YZ00</t>
  </si>
  <si>
    <t>04ZB00</t>
  </si>
  <si>
    <t>04ZF00</t>
  </si>
  <si>
    <t>04ZG00</t>
  </si>
  <si>
    <t>04ZI00</t>
  </si>
  <si>
    <t>04ZM00</t>
  </si>
  <si>
    <t>04ZO00</t>
  </si>
  <si>
    <t>04ZS00</t>
  </si>
  <si>
    <t>04ZT00</t>
  </si>
  <si>
    <t>04ZV00</t>
  </si>
  <si>
    <t>04ZW00</t>
  </si>
  <si>
    <t>04ZX00</t>
  </si>
  <si>
    <t>05AF00</t>
  </si>
  <si>
    <t>05AI00</t>
  </si>
  <si>
    <t>05AO00</t>
  </si>
  <si>
    <t>05AT00</t>
  </si>
  <si>
    <t>05AU00</t>
  </si>
  <si>
    <t>05AY00</t>
  </si>
  <si>
    <t>05BB00</t>
  </si>
  <si>
    <t>05BC00</t>
  </si>
  <si>
    <t>05BE00</t>
  </si>
  <si>
    <t>05BF00</t>
  </si>
  <si>
    <t>05BG00</t>
  </si>
  <si>
    <t>05BH00</t>
  </si>
  <si>
    <t>05BI00</t>
  </si>
  <si>
    <t>05BJ00</t>
  </si>
  <si>
    <t>05BK00</t>
  </si>
  <si>
    <t>05BL00</t>
  </si>
  <si>
    <t>05BM00</t>
  </si>
  <si>
    <t>05BN00</t>
  </si>
  <si>
    <t>05BO00</t>
  </si>
  <si>
    <t>05BQ00</t>
  </si>
  <si>
    <t>05BR00</t>
  </si>
  <si>
    <t>05BS00</t>
  </si>
  <si>
    <t>05BT00</t>
  </si>
  <si>
    <t>05BU00</t>
  </si>
  <si>
    <t>05BX00</t>
  </si>
  <si>
    <t>05BY00</t>
  </si>
  <si>
    <t>05CB00</t>
  </si>
  <si>
    <t>05CC00</t>
  </si>
  <si>
    <t>05CD00</t>
  </si>
  <si>
    <t>05CH00</t>
  </si>
  <si>
    <t>05CJ00</t>
  </si>
  <si>
    <t>05CN00</t>
  </si>
  <si>
    <t>05CO00</t>
  </si>
  <si>
    <t>05CP00</t>
  </si>
  <si>
    <t>05CS00</t>
  </si>
  <si>
    <t>05CT00</t>
  </si>
  <si>
    <t>05CX00</t>
  </si>
  <si>
    <t>05CZ00</t>
  </si>
  <si>
    <t>05DA00</t>
  </si>
  <si>
    <t>05DB00</t>
  </si>
  <si>
    <t>05DC00</t>
  </si>
  <si>
    <t>05DD00</t>
  </si>
  <si>
    <t>05DF00</t>
  </si>
  <si>
    <t>05DG00</t>
  </si>
  <si>
    <t>05DH00</t>
  </si>
  <si>
    <t>05DJ00</t>
  </si>
  <si>
    <t>05DK00</t>
  </si>
  <si>
    <t>05DM00</t>
  </si>
  <si>
    <t>05DN00</t>
  </si>
  <si>
    <t>05DO00</t>
  </si>
  <si>
    <t>05DP00</t>
  </si>
  <si>
    <t>05DQ00</t>
  </si>
  <si>
    <t>05DT00</t>
  </si>
  <si>
    <t>05DU00</t>
  </si>
  <si>
    <t>05DV00</t>
  </si>
  <si>
    <t>05DW00</t>
  </si>
  <si>
    <t>05DX00</t>
  </si>
  <si>
    <t>05ED00</t>
  </si>
  <si>
    <t>05EF00</t>
  </si>
  <si>
    <t>05EG00</t>
  </si>
  <si>
    <t>05EH00</t>
  </si>
  <si>
    <t>05EJ00</t>
  </si>
  <si>
    <t>05EN00</t>
  </si>
  <si>
    <t>05EO00</t>
  </si>
  <si>
    <t>05EP00</t>
  </si>
  <si>
    <t>05ER00</t>
  </si>
  <si>
    <t>05ES00</t>
  </si>
  <si>
    <t>05EV00</t>
  </si>
  <si>
    <t>05EY00</t>
  </si>
  <si>
    <t>05EZ00</t>
  </si>
  <si>
    <t>05FA00</t>
  </si>
  <si>
    <t>05FG00</t>
  </si>
  <si>
    <t>05FH00</t>
  </si>
  <si>
    <t>05FK00</t>
  </si>
  <si>
    <t>05FM00</t>
  </si>
  <si>
    <t>05FP00</t>
  </si>
  <si>
    <t>05FR00</t>
  </si>
  <si>
    <t>05FS00</t>
  </si>
  <si>
    <t>05FU00</t>
  </si>
  <si>
    <t>05FV00</t>
  </si>
  <si>
    <t>05FX00</t>
  </si>
  <si>
    <t>05FZ00</t>
  </si>
  <si>
    <t>05GC00</t>
  </si>
  <si>
    <t>05GE00</t>
  </si>
  <si>
    <t>05GF00</t>
  </si>
  <si>
    <t>05GH00</t>
  </si>
  <si>
    <t>05GJ00</t>
  </si>
  <si>
    <t>05GK00</t>
  </si>
  <si>
    <t>05GL00</t>
  </si>
  <si>
    <t>05GM00</t>
  </si>
  <si>
    <t>05GP00</t>
  </si>
  <si>
    <t>05GQ00</t>
  </si>
  <si>
    <t>05GR00</t>
  </si>
  <si>
    <t>05GU00</t>
  </si>
  <si>
    <t>05GY00</t>
  </si>
  <si>
    <t>05HA00</t>
  </si>
  <si>
    <t>05HC00</t>
  </si>
  <si>
    <t>05HD00</t>
  </si>
  <si>
    <t>05HF00</t>
  </si>
  <si>
    <t>05HH00</t>
  </si>
  <si>
    <t>05HL00</t>
  </si>
  <si>
    <t>05HO00</t>
  </si>
  <si>
    <t>05HU00</t>
  </si>
  <si>
    <t>05HV00</t>
  </si>
  <si>
    <t>05HW00</t>
  </si>
  <si>
    <t>05HZ00</t>
  </si>
  <si>
    <t>05IA00</t>
  </si>
  <si>
    <t>05IB00</t>
  </si>
  <si>
    <t>05ID00</t>
  </si>
  <si>
    <t>05IE00</t>
  </si>
  <si>
    <t>05IF00</t>
  </si>
  <si>
    <t>05IH00</t>
  </si>
  <si>
    <t>05IJ00</t>
  </si>
  <si>
    <t>05IK00</t>
  </si>
  <si>
    <t>05IL00</t>
  </si>
  <si>
    <t>05IM00</t>
  </si>
  <si>
    <t>05IQ00</t>
  </si>
  <si>
    <t>05IS00</t>
  </si>
  <si>
    <t>05IT00</t>
  </si>
  <si>
    <t>05IU00</t>
  </si>
  <si>
    <t>05IV00</t>
  </si>
  <si>
    <t>05IW00</t>
  </si>
  <si>
    <t>05IX00</t>
  </si>
  <si>
    <t>05IZ00</t>
  </si>
  <si>
    <t>05JA00</t>
  </si>
  <si>
    <t>05JC00</t>
  </si>
  <si>
    <t>05JE00</t>
  </si>
  <si>
    <t>05JF00</t>
  </si>
  <si>
    <t>05JG00</t>
  </si>
  <si>
    <t>05JH00</t>
  </si>
  <si>
    <t>05JI00</t>
  </si>
  <si>
    <t>05JJ00</t>
  </si>
  <si>
    <t>05JK00</t>
  </si>
  <si>
    <t>05JL00</t>
  </si>
  <si>
    <t>05JM00</t>
  </si>
  <si>
    <t>05JN00</t>
  </si>
  <si>
    <t>05JO00</t>
  </si>
  <si>
    <t>05JP00</t>
  </si>
  <si>
    <t>05JQ00</t>
  </si>
  <si>
    <t>05JR00</t>
  </si>
  <si>
    <t>05JU00</t>
  </si>
  <si>
    <t>05JV00</t>
  </si>
  <si>
    <t>05JW00</t>
  </si>
  <si>
    <t>05JX00</t>
  </si>
  <si>
    <t>05JY00</t>
  </si>
  <si>
    <t>05JZ00</t>
  </si>
  <si>
    <t>05KA00</t>
  </si>
  <si>
    <t>05KB00</t>
  </si>
  <si>
    <t>05KH00</t>
  </si>
  <si>
    <t>05KK00</t>
  </si>
  <si>
    <t>05KL00</t>
  </si>
  <si>
    <t>05KP00</t>
  </si>
  <si>
    <t>05KQ00</t>
  </si>
  <si>
    <t>05KR00</t>
  </si>
  <si>
    <t>05KT00</t>
  </si>
  <si>
    <t>05KU00</t>
  </si>
  <si>
    <t>05KW00</t>
  </si>
  <si>
    <t>05KX00</t>
  </si>
  <si>
    <t>05KZ00</t>
  </si>
  <si>
    <t>05LB00</t>
  </si>
  <si>
    <t>05LC00</t>
  </si>
  <si>
    <t>05LL00</t>
  </si>
  <si>
    <t>05LN00</t>
  </si>
  <si>
    <t>05LP00</t>
  </si>
  <si>
    <t>05LQ00</t>
  </si>
  <si>
    <t>05LR00</t>
  </si>
  <si>
    <t>05LS00</t>
  </si>
  <si>
    <t>05LT00</t>
  </si>
  <si>
    <t>05LU00</t>
  </si>
  <si>
    <t>05LV00</t>
  </si>
  <si>
    <t>05LX00</t>
  </si>
  <si>
    <t>05LY00</t>
  </si>
  <si>
    <t>05LZ00</t>
  </si>
  <si>
    <t>05MA00</t>
  </si>
  <si>
    <t>05MC00</t>
  </si>
  <si>
    <t>05MD00</t>
  </si>
  <si>
    <t>05ME00</t>
  </si>
  <si>
    <t>05MG00</t>
  </si>
  <si>
    <t>05MH00</t>
  </si>
  <si>
    <t>05MI00</t>
  </si>
  <si>
    <t>05MJ00</t>
  </si>
  <si>
    <t>05MK00</t>
  </si>
  <si>
    <t>05ML00</t>
  </si>
  <si>
    <t>05MM00</t>
  </si>
  <si>
    <t>05MQ00</t>
  </si>
  <si>
    <t>05MT00</t>
  </si>
  <si>
    <t>05MU00</t>
  </si>
  <si>
    <t>05MX00</t>
  </si>
  <si>
    <t>05MY00</t>
  </si>
  <si>
    <t>05NA00</t>
  </si>
  <si>
    <t>05NI00</t>
  </si>
  <si>
    <t>05NJ00</t>
  </si>
  <si>
    <t>05NM00</t>
  </si>
  <si>
    <t>05NN00</t>
  </si>
  <si>
    <t>05NO00</t>
  </si>
  <si>
    <t>05NP00</t>
  </si>
  <si>
    <t>05NQ00</t>
  </si>
  <si>
    <t>05NS00</t>
  </si>
  <si>
    <t>05NT00</t>
  </si>
  <si>
    <t>05NU00</t>
  </si>
  <si>
    <t>05NW00</t>
  </si>
  <si>
    <t>05NY00</t>
  </si>
  <si>
    <t>05OC00</t>
  </si>
  <si>
    <t>05OD00</t>
  </si>
  <si>
    <t>05OF00</t>
  </si>
  <si>
    <t>05OJ00</t>
  </si>
  <si>
    <t>05OK00</t>
  </si>
  <si>
    <t>05OL00</t>
  </si>
  <si>
    <t>05OM00</t>
  </si>
  <si>
    <t>05OM01</t>
  </si>
  <si>
    <t>05ON00</t>
  </si>
  <si>
    <t>05OQ00</t>
  </si>
  <si>
    <t>05OR00</t>
  </si>
  <si>
    <t>05OS00</t>
  </si>
  <si>
    <t>05OU00</t>
  </si>
  <si>
    <t>05OV00</t>
  </si>
  <si>
    <t>05OW00</t>
  </si>
  <si>
    <t>05OY00</t>
  </si>
  <si>
    <t>05OZ00</t>
  </si>
  <si>
    <t>05PA00</t>
  </si>
  <si>
    <t>05PC00</t>
  </si>
  <si>
    <t>05PD00</t>
  </si>
  <si>
    <t>05PF00</t>
  </si>
  <si>
    <t>05PH00</t>
  </si>
  <si>
    <t>05PJ00</t>
  </si>
  <si>
    <t>05PK00</t>
  </si>
  <si>
    <t>05PM00</t>
  </si>
  <si>
    <t>05PO00</t>
  </si>
  <si>
    <t>05PQ00</t>
  </si>
  <si>
    <t>05PR00</t>
  </si>
  <si>
    <t>05PS00</t>
  </si>
  <si>
    <t>05PV00</t>
  </si>
  <si>
    <t>05PX00</t>
  </si>
  <si>
    <t>05QA00</t>
  </si>
  <si>
    <t>05QB00</t>
  </si>
  <si>
    <t>05QD00</t>
  </si>
  <si>
    <t>05QE00</t>
  </si>
  <si>
    <t>05QF00</t>
  </si>
  <si>
    <t>05QH00</t>
  </si>
  <si>
    <t>05QI00</t>
  </si>
  <si>
    <t>05QJ00</t>
  </si>
  <si>
    <t>05QM00</t>
  </si>
  <si>
    <t>05QN00</t>
  </si>
  <si>
    <t>05QO00</t>
  </si>
  <si>
    <t>05QP00</t>
  </si>
  <si>
    <t>05QS00</t>
  </si>
  <si>
    <t>05QT00</t>
  </si>
  <si>
    <t>05QU00</t>
  </si>
  <si>
    <t>05QV00</t>
  </si>
  <si>
    <t>05QW00</t>
  </si>
  <si>
    <t>05QX00</t>
  </si>
  <si>
    <t>05RB00</t>
  </si>
  <si>
    <t>05RC00</t>
  </si>
  <si>
    <t>05RD00</t>
  </si>
  <si>
    <t>05RE00</t>
  </si>
  <si>
    <t>05RG00</t>
  </si>
  <si>
    <t>05RH00</t>
  </si>
  <si>
    <t>05RK00</t>
  </si>
  <si>
    <t>05RL00</t>
  </si>
  <si>
    <t>05RM00</t>
  </si>
  <si>
    <t>05RN00</t>
  </si>
  <si>
    <t>05RO00</t>
  </si>
  <si>
    <t>05RR00</t>
  </si>
  <si>
    <t>05RS00</t>
  </si>
  <si>
    <t>05RT00</t>
  </si>
  <si>
    <t>05RV00</t>
  </si>
  <si>
    <t>05RW00</t>
  </si>
  <si>
    <t>05RX00</t>
  </si>
  <si>
    <t>05RY00</t>
  </si>
  <si>
    <t>05RZ00</t>
  </si>
  <si>
    <t>05SB00</t>
  </si>
  <si>
    <t>05SC00</t>
  </si>
  <si>
    <t>05SE00</t>
  </si>
  <si>
    <t>05SF00</t>
  </si>
  <si>
    <t>05SG00</t>
  </si>
  <si>
    <t>05SI00</t>
  </si>
  <si>
    <t>05SJ00</t>
  </si>
  <si>
    <t>05SK00</t>
  </si>
  <si>
    <t>05SL00</t>
  </si>
  <si>
    <t>05SM00</t>
  </si>
  <si>
    <t>05SO00</t>
  </si>
  <si>
    <t>05SP00</t>
  </si>
  <si>
    <t>05SR00</t>
  </si>
  <si>
    <t>05SW00</t>
  </si>
  <si>
    <t>05SX00</t>
  </si>
  <si>
    <t>05SY00</t>
  </si>
  <si>
    <t>05SZ00</t>
  </si>
  <si>
    <t>05TB00</t>
  </si>
  <si>
    <t>05TE00</t>
  </si>
  <si>
    <t>05TF00</t>
  </si>
  <si>
    <t>05TG00</t>
  </si>
  <si>
    <t>05TH00</t>
  </si>
  <si>
    <t>05TI00</t>
  </si>
  <si>
    <t>05TL00</t>
  </si>
  <si>
    <t>05TM00</t>
  </si>
  <si>
    <t>05TN00</t>
  </si>
  <si>
    <t>05TO00</t>
  </si>
  <si>
    <t>05TR00</t>
  </si>
  <si>
    <t>05TS00</t>
  </si>
  <si>
    <t>05TT00</t>
  </si>
  <si>
    <t>05TU00</t>
  </si>
  <si>
    <t>05TV00</t>
  </si>
  <si>
    <t>05TW00</t>
  </si>
  <si>
    <t>05TY00</t>
  </si>
  <si>
    <t>05TZ00</t>
  </si>
  <si>
    <t>05UE00</t>
  </si>
  <si>
    <t>05UF00</t>
  </si>
  <si>
    <t>05UG00</t>
  </si>
  <si>
    <t>05UK00</t>
  </si>
  <si>
    <t>05UL00</t>
  </si>
  <si>
    <t>05UM00</t>
  </si>
  <si>
    <t>05UN00</t>
  </si>
  <si>
    <t>05UO00</t>
  </si>
  <si>
    <t>05UR00</t>
  </si>
  <si>
    <t>05US00</t>
  </si>
  <si>
    <t>05UT00</t>
  </si>
  <si>
    <t>05UU00</t>
  </si>
  <si>
    <t>05UW00</t>
  </si>
  <si>
    <t>05UX00</t>
  </si>
  <si>
    <t>05UY00</t>
  </si>
  <si>
    <t>05VA00</t>
  </si>
  <si>
    <t>05VC00</t>
  </si>
  <si>
    <t>05VD00</t>
  </si>
  <si>
    <t>05VG00</t>
  </si>
  <si>
    <t>05VJ00</t>
  </si>
  <si>
    <t>05VK00</t>
  </si>
  <si>
    <t>05VL00</t>
  </si>
  <si>
    <t>05VM00</t>
  </si>
  <si>
    <t>05VO00</t>
  </si>
  <si>
    <t>05VO01</t>
  </si>
  <si>
    <t>05VP00</t>
  </si>
  <si>
    <t>05VR00</t>
  </si>
  <si>
    <t>05VS00</t>
  </si>
  <si>
    <t>05VT00</t>
  </si>
  <si>
    <t>05VU00</t>
  </si>
  <si>
    <t>05VV00</t>
  </si>
  <si>
    <t>05VW00</t>
  </si>
  <si>
    <t>05VX00</t>
  </si>
  <si>
    <t>05VY00</t>
  </si>
  <si>
    <t>05WB00</t>
  </si>
  <si>
    <t>05WD00</t>
  </si>
  <si>
    <t>05WG00</t>
  </si>
  <si>
    <t>05WH00</t>
  </si>
  <si>
    <t>05WI00</t>
  </si>
  <si>
    <t>05WJ00</t>
  </si>
  <si>
    <t>05WK00</t>
  </si>
  <si>
    <t>05WL00</t>
  </si>
  <si>
    <t>05WM00</t>
  </si>
  <si>
    <t>05WN00</t>
  </si>
  <si>
    <t>05WR00</t>
  </si>
  <si>
    <t>05WS00</t>
  </si>
  <si>
    <t>05WT00</t>
  </si>
  <si>
    <t>05WU00</t>
  </si>
  <si>
    <t>05WV00</t>
  </si>
  <si>
    <t>05WZ00</t>
  </si>
  <si>
    <t>05XB00</t>
  </si>
  <si>
    <t>05XC00</t>
  </si>
  <si>
    <t>05XD00</t>
  </si>
  <si>
    <t>05XE00</t>
  </si>
  <si>
    <t>05XF00</t>
  </si>
  <si>
    <t>05XH00</t>
  </si>
  <si>
    <t>05XI00</t>
  </si>
  <si>
    <t>05XQ00</t>
  </si>
  <si>
    <t>05XR00</t>
  </si>
  <si>
    <t>05XW00</t>
  </si>
  <si>
    <t>05XX00</t>
  </si>
  <si>
    <t>05XZ00</t>
  </si>
  <si>
    <t>05YA00</t>
  </si>
  <si>
    <t>05YC00</t>
  </si>
  <si>
    <t>05YD00</t>
  </si>
  <si>
    <t>05YE00</t>
  </si>
  <si>
    <t>05YK00</t>
  </si>
  <si>
    <t>05YL00</t>
  </si>
  <si>
    <t>05YQ00</t>
  </si>
  <si>
    <t>05YR00</t>
  </si>
  <si>
    <t>05YS00</t>
  </si>
  <si>
    <t>05YT00</t>
  </si>
  <si>
    <t>05YW00</t>
  </si>
  <si>
    <t>05ZE00</t>
  </si>
  <si>
    <t>05ZF00</t>
  </si>
  <si>
    <t>05ZG00</t>
  </si>
  <si>
    <t>05ZH00</t>
  </si>
  <si>
    <t>05ZI00</t>
  </si>
  <si>
    <t>05ZQ00</t>
  </si>
  <si>
    <t>05ZR00</t>
  </si>
  <si>
    <t>05ZS00</t>
  </si>
  <si>
    <t>05ZT00</t>
  </si>
  <si>
    <t>05ZU00</t>
  </si>
  <si>
    <t>05ZW00</t>
  </si>
  <si>
    <t>05ZX00</t>
  </si>
  <si>
    <t>05ZY00</t>
  </si>
  <si>
    <t>05ZZ00</t>
  </si>
  <si>
    <t>06AF00</t>
  </si>
  <si>
    <t>06AG00</t>
  </si>
  <si>
    <t>06AI00</t>
  </si>
  <si>
    <t>06AL00</t>
  </si>
  <si>
    <t>06AM00</t>
  </si>
  <si>
    <t>06AN00</t>
  </si>
  <si>
    <t>06AO00</t>
  </si>
  <si>
    <t>06AP00</t>
  </si>
  <si>
    <t>06AQ00</t>
  </si>
  <si>
    <t>06AY00</t>
  </si>
  <si>
    <t>06AZ00</t>
  </si>
  <si>
    <t>06BA00</t>
  </si>
  <si>
    <t>06BB00</t>
  </si>
  <si>
    <t>06BC00</t>
  </si>
  <si>
    <t>06BD00</t>
  </si>
  <si>
    <t>06BE00</t>
  </si>
  <si>
    <t>06BG00</t>
  </si>
  <si>
    <t>06BH00</t>
  </si>
  <si>
    <t>06BM00</t>
  </si>
  <si>
    <t>06BO00</t>
  </si>
  <si>
    <t>06BP00</t>
  </si>
  <si>
    <t>06BQ00</t>
  </si>
  <si>
    <t>06BR00</t>
  </si>
  <si>
    <t>06BV00</t>
  </si>
  <si>
    <t>06BX00</t>
  </si>
  <si>
    <t>06BY00</t>
  </si>
  <si>
    <t>06CA00</t>
  </si>
  <si>
    <t>06CI00</t>
  </si>
  <si>
    <t>06CK00</t>
  </si>
  <si>
    <t>06CN00</t>
  </si>
  <si>
    <t>06CO00</t>
  </si>
  <si>
    <t>06CP00</t>
  </si>
  <si>
    <t>06CQ00</t>
  </si>
  <si>
    <t>06CS00</t>
  </si>
  <si>
    <t>06CT00</t>
  </si>
  <si>
    <t>06CU00</t>
  </si>
  <si>
    <t>06CX00</t>
  </si>
  <si>
    <t>06CY00</t>
  </si>
  <si>
    <t>06CZ00</t>
  </si>
  <si>
    <t>06DD00</t>
  </si>
  <si>
    <t>06DE00</t>
  </si>
  <si>
    <t>06DF00</t>
  </si>
  <si>
    <t>06DG00</t>
  </si>
  <si>
    <t>06DJ00</t>
  </si>
  <si>
    <t>06DM00</t>
  </si>
  <si>
    <t>06DN00</t>
  </si>
  <si>
    <t>06DO00</t>
  </si>
  <si>
    <t>06DV00</t>
  </si>
  <si>
    <t>06DW00</t>
  </si>
  <si>
    <t>06DX00</t>
  </si>
  <si>
    <t>06DY00</t>
  </si>
  <si>
    <t>06DZ00</t>
  </si>
  <si>
    <t>06EA00</t>
  </si>
  <si>
    <t>06EB00</t>
  </si>
  <si>
    <t>06EC00</t>
  </si>
  <si>
    <t>06ED00</t>
  </si>
  <si>
    <t>06EE00</t>
  </si>
  <si>
    <t>06EF00</t>
  </si>
  <si>
    <t>06EH00</t>
  </si>
  <si>
    <t>06EI00</t>
  </si>
  <si>
    <t>06EJ00</t>
  </si>
  <si>
    <t>06EK00</t>
  </si>
  <si>
    <t>06EL00</t>
  </si>
  <si>
    <t>06EM00</t>
  </si>
  <si>
    <t>06EN00</t>
  </si>
  <si>
    <t>06EO00</t>
  </si>
  <si>
    <t>06EP00</t>
  </si>
  <si>
    <t>06EQ00</t>
  </si>
  <si>
    <t>06ES00</t>
  </si>
  <si>
    <t>06ET00</t>
  </si>
  <si>
    <t>06EU00</t>
  </si>
  <si>
    <t>06EY00</t>
  </si>
  <si>
    <t>06FA00</t>
  </si>
  <si>
    <t>06FB00</t>
  </si>
  <si>
    <t>06FF00</t>
  </si>
  <si>
    <t>06FI00</t>
  </si>
  <si>
    <t>06FJ00</t>
  </si>
  <si>
    <t>06FK00</t>
  </si>
  <si>
    <t>06FM00</t>
  </si>
  <si>
    <t>06FO00</t>
  </si>
  <si>
    <t>06FR00</t>
  </si>
  <si>
    <t>06FT00</t>
  </si>
  <si>
    <t>06FU00</t>
  </si>
  <si>
    <t>06FV00</t>
  </si>
  <si>
    <t>06FW00</t>
  </si>
  <si>
    <t>06FY00</t>
  </si>
  <si>
    <t>06GB00</t>
  </si>
  <si>
    <t>06GD00</t>
  </si>
  <si>
    <t>06GE00</t>
  </si>
  <si>
    <t>06GH00</t>
  </si>
  <si>
    <t>06GK00</t>
  </si>
  <si>
    <t>06GL00</t>
  </si>
  <si>
    <t>06GN00</t>
  </si>
  <si>
    <t>06GP00</t>
  </si>
  <si>
    <t>06GR00</t>
  </si>
  <si>
    <t>06GS00</t>
  </si>
  <si>
    <t>06GU00</t>
  </si>
  <si>
    <t>06GV00</t>
  </si>
  <si>
    <t>06GW00</t>
  </si>
  <si>
    <t>06HC00</t>
  </si>
  <si>
    <t>06HD00</t>
  </si>
  <si>
    <t>06HE00</t>
  </si>
  <si>
    <t>06HG00</t>
  </si>
  <si>
    <t>06HI00</t>
  </si>
  <si>
    <t>06HJ00</t>
  </si>
  <si>
    <t>06HK00</t>
  </si>
  <si>
    <t>06HL00</t>
  </si>
  <si>
    <t>06HM00</t>
  </si>
  <si>
    <t>06HN00</t>
  </si>
  <si>
    <t>06HO00</t>
  </si>
  <si>
    <t>06HP00</t>
  </si>
  <si>
    <t>06HT00</t>
  </si>
  <si>
    <t>06HU00</t>
  </si>
  <si>
    <t>06HV00</t>
  </si>
  <si>
    <t>06HW00</t>
  </si>
  <si>
    <t>06HZ00</t>
  </si>
  <si>
    <t>06IA00</t>
  </si>
  <si>
    <t>06IE00</t>
  </si>
  <si>
    <t>06IH00</t>
  </si>
  <si>
    <t>06IK00</t>
  </si>
  <si>
    <t>06IL00</t>
  </si>
  <si>
    <t>06IN00</t>
  </si>
  <si>
    <t>06IP00</t>
  </si>
  <si>
    <t>06IR00</t>
  </si>
  <si>
    <t>06IS00</t>
  </si>
  <si>
    <t>06IT00</t>
  </si>
  <si>
    <t>06IU00</t>
  </si>
  <si>
    <t>06IW00</t>
  </si>
  <si>
    <t>06IX00</t>
  </si>
  <si>
    <t>06IY00</t>
  </si>
  <si>
    <t>06IZ00</t>
  </si>
  <si>
    <t>06JC00</t>
  </si>
  <si>
    <t>06JD00</t>
  </si>
  <si>
    <t>06JE00</t>
  </si>
  <si>
    <t>06JF00</t>
  </si>
  <si>
    <t>06JG00</t>
  </si>
  <si>
    <t>06JL00</t>
  </si>
  <si>
    <t>06JN00</t>
  </si>
  <si>
    <t>06JO00</t>
  </si>
  <si>
    <t>06JP00</t>
  </si>
  <si>
    <t>06JQ00</t>
  </si>
  <si>
    <t>06JS00</t>
  </si>
  <si>
    <t>06JT00</t>
  </si>
  <si>
    <t>06JV00</t>
  </si>
  <si>
    <t>06JW00</t>
  </si>
  <si>
    <t>06JY00</t>
  </si>
  <si>
    <t>06JZ00</t>
  </si>
  <si>
    <t>06KA00</t>
  </si>
  <si>
    <t>06KB00</t>
  </si>
  <si>
    <t>06KC00</t>
  </si>
  <si>
    <t>06KD00</t>
  </si>
  <si>
    <t>06KE00</t>
  </si>
  <si>
    <t>06KF00</t>
  </si>
  <si>
    <t>06KG00</t>
  </si>
  <si>
    <t>06KH00</t>
  </si>
  <si>
    <t>06KK00</t>
  </si>
  <si>
    <t>06KL00</t>
  </si>
  <si>
    <t>06KM00</t>
  </si>
  <si>
    <t>06KN00</t>
  </si>
  <si>
    <t>06KO00</t>
  </si>
  <si>
    <t>06KO02</t>
  </si>
  <si>
    <t>06KQ00</t>
  </si>
  <si>
    <t>06KS00</t>
  </si>
  <si>
    <t>06KT00</t>
  </si>
  <si>
    <t>06KU00</t>
  </si>
  <si>
    <t>06KV00</t>
  </si>
  <si>
    <t>06KW00</t>
  </si>
  <si>
    <t>06KY00</t>
  </si>
  <si>
    <t>06LA00</t>
  </si>
  <si>
    <t>06LB00</t>
  </si>
  <si>
    <t>06LC00</t>
  </si>
  <si>
    <t>06LD00</t>
  </si>
  <si>
    <t>06LF00</t>
  </si>
  <si>
    <t>06LG00</t>
  </si>
  <si>
    <t>06LH00</t>
  </si>
  <si>
    <t>06LI00</t>
  </si>
  <si>
    <t>06LJ00</t>
  </si>
  <si>
    <t>06LL00</t>
  </si>
  <si>
    <t>06LM00</t>
  </si>
  <si>
    <t>06LO00</t>
  </si>
  <si>
    <t>06LP00</t>
  </si>
  <si>
    <t>06LQ00</t>
  </si>
  <si>
    <t>06LR00</t>
  </si>
  <si>
    <t>06LT00</t>
  </si>
  <si>
    <t>06LU00</t>
  </si>
  <si>
    <t>06LV00</t>
  </si>
  <si>
    <t>06LW00</t>
  </si>
  <si>
    <t>06LX00</t>
  </si>
  <si>
    <t>06LY00</t>
  </si>
  <si>
    <t>06LZ00</t>
  </si>
  <si>
    <t>06MA00</t>
  </si>
  <si>
    <t>06MC00</t>
  </si>
  <si>
    <t>06MD00</t>
  </si>
  <si>
    <t>06ME00</t>
  </si>
  <si>
    <t>06MF00</t>
  </si>
  <si>
    <t>06MH00</t>
  </si>
  <si>
    <t>06MI00</t>
  </si>
  <si>
    <t>06MJ00</t>
  </si>
  <si>
    <t>06MM00</t>
  </si>
  <si>
    <t>06MQ00</t>
  </si>
  <si>
    <t>06MS00</t>
  </si>
  <si>
    <t>06MU00</t>
  </si>
  <si>
    <t>06MV00</t>
  </si>
  <si>
    <t>06MW00</t>
  </si>
  <si>
    <t>06MY00</t>
  </si>
  <si>
    <t>06NB00</t>
  </si>
  <si>
    <t>06NC00</t>
  </si>
  <si>
    <t>06NE00</t>
  </si>
  <si>
    <t>06NG00</t>
  </si>
  <si>
    <t>06NH00</t>
  </si>
  <si>
    <t>06NI00</t>
  </si>
  <si>
    <t>06NJ00</t>
  </si>
  <si>
    <t>06NL00</t>
  </si>
  <si>
    <t>06NM00</t>
  </si>
  <si>
    <t>06NN00</t>
  </si>
  <si>
    <t>06NO00</t>
  </si>
  <si>
    <t>06NR00</t>
  </si>
  <si>
    <t>06NS00</t>
  </si>
  <si>
    <t>06NU00</t>
  </si>
  <si>
    <t>06NX00</t>
  </si>
  <si>
    <t>06NY00</t>
  </si>
  <si>
    <t>06NZ00</t>
  </si>
  <si>
    <t>06OA00</t>
  </si>
  <si>
    <t>06OD00</t>
  </si>
  <si>
    <t>06OF00</t>
  </si>
  <si>
    <t>06OH00</t>
  </si>
  <si>
    <t>06OJ00</t>
  </si>
  <si>
    <t>06OK00</t>
  </si>
  <si>
    <t>06OM00</t>
  </si>
  <si>
    <t>06OP00</t>
  </si>
  <si>
    <t>06OQ00</t>
  </si>
  <si>
    <t>06OR00</t>
  </si>
  <si>
    <t>06OS00</t>
  </si>
  <si>
    <t>06OT00</t>
  </si>
  <si>
    <t>06OU00</t>
  </si>
  <si>
    <t>06OW00</t>
  </si>
  <si>
    <t>06OY00</t>
  </si>
  <si>
    <t>06OZ00</t>
  </si>
  <si>
    <t>06PB00</t>
  </si>
  <si>
    <t>06PC00</t>
  </si>
  <si>
    <t>06PD00</t>
  </si>
  <si>
    <t>06PE00</t>
  </si>
  <si>
    <t>06PF00</t>
  </si>
  <si>
    <t>06PG00</t>
  </si>
  <si>
    <t>06PH00</t>
  </si>
  <si>
    <t>06PI00</t>
  </si>
  <si>
    <t>06PL00</t>
  </si>
  <si>
    <t>06PM00</t>
  </si>
  <si>
    <t>06PN00</t>
  </si>
  <si>
    <t>06PO00</t>
  </si>
  <si>
    <t>06PP00</t>
  </si>
  <si>
    <t>06PQ00</t>
  </si>
  <si>
    <t>06PR00</t>
  </si>
  <si>
    <t>06PS00</t>
  </si>
  <si>
    <t>06PT00</t>
  </si>
  <si>
    <t>06PV00</t>
  </si>
  <si>
    <t>06PZ00</t>
  </si>
  <si>
    <t>06QB00</t>
  </si>
  <si>
    <t>06QC00</t>
  </si>
  <si>
    <t>06QE00</t>
  </si>
  <si>
    <t>06QF00</t>
  </si>
  <si>
    <t>06QH00</t>
  </si>
  <si>
    <t>06QI00</t>
  </si>
  <si>
    <t>06QJ00</t>
  </si>
  <si>
    <t>06QK00</t>
  </si>
  <si>
    <t>06QM00</t>
  </si>
  <si>
    <t>06QN00</t>
  </si>
  <si>
    <t>06QO00</t>
  </si>
  <si>
    <t>06QP00</t>
  </si>
  <si>
    <t>06QQ00</t>
  </si>
  <si>
    <t>06QR00</t>
  </si>
  <si>
    <t>06QS00</t>
  </si>
  <si>
    <t>06QT00</t>
  </si>
  <si>
    <t>06QV00</t>
  </si>
  <si>
    <t>06QY00</t>
  </si>
  <si>
    <t>06QZ00</t>
  </si>
  <si>
    <t>06RA00</t>
  </si>
  <si>
    <t>06RD00</t>
  </si>
  <si>
    <t>06RE00</t>
  </si>
  <si>
    <t>06RF00</t>
  </si>
  <si>
    <t>06RG00</t>
  </si>
  <si>
    <t>06RL00</t>
  </si>
  <si>
    <t>06RM00</t>
  </si>
  <si>
    <t>06RN00</t>
  </si>
  <si>
    <t>06RP00</t>
  </si>
  <si>
    <t>06RQ00</t>
  </si>
  <si>
    <t>06RR00</t>
  </si>
  <si>
    <t>06RS00</t>
  </si>
  <si>
    <t>06RT00</t>
  </si>
  <si>
    <t>06RU00</t>
  </si>
  <si>
    <t>06RW00</t>
  </si>
  <si>
    <t>06RX00</t>
  </si>
  <si>
    <t>06RY00</t>
  </si>
  <si>
    <t>06RZ00</t>
  </si>
  <si>
    <t>06SB00</t>
  </si>
  <si>
    <t>06SC00</t>
  </si>
  <si>
    <t>06SE00</t>
  </si>
  <si>
    <t>06SF00</t>
  </si>
  <si>
    <t>06SG00</t>
  </si>
  <si>
    <t>06SI00</t>
  </si>
  <si>
    <t>06SJ00</t>
  </si>
  <si>
    <t>06SK00</t>
  </si>
  <si>
    <t>06SL00</t>
  </si>
  <si>
    <t>06SM00</t>
  </si>
  <si>
    <t>06SN00</t>
  </si>
  <si>
    <t>06SO00</t>
  </si>
  <si>
    <t>06SQ00</t>
  </si>
  <si>
    <t>06ST00</t>
  </si>
  <si>
    <t>06SW00</t>
  </si>
  <si>
    <t>06SY00</t>
  </si>
  <si>
    <t>06SZ00</t>
  </si>
  <si>
    <t>06TA00</t>
  </si>
  <si>
    <t>06TC00</t>
  </si>
  <si>
    <t>06TD00</t>
  </si>
  <si>
    <t>06TF00</t>
  </si>
  <si>
    <t>06TH00</t>
  </si>
  <si>
    <t>06TK00</t>
  </si>
  <si>
    <t>06TL00</t>
  </si>
  <si>
    <t>06TM00</t>
  </si>
  <si>
    <t>06TN00</t>
  </si>
  <si>
    <t>06TP00</t>
  </si>
  <si>
    <t>06TR00</t>
  </si>
  <si>
    <t>06TT00</t>
  </si>
  <si>
    <t>06TU00</t>
  </si>
  <si>
    <t>06TX00</t>
  </si>
  <si>
    <t>06UB00</t>
  </si>
  <si>
    <t>06UC00</t>
  </si>
  <si>
    <t>06UD00</t>
  </si>
  <si>
    <t>06UE00</t>
  </si>
  <si>
    <t>06UF00</t>
  </si>
  <si>
    <t>06UG00</t>
  </si>
  <si>
    <t>06UI00</t>
  </si>
  <si>
    <t>06UK00</t>
  </si>
  <si>
    <t>06UL00</t>
  </si>
  <si>
    <t>06UN00</t>
  </si>
  <si>
    <t>06UQ00</t>
  </si>
  <si>
    <t>06UT00</t>
  </si>
  <si>
    <t>06UW00</t>
  </si>
  <si>
    <t>06UX00</t>
  </si>
  <si>
    <t>06UZ00</t>
  </si>
  <si>
    <t>06VA00</t>
  </si>
  <si>
    <t>06VC00</t>
  </si>
  <si>
    <t>06VD00</t>
  </si>
  <si>
    <t>06VF00</t>
  </si>
  <si>
    <t>06VJ00</t>
  </si>
  <si>
    <t>06VL00</t>
  </si>
  <si>
    <t>06VN00</t>
  </si>
  <si>
    <t>06VO00</t>
  </si>
  <si>
    <t>06VP00</t>
  </si>
  <si>
    <t>06VS00</t>
  </si>
  <si>
    <t>06VU00</t>
  </si>
  <si>
    <t>06VV00</t>
  </si>
  <si>
    <t>06VW00</t>
  </si>
  <si>
    <t>06VX00</t>
  </si>
  <si>
    <t>06VY00</t>
  </si>
  <si>
    <t>06WB00</t>
  </si>
  <si>
    <t>06WC00</t>
  </si>
  <si>
    <t>06WD00</t>
  </si>
  <si>
    <t>06WF00</t>
  </si>
  <si>
    <t>06WH00</t>
  </si>
  <si>
    <t>06WI00</t>
  </si>
  <si>
    <t>06WJ00</t>
  </si>
  <si>
    <t>06WL00</t>
  </si>
  <si>
    <t>06WM00</t>
  </si>
  <si>
    <t>06WN00</t>
  </si>
  <si>
    <t>06WO00</t>
  </si>
  <si>
    <t>06WS00</t>
  </si>
  <si>
    <t>06WT00</t>
  </si>
  <si>
    <t>06WU00</t>
  </si>
  <si>
    <t>06WV00</t>
  </si>
  <si>
    <t>06WW00</t>
  </si>
  <si>
    <t>06WX00</t>
  </si>
  <si>
    <t>06WZ00</t>
  </si>
  <si>
    <t>06XB00</t>
  </si>
  <si>
    <t>06XC00</t>
  </si>
  <si>
    <t>06XD00</t>
  </si>
  <si>
    <t>06XE00</t>
  </si>
  <si>
    <t>06XF00</t>
  </si>
  <si>
    <t>06XI00</t>
  </si>
  <si>
    <t>06XJ00</t>
  </si>
  <si>
    <t>06XM00</t>
  </si>
  <si>
    <t>06XO00</t>
  </si>
  <si>
    <t>06XP00</t>
  </si>
  <si>
    <t>06XQ00</t>
  </si>
  <si>
    <t>06XR00</t>
  </si>
  <si>
    <t>06XU00</t>
  </si>
  <si>
    <t>06XW00</t>
  </si>
  <si>
    <t>06XX00</t>
  </si>
  <si>
    <t>06YA00</t>
  </si>
  <si>
    <t>06YB00</t>
  </si>
  <si>
    <t>06YD00</t>
  </si>
  <si>
    <t>06YE00</t>
  </si>
  <si>
    <t>06YF00</t>
  </si>
  <si>
    <t>06YH00</t>
  </si>
  <si>
    <t>06YI00</t>
  </si>
  <si>
    <t>06YJ00</t>
  </si>
  <si>
    <t>06YK00</t>
  </si>
  <si>
    <t>06YL00</t>
  </si>
  <si>
    <t>06YM00</t>
  </si>
  <si>
    <t>06YN00</t>
  </si>
  <si>
    <t>06YO00</t>
  </si>
  <si>
    <t>06YP00</t>
  </si>
  <si>
    <t>06YQ00</t>
  </si>
  <si>
    <t>06YR00</t>
  </si>
  <si>
    <t>06YT00</t>
  </si>
  <si>
    <t>06YU00</t>
  </si>
  <si>
    <t>06YV00</t>
  </si>
  <si>
    <t>06YX00</t>
  </si>
  <si>
    <t>06YY00</t>
  </si>
  <si>
    <t>06YZ00</t>
  </si>
  <si>
    <t>06ZA00</t>
  </si>
  <si>
    <t>06ZB00</t>
  </si>
  <si>
    <t>06ZC00</t>
  </si>
  <si>
    <t>06ZF00</t>
  </si>
  <si>
    <t>06ZH00</t>
  </si>
  <si>
    <t>06ZK00</t>
  </si>
  <si>
    <t>06ZL00</t>
  </si>
  <si>
    <t>06ZN00</t>
  </si>
  <si>
    <t>06ZO00</t>
  </si>
  <si>
    <t>06ZR00</t>
  </si>
  <si>
    <t>06ZS00</t>
  </si>
  <si>
    <t>06ZT00</t>
  </si>
  <si>
    <t>06ZV00</t>
  </si>
  <si>
    <t>06ZX00</t>
  </si>
  <si>
    <t>06ZY00</t>
  </si>
  <si>
    <t>06ZZ00</t>
  </si>
  <si>
    <t>07AA00</t>
  </si>
  <si>
    <t>07AB00</t>
  </si>
  <si>
    <t>07AD00</t>
  </si>
  <si>
    <t>07AE00</t>
  </si>
  <si>
    <t>07AF00</t>
  </si>
  <si>
    <t>07AH00</t>
  </si>
  <si>
    <t>07AI00</t>
  </si>
  <si>
    <t>07AJ00</t>
  </si>
  <si>
    <t>07AK00</t>
  </si>
  <si>
    <t>07AL00</t>
  </si>
  <si>
    <t>07AM00</t>
  </si>
  <si>
    <t>07AO00</t>
  </si>
  <si>
    <t>07AP00</t>
  </si>
  <si>
    <t>07AR00</t>
  </si>
  <si>
    <t>07AU00</t>
  </si>
  <si>
    <t>07AV00</t>
  </si>
  <si>
    <t>07AZ00</t>
  </si>
  <si>
    <t>07BC00</t>
  </si>
  <si>
    <t>07BF00</t>
  </si>
  <si>
    <t>07BH00</t>
  </si>
  <si>
    <t>07BH01</t>
  </si>
  <si>
    <t>07BI00</t>
  </si>
  <si>
    <t>07BJ00</t>
  </si>
  <si>
    <t>07BK00</t>
  </si>
  <si>
    <t>07BL00</t>
  </si>
  <si>
    <t>07BN00</t>
  </si>
  <si>
    <t>07BO00</t>
  </si>
  <si>
    <t>07BP00</t>
  </si>
  <si>
    <t>07BR00</t>
  </si>
  <si>
    <t>07BS00</t>
  </si>
  <si>
    <t>07BT00</t>
  </si>
  <si>
    <t>07BU00</t>
  </si>
  <si>
    <t>07BV00</t>
  </si>
  <si>
    <t>07BW00</t>
  </si>
  <si>
    <t>07BX00</t>
  </si>
  <si>
    <t>07BZ00</t>
  </si>
  <si>
    <t>07CA00</t>
  </si>
  <si>
    <t>07CB00</t>
  </si>
  <si>
    <t>07CC00</t>
  </si>
  <si>
    <t>07CF00</t>
  </si>
  <si>
    <t>07CI00</t>
  </si>
  <si>
    <t>07CJ00</t>
  </si>
  <si>
    <t>07CK00</t>
  </si>
  <si>
    <t>07CL00</t>
  </si>
  <si>
    <t>07CM00</t>
  </si>
  <si>
    <t>07CN00</t>
  </si>
  <si>
    <t>07CO00</t>
  </si>
  <si>
    <t>07CP00</t>
  </si>
  <si>
    <t>07CQ00</t>
  </si>
  <si>
    <t>07CT00</t>
  </si>
  <si>
    <t>07CW00</t>
  </si>
  <si>
    <t>07CX00</t>
  </si>
  <si>
    <t>07CY00</t>
  </si>
  <si>
    <t>07DA00</t>
  </si>
  <si>
    <t>07DB00</t>
  </si>
  <si>
    <t>07DD00</t>
  </si>
  <si>
    <t>07DE00</t>
  </si>
  <si>
    <t>07DF00</t>
  </si>
  <si>
    <t>07DG00</t>
  </si>
  <si>
    <t>07DH00</t>
  </si>
  <si>
    <t>07DI00</t>
  </si>
  <si>
    <t>07DJ00</t>
  </si>
  <si>
    <t>07DK00</t>
  </si>
  <si>
    <t>07DL00</t>
  </si>
  <si>
    <t>07DM00</t>
  </si>
  <si>
    <t>07DN00</t>
  </si>
  <si>
    <t>07DP00</t>
  </si>
  <si>
    <t>07DQ00</t>
  </si>
  <si>
    <t>07DZ00</t>
  </si>
  <si>
    <t>07EC00</t>
  </si>
  <si>
    <t>07ED00</t>
  </si>
  <si>
    <t>07EE00</t>
  </si>
  <si>
    <t>07EF00</t>
  </si>
  <si>
    <t>07EG00</t>
  </si>
  <si>
    <t>07EI00</t>
  </si>
  <si>
    <t>07EJ00</t>
  </si>
  <si>
    <t>07EK00</t>
  </si>
  <si>
    <t>07EM00</t>
  </si>
  <si>
    <t>07EN00</t>
  </si>
  <si>
    <t>07EP00</t>
  </si>
  <si>
    <t>07EQ00</t>
  </si>
  <si>
    <t>07ER00</t>
  </si>
  <si>
    <t>07ET00</t>
  </si>
  <si>
    <t>07EX00</t>
  </si>
  <si>
    <t>07FA00</t>
  </si>
  <si>
    <t>07FD00</t>
  </si>
  <si>
    <t>07FE00</t>
  </si>
  <si>
    <t>07FI00</t>
  </si>
  <si>
    <t>07FJ00</t>
  </si>
  <si>
    <t>07FK00</t>
  </si>
  <si>
    <t>07FL00</t>
  </si>
  <si>
    <t>07FM00</t>
  </si>
  <si>
    <t>07FU00</t>
  </si>
  <si>
    <t>07FU01</t>
  </si>
  <si>
    <t>07FY00</t>
  </si>
  <si>
    <t>07FZ00</t>
  </si>
  <si>
    <t>07GB00</t>
  </si>
  <si>
    <t>07GC00</t>
  </si>
  <si>
    <t>07GD00</t>
  </si>
  <si>
    <t>07GE00</t>
  </si>
  <si>
    <t>07GT00</t>
  </si>
  <si>
    <t>07GU00</t>
  </si>
  <si>
    <t>07GX00</t>
  </si>
  <si>
    <t>07GY00</t>
  </si>
  <si>
    <t>07HL00</t>
  </si>
  <si>
    <t>07HN00</t>
  </si>
  <si>
    <t>07HO00</t>
  </si>
  <si>
    <t>07HP00</t>
  </si>
  <si>
    <t>07HQ00</t>
  </si>
  <si>
    <t>07HV00</t>
  </si>
  <si>
    <t>07HX00</t>
  </si>
  <si>
    <t>07IA00</t>
  </si>
  <si>
    <t>07IH00</t>
  </si>
  <si>
    <t>07IJ00</t>
  </si>
  <si>
    <t>07IK00</t>
  </si>
  <si>
    <t>07IL00</t>
  </si>
  <si>
    <t>07IM00</t>
  </si>
  <si>
    <t>07IP00</t>
  </si>
  <si>
    <t>07IV00</t>
  </si>
  <si>
    <t>07IX00</t>
  </si>
  <si>
    <t>07IY00</t>
  </si>
  <si>
    <t>07IZ00</t>
  </si>
  <si>
    <t>07JC00</t>
  </si>
  <si>
    <t>07JE00</t>
  </si>
  <si>
    <t>07JG00</t>
  </si>
  <si>
    <t>07JH00</t>
  </si>
  <si>
    <t>07JK00</t>
  </si>
  <si>
    <t>07JM00</t>
  </si>
  <si>
    <t>07JN00</t>
  </si>
  <si>
    <t>07JQ00</t>
  </si>
  <si>
    <t>07JR00</t>
  </si>
  <si>
    <t>07JU00</t>
  </si>
  <si>
    <t>07JV00</t>
  </si>
  <si>
    <t>07JX00</t>
  </si>
  <si>
    <t>07KA00</t>
  </si>
  <si>
    <t>07KB00</t>
  </si>
  <si>
    <t>07KC00</t>
  </si>
  <si>
    <t>07KD00</t>
  </si>
  <si>
    <t>07KE00</t>
  </si>
  <si>
    <t>07KF00</t>
  </si>
  <si>
    <t>07KG00</t>
  </si>
  <si>
    <t>07KH00</t>
  </si>
  <si>
    <t>07KI00</t>
  </si>
  <si>
    <t>07KJ00</t>
  </si>
  <si>
    <t>07KK00</t>
  </si>
  <si>
    <t>07KL00</t>
  </si>
  <si>
    <t>07KN00</t>
  </si>
  <si>
    <t>07KO00</t>
  </si>
  <si>
    <t>07KQ00</t>
  </si>
  <si>
    <t>07KQ01</t>
  </si>
  <si>
    <t>07KR00</t>
  </si>
  <si>
    <t>07KS00</t>
  </si>
  <si>
    <t>07KT00</t>
  </si>
  <si>
    <t>07KU00</t>
  </si>
  <si>
    <t>07KV00</t>
  </si>
  <si>
    <t>07KX00</t>
  </si>
  <si>
    <t>07KY00</t>
  </si>
  <si>
    <t>07KZ00</t>
  </si>
  <si>
    <t>07LA00</t>
  </si>
  <si>
    <t>07LB00</t>
  </si>
  <si>
    <t>07LC00</t>
  </si>
  <si>
    <t>07LD00</t>
  </si>
  <si>
    <t>07LF00</t>
  </si>
  <si>
    <t>07LH00</t>
  </si>
  <si>
    <t>07LI00</t>
  </si>
  <si>
    <t>07LK00</t>
  </si>
  <si>
    <t>07LM00</t>
  </si>
  <si>
    <t>07LN00</t>
  </si>
  <si>
    <t>07LO00</t>
  </si>
  <si>
    <t>07LP00</t>
  </si>
  <si>
    <t>07LR00</t>
  </si>
  <si>
    <t>07LS00</t>
  </si>
  <si>
    <t>07LT00</t>
  </si>
  <si>
    <t>07LU00</t>
  </si>
  <si>
    <t>07LV00</t>
  </si>
  <si>
    <t>07LW00</t>
  </si>
  <si>
    <t>07LX00</t>
  </si>
  <si>
    <t>07LY00</t>
  </si>
  <si>
    <t>07LZ00</t>
  </si>
  <si>
    <t>07MB00</t>
  </si>
  <si>
    <t>07MC00</t>
  </si>
  <si>
    <t>07MD00</t>
  </si>
  <si>
    <t>07ME00</t>
  </si>
  <si>
    <t>07MF00</t>
  </si>
  <si>
    <t>07MG00</t>
  </si>
  <si>
    <t>07MH00</t>
  </si>
  <si>
    <t>07MJ00</t>
  </si>
  <si>
    <t>07MK00</t>
  </si>
  <si>
    <t>07ML00</t>
  </si>
  <si>
    <t>07MN00</t>
  </si>
  <si>
    <t>07MQ00</t>
  </si>
  <si>
    <t>07MR00</t>
  </si>
  <si>
    <t>07MV00</t>
  </si>
  <si>
    <t>07MX00</t>
  </si>
  <si>
    <t>07MY00</t>
  </si>
  <si>
    <t>07NA00</t>
  </si>
  <si>
    <t>07NB00</t>
  </si>
  <si>
    <t>07ND00</t>
  </si>
  <si>
    <t>07NE00</t>
  </si>
  <si>
    <t>07NF00</t>
  </si>
  <si>
    <t>07NG00</t>
  </si>
  <si>
    <t>07NH00</t>
  </si>
  <si>
    <t>07NI00</t>
  </si>
  <si>
    <t>07NJ00</t>
  </si>
  <si>
    <t>07NK00</t>
  </si>
  <si>
    <t>07NM00</t>
  </si>
  <si>
    <t>07NN00</t>
  </si>
  <si>
    <t>07NP00</t>
  </si>
  <si>
    <t>07NQ00</t>
  </si>
  <si>
    <t>07NR00</t>
  </si>
  <si>
    <t>07NS00</t>
  </si>
  <si>
    <t>07NT00</t>
  </si>
  <si>
    <t>07NU00</t>
  </si>
  <si>
    <t>07NW00</t>
  </si>
  <si>
    <t>07NY00</t>
  </si>
  <si>
    <t>07NZ00</t>
  </si>
  <si>
    <t>07OA00</t>
  </si>
  <si>
    <t>07OB00</t>
  </si>
  <si>
    <t>07OC00</t>
  </si>
  <si>
    <t>07OD00</t>
  </si>
  <si>
    <t>07OE00</t>
  </si>
  <si>
    <t>07OH00</t>
  </si>
  <si>
    <t>07OJ00</t>
  </si>
  <si>
    <t>07OK00</t>
  </si>
  <si>
    <t>07OL00</t>
  </si>
  <si>
    <t>07OM00</t>
  </si>
  <si>
    <t>07OQ00</t>
  </si>
  <si>
    <t>07OT00</t>
  </si>
  <si>
    <t>07OV00</t>
  </si>
  <si>
    <t>07OW00</t>
  </si>
  <si>
    <t>07OX00</t>
  </si>
  <si>
    <t>07OY00</t>
  </si>
  <si>
    <t>07OZ00</t>
  </si>
  <si>
    <t>07PA00</t>
  </si>
  <si>
    <t>07PD00</t>
  </si>
  <si>
    <t>07PE00</t>
  </si>
  <si>
    <t>07PF00</t>
  </si>
  <si>
    <t>07PH00</t>
  </si>
  <si>
    <t>07PI00</t>
  </si>
  <si>
    <t>07PJ00</t>
  </si>
  <si>
    <t>07PM00</t>
  </si>
  <si>
    <t>07PP00</t>
  </si>
  <si>
    <t>07PR00</t>
  </si>
  <si>
    <t>07PV00</t>
  </si>
  <si>
    <t>07PW00</t>
  </si>
  <si>
    <t>07QB00</t>
  </si>
  <si>
    <t>07QF00</t>
  </si>
  <si>
    <t>07QK00</t>
  </si>
  <si>
    <t>07QM00</t>
  </si>
  <si>
    <t>07QO00</t>
  </si>
  <si>
    <t>07QP00</t>
  </si>
  <si>
    <t>07QQ00</t>
  </si>
  <si>
    <t>07QS00</t>
  </si>
  <si>
    <t>07QU00</t>
  </si>
  <si>
    <t>07QV00</t>
  </si>
  <si>
    <t>07QW00</t>
  </si>
  <si>
    <t>07QZ00</t>
  </si>
  <si>
    <t>07RC00</t>
  </si>
  <si>
    <t>07RE00</t>
  </si>
  <si>
    <t>07RF00</t>
  </si>
  <si>
    <t>07RG00</t>
  </si>
  <si>
    <t>07RH00</t>
  </si>
  <si>
    <t>07RI00</t>
  </si>
  <si>
    <t>07RJ00</t>
  </si>
  <si>
    <t>07RK00</t>
  </si>
  <si>
    <t>07RL00</t>
  </si>
  <si>
    <t>07RM00</t>
  </si>
  <si>
    <t>07RO00</t>
  </si>
  <si>
    <t>07RQ00</t>
  </si>
  <si>
    <t>07RS00</t>
  </si>
  <si>
    <t>07RV00</t>
  </si>
  <si>
    <t>07RY00</t>
  </si>
  <si>
    <t>07RZ00</t>
  </si>
  <si>
    <t>07SC00</t>
  </si>
  <si>
    <t>07SE00</t>
  </si>
  <si>
    <t>07SG00</t>
  </si>
  <si>
    <t>07SH00</t>
  </si>
  <si>
    <t>07SI00</t>
  </si>
  <si>
    <t>07SL00</t>
  </si>
  <si>
    <t>07SM00</t>
  </si>
  <si>
    <t>07SN00</t>
  </si>
  <si>
    <t>07SO00</t>
  </si>
  <si>
    <t>07SP00</t>
  </si>
  <si>
    <t>07SQ00</t>
  </si>
  <si>
    <t>07ST00</t>
  </si>
  <si>
    <t>07SY00</t>
  </si>
  <si>
    <t>07SZ00</t>
  </si>
  <si>
    <t>07TA00</t>
  </si>
  <si>
    <t>07TB00</t>
  </si>
  <si>
    <t>07TC00</t>
  </si>
  <si>
    <t>07TE00</t>
  </si>
  <si>
    <t>07TH00</t>
  </si>
  <si>
    <t>07TJ00</t>
  </si>
  <si>
    <t>07TJ02</t>
  </si>
  <si>
    <t>07TK00</t>
  </si>
  <si>
    <t>07TM00</t>
  </si>
  <si>
    <t>07TN00</t>
  </si>
  <si>
    <t>07TO00</t>
  </si>
  <si>
    <t>07TP00</t>
  </si>
  <si>
    <t>07TR00</t>
  </si>
  <si>
    <t>07TT00</t>
  </si>
  <si>
    <t>07TV00</t>
  </si>
  <si>
    <t>07TX00</t>
  </si>
  <si>
    <t>07TY00</t>
  </si>
  <si>
    <t>07TZ00</t>
  </si>
  <si>
    <t>07UA00</t>
  </si>
  <si>
    <t>07UC00</t>
  </si>
  <si>
    <t>07UD00</t>
  </si>
  <si>
    <t>07UF00</t>
  </si>
  <si>
    <t>07UG00</t>
  </si>
  <si>
    <t>07UH00</t>
  </si>
  <si>
    <t>07UK00</t>
  </si>
  <si>
    <t>07UN00</t>
  </si>
  <si>
    <t>07UO00</t>
  </si>
  <si>
    <t>07UQ00</t>
  </si>
  <si>
    <t>07UR00</t>
  </si>
  <si>
    <t>07US00</t>
  </si>
  <si>
    <t>07UU00</t>
  </si>
  <si>
    <t>07UV00</t>
  </si>
  <si>
    <t>07UX00</t>
  </si>
  <si>
    <t>07UY00</t>
  </si>
  <si>
    <t>07VA00</t>
  </si>
  <si>
    <t>07VC00</t>
  </si>
  <si>
    <t>07VD00</t>
  </si>
  <si>
    <t>07VE00</t>
  </si>
  <si>
    <t>07VH00</t>
  </si>
  <si>
    <t>07VI00</t>
  </si>
  <si>
    <t>07VK00</t>
  </si>
  <si>
    <t>07VM00</t>
  </si>
  <si>
    <t>07VO00</t>
  </si>
  <si>
    <t>07VP00</t>
  </si>
  <si>
    <t>07VS00</t>
  </si>
  <si>
    <t>07VT00</t>
  </si>
  <si>
    <t>07VU00</t>
  </si>
  <si>
    <t>07VV00</t>
  </si>
  <si>
    <t>07VW00</t>
  </si>
  <si>
    <t>07VX00</t>
  </si>
  <si>
    <t>07VZ00</t>
  </si>
  <si>
    <t>07WF00</t>
  </si>
  <si>
    <t>07WG00</t>
  </si>
  <si>
    <t>07WK00</t>
  </si>
  <si>
    <t>07WM00</t>
  </si>
  <si>
    <t>07WN00</t>
  </si>
  <si>
    <t>07WO00</t>
  </si>
  <si>
    <t>07WP00</t>
  </si>
  <si>
    <t>07WQ00</t>
  </si>
  <si>
    <t>07WT00</t>
  </si>
  <si>
    <t>07WV00</t>
  </si>
  <si>
    <t>07WX00</t>
  </si>
  <si>
    <t>07WY00</t>
  </si>
  <si>
    <t>07WZ00</t>
  </si>
  <si>
    <t>07XB00</t>
  </si>
  <si>
    <t>07XC00</t>
  </si>
  <si>
    <t>07XG00</t>
  </si>
  <si>
    <t>07XH00</t>
  </si>
  <si>
    <t>07XI00</t>
  </si>
  <si>
    <t>07XL00</t>
  </si>
  <si>
    <t>07XM00</t>
  </si>
  <si>
    <t>07XN00</t>
  </si>
  <si>
    <t>07XO00</t>
  </si>
  <si>
    <t>07XP00</t>
  </si>
  <si>
    <t>07XQ00</t>
  </si>
  <si>
    <t>07XS00</t>
  </si>
  <si>
    <t>07XV00</t>
  </si>
  <si>
    <t>07XX00</t>
  </si>
  <si>
    <t>07XY00</t>
  </si>
  <si>
    <t>07YA00</t>
  </si>
  <si>
    <t>07YC00</t>
  </si>
  <si>
    <t>07YD00</t>
  </si>
  <si>
    <t>07YE00</t>
  </si>
  <si>
    <t>07YK00</t>
  </si>
  <si>
    <t>07YM00</t>
  </si>
  <si>
    <t>07YN00</t>
  </si>
  <si>
    <t>07YO00</t>
  </si>
  <si>
    <t>07YP00</t>
  </si>
  <si>
    <t>07YQ00</t>
  </si>
  <si>
    <t>07YR00</t>
  </si>
  <si>
    <t>07YS00</t>
  </si>
  <si>
    <t>07YW00</t>
  </si>
  <si>
    <t>07YY00</t>
  </si>
  <si>
    <t>07YZ00</t>
  </si>
  <si>
    <t>07ZB00</t>
  </si>
  <si>
    <t>07ZC00</t>
  </si>
  <si>
    <t>07ZE00</t>
  </si>
  <si>
    <t>07ZG00</t>
  </si>
  <si>
    <t>07ZH00</t>
  </si>
  <si>
    <t>07ZJ00</t>
  </si>
  <si>
    <t>07ZL00</t>
  </si>
  <si>
    <t>07ZN00</t>
  </si>
  <si>
    <t>07ZO00</t>
  </si>
  <si>
    <t>07ZP00</t>
  </si>
  <si>
    <t>07ZQ00</t>
  </si>
  <si>
    <t>07ZS00</t>
  </si>
  <si>
    <t>07ZT00</t>
  </si>
  <si>
    <t>07ZU00</t>
  </si>
  <si>
    <t>07ZX00</t>
  </si>
  <si>
    <t>07ZY00</t>
  </si>
  <si>
    <t>07ZZ00</t>
  </si>
  <si>
    <t>08AB00</t>
  </si>
  <si>
    <t>08AD00</t>
  </si>
  <si>
    <t>08AE00</t>
  </si>
  <si>
    <t>08AF00</t>
  </si>
  <si>
    <t>08AG00</t>
  </si>
  <si>
    <t>08AI00</t>
  </si>
  <si>
    <t>08AK00</t>
  </si>
  <si>
    <t>08AL00</t>
  </si>
  <si>
    <t>08AM00</t>
  </si>
  <si>
    <t>08AO00</t>
  </si>
  <si>
    <t>08AP00</t>
  </si>
  <si>
    <t>08AS00</t>
  </si>
  <si>
    <t>08AU00</t>
  </si>
  <si>
    <t>08AV00</t>
  </si>
  <si>
    <t>08AW00</t>
  </si>
  <si>
    <t>08AX00</t>
  </si>
  <si>
    <t>08AY00</t>
  </si>
  <si>
    <t>08AZ00</t>
  </si>
  <si>
    <t>08BA00</t>
  </si>
  <si>
    <t>08BC00</t>
  </si>
  <si>
    <t>08BD00</t>
  </si>
  <si>
    <t>08BF00</t>
  </si>
  <si>
    <t>08BH00</t>
  </si>
  <si>
    <t>08BI00</t>
  </si>
  <si>
    <t>08BJ00</t>
  </si>
  <si>
    <t>08BK00</t>
  </si>
  <si>
    <t>08BL00</t>
  </si>
  <si>
    <t>08BM00</t>
  </si>
  <si>
    <t>08BO00</t>
  </si>
  <si>
    <t>08BP00</t>
  </si>
  <si>
    <t>08BQ00</t>
  </si>
  <si>
    <t>08BS00</t>
  </si>
  <si>
    <t>08BU00</t>
  </si>
  <si>
    <t>08BV00</t>
  </si>
  <si>
    <t>08BW00</t>
  </si>
  <si>
    <t>08BY00</t>
  </si>
  <si>
    <t>08BZ00</t>
  </si>
  <si>
    <t>08CA00</t>
  </si>
  <si>
    <t>08CB00</t>
  </si>
  <si>
    <t>08CC00</t>
  </si>
  <si>
    <t>08CD00</t>
  </si>
  <si>
    <t>08CE00</t>
  </si>
  <si>
    <t>08CF00</t>
  </si>
  <si>
    <t>08CI00</t>
  </si>
  <si>
    <t>08CJ00</t>
  </si>
  <si>
    <t>08CK00</t>
  </si>
  <si>
    <t>08CL00</t>
  </si>
  <si>
    <t>08CM00</t>
  </si>
  <si>
    <t>08CM01</t>
  </si>
  <si>
    <t>08CN00</t>
  </si>
  <si>
    <t>08CO00</t>
  </si>
  <si>
    <t>08CP00</t>
  </si>
  <si>
    <t>08CQ00</t>
  </si>
  <si>
    <t>08CT00</t>
  </si>
  <si>
    <t>08CW00</t>
  </si>
  <si>
    <t>08CX00</t>
  </si>
  <si>
    <t>08CY00</t>
  </si>
  <si>
    <t>08DC00</t>
  </si>
  <si>
    <t>08DD00</t>
  </si>
  <si>
    <t>08DE00</t>
  </si>
  <si>
    <t>08DF00</t>
  </si>
  <si>
    <t>08DF01</t>
  </si>
  <si>
    <t>08DH00</t>
  </si>
  <si>
    <t>08DI00</t>
  </si>
  <si>
    <t>08DJ00</t>
  </si>
  <si>
    <t>08DM00</t>
  </si>
  <si>
    <t>08DN00</t>
  </si>
  <si>
    <t>08DV00</t>
  </si>
  <si>
    <t>08DX00</t>
  </si>
  <si>
    <t>08DZ00</t>
  </si>
  <si>
    <t>08EA00</t>
  </si>
  <si>
    <t>08EC00</t>
  </si>
  <si>
    <t>08EE00</t>
  </si>
  <si>
    <t>08EM00</t>
  </si>
  <si>
    <t>08EN00</t>
  </si>
  <si>
    <t>08EO00</t>
  </si>
  <si>
    <t>08EP00</t>
  </si>
  <si>
    <t>08ER00</t>
  </si>
  <si>
    <t>08EU00</t>
  </si>
  <si>
    <t>08EV00</t>
  </si>
  <si>
    <t>08EW00</t>
  </si>
  <si>
    <t>08EY00</t>
  </si>
  <si>
    <t>08EZ00</t>
  </si>
  <si>
    <t>08FA00</t>
  </si>
  <si>
    <t>08FC00</t>
  </si>
  <si>
    <t>08FE00</t>
  </si>
  <si>
    <t>08FE01</t>
  </si>
  <si>
    <t>08FF00</t>
  </si>
  <si>
    <t>08FG00</t>
  </si>
  <si>
    <t>08FH00</t>
  </si>
  <si>
    <t>08FI00</t>
  </si>
  <si>
    <t>08FJ00</t>
  </si>
  <si>
    <t>08FQ00</t>
  </si>
  <si>
    <t>08FS00</t>
  </si>
  <si>
    <t>08FU00</t>
  </si>
  <si>
    <t>08FW00</t>
  </si>
  <si>
    <t>08FX00</t>
  </si>
  <si>
    <t>08GE00</t>
  </si>
  <si>
    <t>08GF00</t>
  </si>
  <si>
    <t>08GH00</t>
  </si>
  <si>
    <t>08GK00</t>
  </si>
  <si>
    <t>08GN00</t>
  </si>
  <si>
    <t>08GQ00</t>
  </si>
  <si>
    <t>08GW00</t>
  </si>
  <si>
    <t>08GX00</t>
  </si>
  <si>
    <t>08GY00</t>
  </si>
  <si>
    <t>08GZ00</t>
  </si>
  <si>
    <t>08HA00</t>
  </si>
  <si>
    <t>08HD00</t>
  </si>
  <si>
    <t>08HK00</t>
  </si>
  <si>
    <t>08HM00</t>
  </si>
  <si>
    <t>08HN00</t>
  </si>
  <si>
    <t>08HP00</t>
  </si>
  <si>
    <t>08HQ00</t>
  </si>
  <si>
    <t>08IB00</t>
  </si>
  <si>
    <t>08IC00</t>
  </si>
  <si>
    <t>08IE00</t>
  </si>
  <si>
    <t>08IF00</t>
  </si>
  <si>
    <t>08IH00</t>
  </si>
  <si>
    <t>08IN00</t>
  </si>
  <si>
    <t>08IR00</t>
  </si>
  <si>
    <t>08IS00</t>
  </si>
  <si>
    <t>08IT00</t>
  </si>
  <si>
    <t>08IV00</t>
  </si>
  <si>
    <t>08IW00</t>
  </si>
  <si>
    <t>08JC00</t>
  </si>
  <si>
    <t>08JE00</t>
  </si>
  <si>
    <t>08JF00</t>
  </si>
  <si>
    <t>08JH00</t>
  </si>
  <si>
    <t>08JJ00</t>
  </si>
  <si>
    <t>08JL00</t>
  </si>
  <si>
    <t>08JM00</t>
  </si>
  <si>
    <t>08JO00</t>
  </si>
  <si>
    <t>08JP00</t>
  </si>
  <si>
    <t>08JS00</t>
  </si>
  <si>
    <t>08JT00</t>
  </si>
  <si>
    <t>08JU00</t>
  </si>
  <si>
    <t>08JV00</t>
  </si>
  <si>
    <t>08JW00</t>
  </si>
  <si>
    <t>08JY00</t>
  </si>
  <si>
    <t>08JZ00</t>
  </si>
  <si>
    <t>08KA00</t>
  </si>
  <si>
    <t>08KC00</t>
  </si>
  <si>
    <t>08KD00</t>
  </si>
  <si>
    <t>08KE00</t>
  </si>
  <si>
    <t>08KF00</t>
  </si>
  <si>
    <t>08KH00</t>
  </si>
  <si>
    <t>08KI00</t>
  </si>
  <si>
    <t>08KJ00</t>
  </si>
  <si>
    <t>08KK00</t>
  </si>
  <si>
    <t>08KN00</t>
  </si>
  <si>
    <t>08KO00</t>
  </si>
  <si>
    <t>08KP00</t>
  </si>
  <si>
    <t>08KQ00</t>
  </si>
  <si>
    <t>08KR00</t>
  </si>
  <si>
    <t>08KT00</t>
  </si>
  <si>
    <t>08KU00</t>
  </si>
  <si>
    <t>08KV00</t>
  </si>
  <si>
    <t>08KX00</t>
  </si>
  <si>
    <t>08LA00</t>
  </si>
  <si>
    <t>08LC00</t>
  </si>
  <si>
    <t>08LE00</t>
  </si>
  <si>
    <t>08LH00</t>
  </si>
  <si>
    <t>08LJ00</t>
  </si>
  <si>
    <t>08LL00</t>
  </si>
  <si>
    <t>08LM00</t>
  </si>
  <si>
    <t>08LQ00</t>
  </si>
  <si>
    <t>08LR00</t>
  </si>
  <si>
    <t>08LS00</t>
  </si>
  <si>
    <t>08LV00</t>
  </si>
  <si>
    <t>08LY00</t>
  </si>
  <si>
    <t>08LZ00</t>
  </si>
  <si>
    <t>08MB00</t>
  </si>
  <si>
    <t>08MD00</t>
  </si>
  <si>
    <t>08ME00</t>
  </si>
  <si>
    <t>08MF00</t>
  </si>
  <si>
    <t>08MJ00</t>
  </si>
  <si>
    <t>08MK00</t>
  </si>
  <si>
    <t>08MN00</t>
  </si>
  <si>
    <t>08MO00</t>
  </si>
  <si>
    <t>08MQ00</t>
  </si>
  <si>
    <t>08MR00</t>
  </si>
  <si>
    <t>08MS00</t>
  </si>
  <si>
    <t>08MU00</t>
  </si>
  <si>
    <t>08MV00</t>
  </si>
  <si>
    <t>08MW00</t>
  </si>
  <si>
    <t>08MX00</t>
  </si>
  <si>
    <t>08MY00</t>
  </si>
  <si>
    <t>08NA00</t>
  </si>
  <si>
    <t>08NB00</t>
  </si>
  <si>
    <t>08NC00</t>
  </si>
  <si>
    <t>08ND00</t>
  </si>
  <si>
    <t>08NF00</t>
  </si>
  <si>
    <t>08NH00</t>
  </si>
  <si>
    <t>08NI00</t>
  </si>
  <si>
    <t>08NJ00</t>
  </si>
  <si>
    <t>08NL00</t>
  </si>
  <si>
    <t>08NM00</t>
  </si>
  <si>
    <t>08NN00</t>
  </si>
  <si>
    <t>08NO00</t>
  </si>
  <si>
    <t>08NP00</t>
  </si>
  <si>
    <t>08NT00</t>
  </si>
  <si>
    <t>08NU00</t>
  </si>
  <si>
    <t>08NV00</t>
  </si>
  <si>
    <t>08NW00</t>
  </si>
  <si>
    <t>08NX00</t>
  </si>
  <si>
    <t>08NZ00</t>
  </si>
  <si>
    <t>08OD00</t>
  </si>
  <si>
    <t>08OF00</t>
  </si>
  <si>
    <t>08OM00</t>
  </si>
  <si>
    <t>08ON00</t>
  </si>
  <si>
    <t>08OQ00</t>
  </si>
  <si>
    <t>08OS00</t>
  </si>
  <si>
    <t>08OU00</t>
  </si>
  <si>
    <t>08OW00</t>
  </si>
  <si>
    <t>08OX00</t>
  </si>
  <si>
    <t>08OY00</t>
  </si>
  <si>
    <t>08OZ00</t>
  </si>
  <si>
    <t>08PB00</t>
  </si>
  <si>
    <t>08PE00</t>
  </si>
  <si>
    <t>08PF00</t>
  </si>
  <si>
    <t>08PH00</t>
  </si>
  <si>
    <t>08PI00</t>
  </si>
  <si>
    <t>08PJ00</t>
  </si>
  <si>
    <t>08PK00</t>
  </si>
  <si>
    <t>08PM00</t>
  </si>
  <si>
    <t>08PO00</t>
  </si>
  <si>
    <t>08PP00</t>
  </si>
  <si>
    <t>08PR00</t>
  </si>
  <si>
    <t>08PV00</t>
  </si>
  <si>
    <t>08PW00</t>
  </si>
  <si>
    <t>08PY00</t>
  </si>
  <si>
    <t>08QB00</t>
  </si>
  <si>
    <t>08QG00</t>
  </si>
  <si>
    <t>08QH00</t>
  </si>
  <si>
    <t>08QM00</t>
  </si>
  <si>
    <t>08QN00</t>
  </si>
  <si>
    <t>08QO00</t>
  </si>
  <si>
    <t>08QP00</t>
  </si>
  <si>
    <t>08QS00</t>
  </si>
  <si>
    <t>08QU00</t>
  </si>
  <si>
    <t>08QW00</t>
  </si>
  <si>
    <t>08QX00</t>
  </si>
  <si>
    <t>08QY00</t>
  </si>
  <si>
    <t>08RA00</t>
  </si>
  <si>
    <t>08RC00</t>
  </si>
  <si>
    <t>08RD00</t>
  </si>
  <si>
    <t>08RK00</t>
  </si>
  <si>
    <t>08RL00</t>
  </si>
  <si>
    <t>08RM00</t>
  </si>
  <si>
    <t>08RN00</t>
  </si>
  <si>
    <t>08RO00</t>
  </si>
  <si>
    <t>08RP00</t>
  </si>
  <si>
    <t>08RQ00</t>
  </si>
  <si>
    <t>08RR00</t>
  </si>
  <si>
    <t>08RU00</t>
  </si>
  <si>
    <t>08SE00</t>
  </si>
  <si>
    <t>08SL00</t>
  </si>
  <si>
    <t>08SP00</t>
  </si>
  <si>
    <t>08SQ00</t>
  </si>
  <si>
    <t>08SV00</t>
  </si>
  <si>
    <t>08SW00</t>
  </si>
  <si>
    <t>08SX00</t>
  </si>
  <si>
    <t>08SY00</t>
  </si>
  <si>
    <t>08SY01</t>
  </si>
  <si>
    <t>08TE00</t>
  </si>
  <si>
    <t>08TI00</t>
  </si>
  <si>
    <t>08TJ00</t>
  </si>
  <si>
    <t>08TK00</t>
  </si>
  <si>
    <t>08TL00</t>
  </si>
  <si>
    <t>08TM00</t>
  </si>
  <si>
    <t>08TN00</t>
  </si>
  <si>
    <t>08TO00</t>
  </si>
  <si>
    <t>08TV00</t>
  </si>
  <si>
    <t>08UA00</t>
  </si>
  <si>
    <t>08UC00</t>
  </si>
  <si>
    <t>08UD00</t>
  </si>
  <si>
    <t>08UJ00</t>
  </si>
  <si>
    <t>08UN00</t>
  </si>
  <si>
    <t>08UO00</t>
  </si>
  <si>
    <t>08UP00</t>
  </si>
  <si>
    <t>08US00</t>
  </si>
  <si>
    <t>08UT00</t>
  </si>
  <si>
    <t>08UU00</t>
  </si>
  <si>
    <t>08UW00</t>
  </si>
  <si>
    <t>08UX00</t>
  </si>
  <si>
    <t>08UY00</t>
  </si>
  <si>
    <t>08VA00</t>
  </si>
  <si>
    <t>08VB00</t>
  </si>
  <si>
    <t>08VC00</t>
  </si>
  <si>
    <t>08VE00</t>
  </si>
  <si>
    <t>08VG00</t>
  </si>
  <si>
    <t>08VH00</t>
  </si>
  <si>
    <t>08VI00</t>
  </si>
  <si>
    <t>08VK00</t>
  </si>
  <si>
    <t>08VL00</t>
  </si>
  <si>
    <t>08VM00</t>
  </si>
  <si>
    <t>08VN00</t>
  </si>
  <si>
    <t>08VO00</t>
  </si>
  <si>
    <t>08VP00</t>
  </si>
  <si>
    <t>08VQ00</t>
  </si>
  <si>
    <t>08VR00</t>
  </si>
  <si>
    <t>08VS00</t>
  </si>
  <si>
    <t>08VT00</t>
  </si>
  <si>
    <t>08VV00</t>
  </si>
  <si>
    <t>08VW00</t>
  </si>
  <si>
    <t>08VY00</t>
  </si>
  <si>
    <t>08VZ00</t>
  </si>
  <si>
    <t>08WB00</t>
  </si>
  <si>
    <t>08WC00</t>
  </si>
  <si>
    <t>08WD00</t>
  </si>
  <si>
    <t>08WF00</t>
  </si>
  <si>
    <t>08WG00</t>
  </si>
  <si>
    <t>08WG01</t>
  </si>
  <si>
    <t>08WH00</t>
  </si>
  <si>
    <t>08WK00</t>
  </si>
  <si>
    <t>08WK01</t>
  </si>
  <si>
    <t>08WM00</t>
  </si>
  <si>
    <t>08WO00</t>
  </si>
  <si>
    <t>08WQ00</t>
  </si>
  <si>
    <t>08WR00</t>
  </si>
  <si>
    <t>08WS00</t>
  </si>
  <si>
    <t>08WT00</t>
  </si>
  <si>
    <t>08WU00</t>
  </si>
  <si>
    <t>08WV00</t>
  </si>
  <si>
    <t>08WW00</t>
  </si>
  <si>
    <t>08WY00</t>
  </si>
  <si>
    <t>08WZ00</t>
  </si>
  <si>
    <t>08XB00</t>
  </si>
  <si>
    <t>08XC00</t>
  </si>
  <si>
    <t>08XD00</t>
  </si>
  <si>
    <t>08XF00</t>
  </si>
  <si>
    <t>08XG00</t>
  </si>
  <si>
    <t>08XH00</t>
  </si>
  <si>
    <t>08XI00</t>
  </si>
  <si>
    <t>08XJ00</t>
  </si>
  <si>
    <t>08XL00</t>
  </si>
  <si>
    <t>08XM00</t>
  </si>
  <si>
    <t>08XR00</t>
  </si>
  <si>
    <t>08XS00</t>
  </si>
  <si>
    <t>08XT00</t>
  </si>
  <si>
    <t>08XV00</t>
  </si>
  <si>
    <t>08YA00</t>
  </si>
  <si>
    <t>08YB00</t>
  </si>
  <si>
    <t>08YE00</t>
  </si>
  <si>
    <t>08YI00</t>
  </si>
  <si>
    <t>08YK00</t>
  </si>
  <si>
    <t>08YM00</t>
  </si>
  <si>
    <t>08YN00</t>
  </si>
  <si>
    <t>08YO00</t>
  </si>
  <si>
    <t>08YP00</t>
  </si>
  <si>
    <t>08YR00</t>
  </si>
  <si>
    <t>08YS00</t>
  </si>
  <si>
    <t>08YT00</t>
  </si>
  <si>
    <t>08YU00</t>
  </si>
  <si>
    <t>08YV00</t>
  </si>
  <si>
    <t>08YZ00</t>
  </si>
  <si>
    <t>08ZB00</t>
  </si>
  <si>
    <t>08ZC00</t>
  </si>
  <si>
    <t>08ZD00</t>
  </si>
  <si>
    <t>08ZE00</t>
  </si>
  <si>
    <t>08ZG00</t>
  </si>
  <si>
    <t>08ZI00</t>
  </si>
  <si>
    <t>08ZK00</t>
  </si>
  <si>
    <t>08ZL00</t>
  </si>
  <si>
    <t>08ZN00</t>
  </si>
  <si>
    <t>08ZO00</t>
  </si>
  <si>
    <t>08ZR00</t>
  </si>
  <si>
    <t>08ZS00</t>
  </si>
  <si>
    <t>08ZT00</t>
  </si>
  <si>
    <t>08ZU00</t>
  </si>
  <si>
    <t>08ZV00</t>
  </si>
  <si>
    <t>08ZW00</t>
  </si>
  <si>
    <t>08ZX00</t>
  </si>
  <si>
    <t>09AA00</t>
  </si>
  <si>
    <t>09AB00</t>
  </si>
  <si>
    <t>09AC00</t>
  </si>
  <si>
    <t>09AE00</t>
  </si>
  <si>
    <t>09AF00</t>
  </si>
  <si>
    <t>09AG00</t>
  </si>
  <si>
    <t>09AH00</t>
  </si>
  <si>
    <t>09AI00</t>
  </si>
  <si>
    <t>09AJ00</t>
  </si>
  <si>
    <t>09AK00</t>
  </si>
  <si>
    <t>09AM00</t>
  </si>
  <si>
    <t>09AO00</t>
  </si>
  <si>
    <t>09AP00</t>
  </si>
  <si>
    <t>09AR00</t>
  </si>
  <si>
    <t>09AS00</t>
  </si>
  <si>
    <t>09AT00</t>
  </si>
  <si>
    <t>09AU00</t>
  </si>
  <si>
    <t>09AV00</t>
  </si>
  <si>
    <t>09AW00</t>
  </si>
  <si>
    <t>09AY00</t>
  </si>
  <si>
    <t>09AZ00</t>
  </si>
  <si>
    <t>09BA00</t>
  </si>
  <si>
    <t>09BB00</t>
  </si>
  <si>
    <t>09BC00</t>
  </si>
  <si>
    <t>09BD00</t>
  </si>
  <si>
    <t>09BE00</t>
  </si>
  <si>
    <t>09BH00</t>
  </si>
  <si>
    <t>09BJ00</t>
  </si>
  <si>
    <t>09BK00</t>
  </si>
  <si>
    <t>09BL00</t>
  </si>
  <si>
    <t>09BO00</t>
  </si>
  <si>
    <t>09BP00</t>
  </si>
  <si>
    <t>09BQ00</t>
  </si>
  <si>
    <t>09BR00</t>
  </si>
  <si>
    <t>09BS00</t>
  </si>
  <si>
    <t>09BT00</t>
  </si>
  <si>
    <t>09BV00</t>
  </si>
  <si>
    <t>09BX00</t>
  </si>
  <si>
    <t>09BY00</t>
  </si>
  <si>
    <t>09CA00</t>
  </si>
  <si>
    <t>09CB00</t>
  </si>
  <si>
    <t>09CD00</t>
  </si>
  <si>
    <t>09CE00</t>
  </si>
  <si>
    <t>09CH00</t>
  </si>
  <si>
    <t>09CJ00</t>
  </si>
  <si>
    <t>09CL00</t>
  </si>
  <si>
    <t>09CO00</t>
  </si>
  <si>
    <t>09CP00</t>
  </si>
  <si>
    <t>09CR00</t>
  </si>
  <si>
    <t>09CS00</t>
  </si>
  <si>
    <t>09CT00</t>
  </si>
  <si>
    <t>09CU00</t>
  </si>
  <si>
    <t>09CV00</t>
  </si>
  <si>
    <t>09CW00</t>
  </si>
  <si>
    <t>09CY00</t>
  </si>
  <si>
    <t>09CZ00</t>
  </si>
  <si>
    <t>09DB00</t>
  </si>
  <si>
    <t>09DC00</t>
  </si>
  <si>
    <t>09DD00</t>
  </si>
  <si>
    <t>09DE00</t>
  </si>
  <si>
    <t>09DF00</t>
  </si>
  <si>
    <t>09DH00</t>
  </si>
  <si>
    <t>09DI00</t>
  </si>
  <si>
    <t>09DL00</t>
  </si>
  <si>
    <t>09DN00</t>
  </si>
  <si>
    <t>09DO00</t>
  </si>
  <si>
    <t>09DP00</t>
  </si>
  <si>
    <t>09DQ00</t>
  </si>
  <si>
    <t>09DS00</t>
  </si>
  <si>
    <t>09DT00</t>
  </si>
  <si>
    <t>09DV00</t>
  </si>
  <si>
    <t>09DW00</t>
  </si>
  <si>
    <t>09ED00</t>
  </si>
  <si>
    <t>09EE00</t>
  </si>
  <si>
    <t>09EG00</t>
  </si>
  <si>
    <t>09EI00</t>
  </si>
  <si>
    <t>09ES00</t>
  </si>
  <si>
    <t>09ET00</t>
  </si>
  <si>
    <t>09EU00</t>
  </si>
  <si>
    <t>09EV00</t>
  </si>
  <si>
    <t>09EZ00</t>
  </si>
  <si>
    <t>09FB00</t>
  </si>
  <si>
    <t>09FC00</t>
  </si>
  <si>
    <t>09FD00</t>
  </si>
  <si>
    <t>09FE00</t>
  </si>
  <si>
    <t>09FF00</t>
  </si>
  <si>
    <t>09FH00</t>
  </si>
  <si>
    <t>09FM00</t>
  </si>
  <si>
    <t>09FN00</t>
  </si>
  <si>
    <t>09FN01</t>
  </si>
  <si>
    <t>09FO00</t>
  </si>
  <si>
    <t>09FV00</t>
  </si>
  <si>
    <t>09FW00</t>
  </si>
  <si>
    <t>09FX00</t>
  </si>
  <si>
    <t>09FY00</t>
  </si>
  <si>
    <t>09GA00</t>
  </si>
  <si>
    <t>09GB00</t>
  </si>
  <si>
    <t>09GJ00</t>
  </si>
  <si>
    <t>09GK00</t>
  </si>
  <si>
    <t>09GM00</t>
  </si>
  <si>
    <t>09GN00</t>
  </si>
  <si>
    <t>09GQ00</t>
  </si>
  <si>
    <t>09GT00</t>
  </si>
  <si>
    <t>09HB00</t>
  </si>
  <si>
    <t>09HC00</t>
  </si>
  <si>
    <t>09HC01</t>
  </si>
  <si>
    <t>09HF00</t>
  </si>
  <si>
    <t>09HG00</t>
  </si>
  <si>
    <t>09HH00</t>
  </si>
  <si>
    <t>09HI00</t>
  </si>
  <si>
    <t>09HP00</t>
  </si>
  <si>
    <t>09HT00</t>
  </si>
  <si>
    <t>09HW00</t>
  </si>
  <si>
    <t>09HX00</t>
  </si>
  <si>
    <t>09HY00</t>
  </si>
  <si>
    <t>09IE00</t>
  </si>
  <si>
    <t>09IF00</t>
  </si>
  <si>
    <t>09IH00</t>
  </si>
  <si>
    <t>09IJ00</t>
  </si>
  <si>
    <t>09IP00</t>
  </si>
  <si>
    <t>09IQ00</t>
  </si>
  <si>
    <t>09IR00</t>
  </si>
  <si>
    <t>09IS00</t>
  </si>
  <si>
    <t>09IT00</t>
  </si>
  <si>
    <t>09IV00</t>
  </si>
  <si>
    <t>09IW00</t>
  </si>
  <si>
    <t>09JB00</t>
  </si>
  <si>
    <t>09JE00</t>
  </si>
  <si>
    <t>09JG00</t>
  </si>
  <si>
    <t>09JH00</t>
  </si>
  <si>
    <t>09JI00</t>
  </si>
  <si>
    <t>09JJ00</t>
  </si>
  <si>
    <t>09JK00</t>
  </si>
  <si>
    <t>09JL00</t>
  </si>
  <si>
    <t>09JN00</t>
  </si>
  <si>
    <t>09JP00</t>
  </si>
  <si>
    <t>09JQ00</t>
  </si>
  <si>
    <t>09JT00</t>
  </si>
  <si>
    <t>09JU00</t>
  </si>
  <si>
    <t>09JV00</t>
  </si>
  <si>
    <t>09JX00</t>
  </si>
  <si>
    <t>09JY00</t>
  </si>
  <si>
    <t>09JZ00</t>
  </si>
  <si>
    <t>09KA00</t>
  </si>
  <si>
    <t>09KD00</t>
  </si>
  <si>
    <t>09KF00</t>
  </si>
  <si>
    <t>09KG00</t>
  </si>
  <si>
    <t>09KH00</t>
  </si>
  <si>
    <t>09KK00</t>
  </si>
  <si>
    <t>09KL00</t>
  </si>
  <si>
    <t>09KN00</t>
  </si>
  <si>
    <t>09KO00</t>
  </si>
  <si>
    <t>09KQ00</t>
  </si>
  <si>
    <t>09KS00</t>
  </si>
  <si>
    <t>09KU00</t>
  </si>
  <si>
    <t>09KV00</t>
  </si>
  <si>
    <t>09KW00</t>
  </si>
  <si>
    <t>09KZ00</t>
  </si>
  <si>
    <t>09LC00</t>
  </si>
  <si>
    <t>09LD00</t>
  </si>
  <si>
    <t>09LF00</t>
  </si>
  <si>
    <t>09LJ00</t>
  </si>
  <si>
    <t>09LK00</t>
  </si>
  <si>
    <t>09LL00</t>
  </si>
  <si>
    <t>09LM00</t>
  </si>
  <si>
    <t>09LN00</t>
  </si>
  <si>
    <t>09LO00</t>
  </si>
  <si>
    <t>09LP00</t>
  </si>
  <si>
    <t>09LQ00</t>
  </si>
  <si>
    <t>09LR00</t>
  </si>
  <si>
    <t>09LS00</t>
  </si>
  <si>
    <t>09LT00</t>
  </si>
  <si>
    <t>09LU00</t>
  </si>
  <si>
    <t>09LW00</t>
  </si>
  <si>
    <t>09LY00</t>
  </si>
  <si>
    <t>09LZ00</t>
  </si>
  <si>
    <t>09MF00</t>
  </si>
  <si>
    <t>09MG00</t>
  </si>
  <si>
    <t>09MH00</t>
  </si>
  <si>
    <t>09MJ00</t>
  </si>
  <si>
    <t>09MK00</t>
  </si>
  <si>
    <t>09ML00</t>
  </si>
  <si>
    <t>09MN00</t>
  </si>
  <si>
    <t>09MO00</t>
  </si>
  <si>
    <t>09MP00</t>
  </si>
  <si>
    <t>09MQ00</t>
  </si>
  <si>
    <t>09MS00</t>
  </si>
  <si>
    <t>09MT00</t>
  </si>
  <si>
    <t>09MU00</t>
  </si>
  <si>
    <t>09MX00</t>
  </si>
  <si>
    <t>09MY00</t>
  </si>
  <si>
    <t>09MZ00</t>
  </si>
  <si>
    <t>09NC00</t>
  </si>
  <si>
    <t>09ND00</t>
  </si>
  <si>
    <t>09NG00</t>
  </si>
  <si>
    <t>09NH00</t>
  </si>
  <si>
    <t>09NJ00</t>
  </si>
  <si>
    <t>09NN00</t>
  </si>
  <si>
    <t>09NN01</t>
  </si>
  <si>
    <t>09NO00</t>
  </si>
  <si>
    <t>09NT00</t>
  </si>
  <si>
    <t>09NW00</t>
  </si>
  <si>
    <t>09NZ00</t>
  </si>
  <si>
    <t>09OA00</t>
  </si>
  <si>
    <t>09OB00</t>
  </si>
  <si>
    <t>09OD00</t>
  </si>
  <si>
    <t>09OF00</t>
  </si>
  <si>
    <t>09OV00</t>
  </si>
  <si>
    <t>09PB00</t>
  </si>
  <si>
    <t>09PD00</t>
  </si>
  <si>
    <t>09PE00</t>
  </si>
  <si>
    <t>09PF00</t>
  </si>
  <si>
    <t>09PH00</t>
  </si>
  <si>
    <t>09PI00</t>
  </si>
  <si>
    <t>09PJ00</t>
  </si>
  <si>
    <t>09PM00</t>
  </si>
  <si>
    <t>09PV00</t>
  </si>
  <si>
    <t>09PX00</t>
  </si>
  <si>
    <t>09PZ00</t>
  </si>
  <si>
    <t>09PZ01</t>
  </si>
  <si>
    <t>09QA00</t>
  </si>
  <si>
    <t>09QC00</t>
  </si>
  <si>
    <t>09QG00</t>
  </si>
  <si>
    <t>09QJ00</t>
  </si>
  <si>
    <t>09QP00</t>
  </si>
  <si>
    <t>09QQ00</t>
  </si>
  <si>
    <t>09QR00</t>
  </si>
  <si>
    <t>09QV00</t>
  </si>
  <si>
    <t>09QY00</t>
  </si>
  <si>
    <t>09QZ00</t>
  </si>
  <si>
    <t>09RA00</t>
  </si>
  <si>
    <t>09RG00</t>
  </si>
  <si>
    <t>09RO00</t>
  </si>
  <si>
    <t>09RP00</t>
  </si>
  <si>
    <t>09RQ00</t>
  </si>
  <si>
    <t>09RR00</t>
  </si>
  <si>
    <t>09RS00</t>
  </si>
  <si>
    <t>09RU00</t>
  </si>
  <si>
    <t>09SF00</t>
  </si>
  <si>
    <t>09SG00</t>
  </si>
  <si>
    <t>09SQ00</t>
  </si>
  <si>
    <t>09ST00</t>
  </si>
  <si>
    <t>09SW00</t>
  </si>
  <si>
    <t>09SX00</t>
  </si>
  <si>
    <t>09SY00</t>
  </si>
  <si>
    <t>09TB00</t>
  </si>
  <si>
    <t>09TC00</t>
  </si>
  <si>
    <t>09TE00</t>
  </si>
  <si>
    <t>09TG00</t>
  </si>
  <si>
    <t>09TH00</t>
  </si>
  <si>
    <t>09TI00</t>
  </si>
  <si>
    <t>09TJ00</t>
  </si>
  <si>
    <t>09TM00</t>
  </si>
  <si>
    <t>09TP00</t>
  </si>
  <si>
    <t>09TV00</t>
  </si>
  <si>
    <t>09TW00</t>
  </si>
  <si>
    <t>09TX00</t>
  </si>
  <si>
    <t>09TY00</t>
  </si>
  <si>
    <t>09TZ00</t>
  </si>
  <si>
    <t>09UA00</t>
  </si>
  <si>
    <t>09UD00</t>
  </si>
  <si>
    <t>09UE00</t>
  </si>
  <si>
    <t>09UG00</t>
  </si>
  <si>
    <t>09UH00</t>
  </si>
  <si>
    <t>09UI00</t>
  </si>
  <si>
    <t>09UJ00</t>
  </si>
  <si>
    <t>09UK00</t>
  </si>
  <si>
    <t>09UL00</t>
  </si>
  <si>
    <t>09UN00</t>
  </si>
  <si>
    <t>09UO00</t>
  </si>
  <si>
    <t>09UQ00</t>
  </si>
  <si>
    <t>09US00</t>
  </si>
  <si>
    <t>09UT00</t>
  </si>
  <si>
    <t>09UU00</t>
  </si>
  <si>
    <t>09UW00</t>
  </si>
  <si>
    <t>09UY00</t>
  </si>
  <si>
    <t>09VB00</t>
  </si>
  <si>
    <t>09VE00</t>
  </si>
  <si>
    <t>09VH00</t>
  </si>
  <si>
    <t>09VI00</t>
  </si>
  <si>
    <t>09VJ00</t>
  </si>
  <si>
    <t>09VO00</t>
  </si>
  <si>
    <t>09VP00</t>
  </si>
  <si>
    <t>09VR00</t>
  </si>
  <si>
    <t>09VU00</t>
  </si>
  <si>
    <t>09VY00</t>
  </si>
  <si>
    <t>09VZ00</t>
  </si>
  <si>
    <t>09WB00</t>
  </si>
  <si>
    <t>09WD00</t>
  </si>
  <si>
    <t>09WE00</t>
  </si>
  <si>
    <t>09WF00</t>
  </si>
  <si>
    <t>09WH00</t>
  </si>
  <si>
    <t>09WL00</t>
  </si>
  <si>
    <t>09WM00</t>
  </si>
  <si>
    <t>09WN00</t>
  </si>
  <si>
    <t>09WO00</t>
  </si>
  <si>
    <t>09WP00</t>
  </si>
  <si>
    <t>09WS00</t>
  </si>
  <si>
    <t>09WT00</t>
  </si>
  <si>
    <t>09WU00</t>
  </si>
  <si>
    <t>09WW00</t>
  </si>
  <si>
    <t>09WX00</t>
  </si>
  <si>
    <t>09WY00</t>
  </si>
  <si>
    <t>09XA00</t>
  </si>
  <si>
    <t>09XB00</t>
  </si>
  <si>
    <t>09XC00</t>
  </si>
  <si>
    <t>09XD00</t>
  </si>
  <si>
    <t>09XF00</t>
  </si>
  <si>
    <t>09XH00</t>
  </si>
  <si>
    <t>09XI00</t>
  </si>
  <si>
    <t>09XJ00</t>
  </si>
  <si>
    <t>09XL00</t>
  </si>
  <si>
    <t>09XO00</t>
  </si>
  <si>
    <t>09XP00</t>
  </si>
  <si>
    <t>09XR00</t>
  </si>
  <si>
    <t>09XS00</t>
  </si>
  <si>
    <t>09XW00</t>
  </si>
  <si>
    <t>09XZ00</t>
  </si>
  <si>
    <t>09YB00</t>
  </si>
  <si>
    <t>09YE00</t>
  </si>
  <si>
    <t>09YF00</t>
  </si>
  <si>
    <t>09YG00</t>
  </si>
  <si>
    <t>09YH00</t>
  </si>
  <si>
    <t>09YI00</t>
  </si>
  <si>
    <t>09YJ00</t>
  </si>
  <si>
    <t>09YM00</t>
  </si>
  <si>
    <t>09YN00</t>
  </si>
  <si>
    <t>09YO00</t>
  </si>
  <si>
    <t>09YP00</t>
  </si>
  <si>
    <t>09YQ00</t>
  </si>
  <si>
    <t>09YR00</t>
  </si>
  <si>
    <t>09YS00</t>
  </si>
  <si>
    <t>09YT00</t>
  </si>
  <si>
    <t>09YU00</t>
  </si>
  <si>
    <t>09YW00</t>
  </si>
  <si>
    <t>09YY00</t>
  </si>
  <si>
    <t>09YZ00</t>
  </si>
  <si>
    <t>09ZA00</t>
  </si>
  <si>
    <t>09ZD00</t>
  </si>
  <si>
    <t>09ZF00</t>
  </si>
  <si>
    <t>09ZG00</t>
  </si>
  <si>
    <t>09ZG01</t>
  </si>
  <si>
    <t>09ZH00</t>
  </si>
  <si>
    <t>09ZI00</t>
  </si>
  <si>
    <t>09ZJ00</t>
  </si>
  <si>
    <t>09ZN00</t>
  </si>
  <si>
    <t>09ZO00</t>
  </si>
  <si>
    <t>09ZP00</t>
  </si>
  <si>
    <t>09ZQ00</t>
  </si>
  <si>
    <t>09ZS00</t>
  </si>
  <si>
    <t>09ZU00</t>
  </si>
  <si>
    <t>09ZZ00</t>
  </si>
  <si>
    <t>10AA00</t>
  </si>
  <si>
    <t>10AB00</t>
  </si>
  <si>
    <t>10AC00</t>
  </si>
  <si>
    <t>10AD00</t>
  </si>
  <si>
    <t>10AE00</t>
  </si>
  <si>
    <t>10AF00</t>
  </si>
  <si>
    <t>10AG00</t>
  </si>
  <si>
    <t>10AH00</t>
  </si>
  <si>
    <t>10AR00</t>
  </si>
  <si>
    <t>10AS00</t>
  </si>
  <si>
    <t>10AV00</t>
  </si>
  <si>
    <t>10AZ00</t>
  </si>
  <si>
    <t>10BA00</t>
  </si>
  <si>
    <t>10BD00</t>
  </si>
  <si>
    <t>10BE00</t>
  </si>
  <si>
    <t>10BF00</t>
  </si>
  <si>
    <t>10BG00</t>
  </si>
  <si>
    <t>10BG01</t>
  </si>
  <si>
    <t>10BH00</t>
  </si>
  <si>
    <t>10BI00</t>
  </si>
  <si>
    <t>10BJ00</t>
  </si>
  <si>
    <t>10BK00</t>
  </si>
  <si>
    <t>10BP00</t>
  </si>
  <si>
    <t>10BR00</t>
  </si>
  <si>
    <t>10BS00</t>
  </si>
  <si>
    <t>10BU00</t>
  </si>
  <si>
    <t>10BV00</t>
  </si>
  <si>
    <t>10BZ00</t>
  </si>
  <si>
    <t>10CF00</t>
  </si>
  <si>
    <t>10CH00</t>
  </si>
  <si>
    <t>10CI00</t>
  </si>
  <si>
    <t>10CJ00</t>
  </si>
  <si>
    <t>10CO00</t>
  </si>
  <si>
    <t>10CR00</t>
  </si>
  <si>
    <t>10CS00</t>
  </si>
  <si>
    <t>10CT00</t>
  </si>
  <si>
    <t>10CU00</t>
  </si>
  <si>
    <t>10CV00</t>
  </si>
  <si>
    <t>10CY00</t>
  </si>
  <si>
    <t>10DA00</t>
  </si>
  <si>
    <t>10DC00</t>
  </si>
  <si>
    <t>10DE00</t>
  </si>
  <si>
    <t>10DF00</t>
  </si>
  <si>
    <t>10DG00</t>
  </si>
  <si>
    <t>10DH00</t>
  </si>
  <si>
    <t>10DI00</t>
  </si>
  <si>
    <t>10DK00</t>
  </si>
  <si>
    <t>10DL00</t>
  </si>
  <si>
    <t>10DM00</t>
  </si>
  <si>
    <t>10DT00</t>
  </si>
  <si>
    <t>10DU00</t>
  </si>
  <si>
    <t>10DV00</t>
  </si>
  <si>
    <t>10DW00</t>
  </si>
  <si>
    <t>10DX00</t>
  </si>
  <si>
    <t>10DY00</t>
  </si>
  <si>
    <t>10EC00</t>
  </si>
  <si>
    <t>10EE00</t>
  </si>
  <si>
    <t>10EF00</t>
  </si>
  <si>
    <t>10EG00</t>
  </si>
  <si>
    <t>10EH00</t>
  </si>
  <si>
    <t>10EJ00</t>
  </si>
  <si>
    <t>10EL00</t>
  </si>
  <si>
    <t>10EO00</t>
  </si>
  <si>
    <t>10ES00</t>
  </si>
  <si>
    <t>10EU00</t>
  </si>
  <si>
    <t>10EW00</t>
  </si>
  <si>
    <t>10EY00</t>
  </si>
  <si>
    <t>10EZ00</t>
  </si>
  <si>
    <t>10FF00</t>
  </si>
  <si>
    <t>10FG00</t>
  </si>
  <si>
    <t>10FH00</t>
  </si>
  <si>
    <t>10FI00</t>
  </si>
  <si>
    <t>10FJ00</t>
  </si>
  <si>
    <t>10FL00</t>
  </si>
  <si>
    <t>10FM00</t>
  </si>
  <si>
    <t>10FN00</t>
  </si>
  <si>
    <t>10FO00</t>
  </si>
  <si>
    <t>10FQ00</t>
  </si>
  <si>
    <t>10FU00</t>
  </si>
  <si>
    <t>10FW00</t>
  </si>
  <si>
    <t>10FX00</t>
  </si>
  <si>
    <t>10FY00</t>
  </si>
  <si>
    <t>10FZ00</t>
  </si>
  <si>
    <t>10GA00</t>
  </si>
  <si>
    <t>10GB00</t>
  </si>
  <si>
    <t>10GD00</t>
  </si>
  <si>
    <t>10GE00</t>
  </si>
  <si>
    <t>10GK00</t>
  </si>
  <si>
    <t>10GL00</t>
  </si>
  <si>
    <t>10GM00</t>
  </si>
  <si>
    <t>10GP00</t>
  </si>
  <si>
    <t>10GQ00</t>
  </si>
  <si>
    <t>10GR00</t>
  </si>
  <si>
    <t>10GT00</t>
  </si>
  <si>
    <t>10GZ00</t>
  </si>
  <si>
    <t>10HA00</t>
  </si>
  <si>
    <t>10HB00</t>
  </si>
  <si>
    <t>10HC00</t>
  </si>
  <si>
    <t>10HD00</t>
  </si>
  <si>
    <t>10HE00</t>
  </si>
  <si>
    <t>10HF00</t>
  </si>
  <si>
    <t>10HG00</t>
  </si>
  <si>
    <t>10HK00</t>
  </si>
  <si>
    <t>10HM00</t>
  </si>
  <si>
    <t>10HN00</t>
  </si>
  <si>
    <t>10HO00</t>
  </si>
  <si>
    <t>10HR00</t>
  </si>
  <si>
    <t>10HT00</t>
  </si>
  <si>
    <t>10HU00</t>
  </si>
  <si>
    <t>10HV00</t>
  </si>
  <si>
    <t>10HX00</t>
  </si>
  <si>
    <t>10HY00</t>
  </si>
  <si>
    <t>10HZ00</t>
  </si>
  <si>
    <t>10IC00</t>
  </si>
  <si>
    <t>10ID00</t>
  </si>
  <si>
    <t>10IE00</t>
  </si>
  <si>
    <t>10IJ00</t>
  </si>
  <si>
    <t>10IK00</t>
  </si>
  <si>
    <t>10IL00</t>
  </si>
  <si>
    <t>10IM00</t>
  </si>
  <si>
    <t>10IU00</t>
  </si>
  <si>
    <t>10IW00</t>
  </si>
  <si>
    <t>10IY00</t>
  </si>
  <si>
    <t>10JF00</t>
  </si>
  <si>
    <t>10JH00</t>
  </si>
  <si>
    <t>10JJ00</t>
  </si>
  <si>
    <t>10JK00</t>
  </si>
  <si>
    <t>10JL00</t>
  </si>
  <si>
    <t>10JM00</t>
  </si>
  <si>
    <t>10JN00</t>
  </si>
  <si>
    <t>10JO00</t>
  </si>
  <si>
    <t>10JP00</t>
  </si>
  <si>
    <t>10JT00</t>
  </si>
  <si>
    <t>10JT01</t>
  </si>
  <si>
    <t>10JU00</t>
  </si>
  <si>
    <t>10JX00</t>
  </si>
  <si>
    <t>10KB00</t>
  </si>
  <si>
    <t>10KD00</t>
  </si>
  <si>
    <t>10KE00</t>
  </si>
  <si>
    <t>10KI00</t>
  </si>
  <si>
    <t>10KN00</t>
  </si>
  <si>
    <t>10KP00</t>
  </si>
  <si>
    <t>10KQ00</t>
  </si>
  <si>
    <t>10KS00</t>
  </si>
  <si>
    <t>10KW00</t>
  </si>
  <si>
    <t>10KX00</t>
  </si>
  <si>
    <t>10KZ00</t>
  </si>
  <si>
    <t>10LI00</t>
  </si>
  <si>
    <t>10LK00</t>
  </si>
  <si>
    <t>10LM00</t>
  </si>
  <si>
    <t>10LV00</t>
  </si>
  <si>
    <t>10LX00</t>
  </si>
  <si>
    <t>10LY00</t>
  </si>
  <si>
    <t>10MA00</t>
  </si>
  <si>
    <t>10MB00</t>
  </si>
  <si>
    <t>10ME00</t>
  </si>
  <si>
    <t>10MI00</t>
  </si>
  <si>
    <t>10MM00</t>
  </si>
  <si>
    <t>10MO00</t>
  </si>
  <si>
    <t>10MP00</t>
  </si>
  <si>
    <t>10MR00</t>
  </si>
  <si>
    <t>10MT00</t>
  </si>
  <si>
    <t>10MV00</t>
  </si>
  <si>
    <t>10MW00</t>
  </si>
  <si>
    <t>10MX00</t>
  </si>
  <si>
    <t>10MX01</t>
  </si>
  <si>
    <t>10MY00</t>
  </si>
  <si>
    <t>10MZ00</t>
  </si>
  <si>
    <t>10NA00</t>
  </si>
  <si>
    <t>10NB00</t>
  </si>
  <si>
    <t>10NC00</t>
  </si>
  <si>
    <t>10NH00</t>
  </si>
  <si>
    <t>10NK00</t>
  </si>
  <si>
    <t>10NL00</t>
  </si>
  <si>
    <t>10NM00</t>
  </si>
  <si>
    <t>10NN00</t>
  </si>
  <si>
    <t>10NO00</t>
  </si>
  <si>
    <t>10NP00</t>
  </si>
  <si>
    <t>10NS00</t>
  </si>
  <si>
    <t>10NW00</t>
  </si>
  <si>
    <t>10NY00</t>
  </si>
  <si>
    <t>10NZ00</t>
  </si>
  <si>
    <t>10OA00</t>
  </si>
  <si>
    <t>10OC00</t>
  </si>
  <si>
    <t>10OD00</t>
  </si>
  <si>
    <t>10OE00</t>
  </si>
  <si>
    <t>10OF00</t>
  </si>
  <si>
    <t>10OK00</t>
  </si>
  <si>
    <t>10OP00</t>
  </si>
  <si>
    <t>10OR00</t>
  </si>
  <si>
    <t>10OU00</t>
  </si>
  <si>
    <t>10OV00</t>
  </si>
  <si>
    <t>10OW00</t>
  </si>
  <si>
    <t>10OY00</t>
  </si>
  <si>
    <t>10PA00</t>
  </si>
  <si>
    <t>10PB00</t>
  </si>
  <si>
    <t>10PC00</t>
  </si>
  <si>
    <t>10PE00</t>
  </si>
  <si>
    <t>10PF00</t>
  </si>
  <si>
    <t>10PG00</t>
  </si>
  <si>
    <t>10PG01</t>
  </si>
  <si>
    <t>10PI00</t>
  </si>
  <si>
    <t>10PM00</t>
  </si>
  <si>
    <t>10PN00</t>
  </si>
  <si>
    <t>10PO00</t>
  </si>
  <si>
    <t>10PS00</t>
  </si>
  <si>
    <t>10PT00</t>
  </si>
  <si>
    <t>10PW00</t>
  </si>
  <si>
    <t>10PX00</t>
  </si>
  <si>
    <t>10PY00</t>
  </si>
  <si>
    <t>10PZ00</t>
  </si>
  <si>
    <t>10QA00</t>
  </si>
  <si>
    <t>10QB00</t>
  </si>
  <si>
    <t>10QC00</t>
  </si>
  <si>
    <t>10QE00</t>
  </si>
  <si>
    <t>10QF00</t>
  </si>
  <si>
    <t>10QL00</t>
  </si>
  <si>
    <t>10QM00</t>
  </si>
  <si>
    <t>10QO00</t>
  </si>
  <si>
    <t>10QP00</t>
  </si>
  <si>
    <t>10QQ00</t>
  </si>
  <si>
    <t>10QR00</t>
  </si>
  <si>
    <t>10QS00</t>
  </si>
  <si>
    <t>10QX00</t>
  </si>
  <si>
    <t>10QX02</t>
  </si>
  <si>
    <t>10QY00</t>
  </si>
  <si>
    <t>10QZ00</t>
  </si>
  <si>
    <t>10RA00</t>
  </si>
  <si>
    <t>10RC00</t>
  </si>
  <si>
    <t>10RD00</t>
  </si>
  <si>
    <t>10RE00</t>
  </si>
  <si>
    <t>10RF00</t>
  </si>
  <si>
    <t>10RG00</t>
  </si>
  <si>
    <t>10RH00</t>
  </si>
  <si>
    <t>10RI00</t>
  </si>
  <si>
    <t>10RJ00</t>
  </si>
  <si>
    <t>10RK00</t>
  </si>
  <si>
    <t>10RL00</t>
  </si>
  <si>
    <t>10RN00</t>
  </si>
  <si>
    <t>10RO00</t>
  </si>
  <si>
    <t>10RR00</t>
  </si>
  <si>
    <t>10RS00</t>
  </si>
  <si>
    <t>10RY00</t>
  </si>
  <si>
    <t>10SG00</t>
  </si>
  <si>
    <t>10SH00</t>
  </si>
  <si>
    <t>10SO00</t>
  </si>
  <si>
    <t>10SO01</t>
  </si>
  <si>
    <t>10SX00</t>
  </si>
  <si>
    <t>10SZ00</t>
  </si>
  <si>
    <t>10TA00</t>
  </si>
  <si>
    <t>10TB00</t>
  </si>
  <si>
    <t>10TC00</t>
  </si>
  <si>
    <t>10TE00</t>
  </si>
  <si>
    <t>10TH00</t>
  </si>
  <si>
    <t>10TO00</t>
  </si>
  <si>
    <t>10TP00</t>
  </si>
  <si>
    <t>10TQ00</t>
  </si>
  <si>
    <t>10TR00</t>
  </si>
  <si>
    <t>10TT00</t>
  </si>
  <si>
    <t>10UA00</t>
  </si>
  <si>
    <t>10UB00</t>
  </si>
  <si>
    <t>10UC00</t>
  </si>
  <si>
    <t>10UD00</t>
  </si>
  <si>
    <t>10UF00</t>
  </si>
  <si>
    <t>10UG00</t>
  </si>
  <si>
    <t>10UJ00</t>
  </si>
  <si>
    <t>10UK00</t>
  </si>
  <si>
    <t>10UN00</t>
  </si>
  <si>
    <t>10UP00</t>
  </si>
  <si>
    <t>10UU00</t>
  </si>
  <si>
    <t>10UV00</t>
  </si>
  <si>
    <t>10UW00</t>
  </si>
  <si>
    <t>10UX00</t>
  </si>
  <si>
    <t>10UZ00</t>
  </si>
  <si>
    <t>10VA00</t>
  </si>
  <si>
    <t>10VB00</t>
  </si>
  <si>
    <t>10VC00</t>
  </si>
  <si>
    <t>10VD00</t>
  </si>
  <si>
    <t>10VH00</t>
  </si>
  <si>
    <t>10VK00</t>
  </si>
  <si>
    <t>10VM00</t>
  </si>
  <si>
    <t>10VP00</t>
  </si>
  <si>
    <t>10VR00</t>
  </si>
  <si>
    <t>10VU00</t>
  </si>
  <si>
    <t>10VV00</t>
  </si>
  <si>
    <t>10WF00</t>
  </si>
  <si>
    <t>10WG00</t>
  </si>
  <si>
    <t>10WH00</t>
  </si>
  <si>
    <t>10WI00</t>
  </si>
  <si>
    <t>10WN00</t>
  </si>
  <si>
    <t>10WO00</t>
  </si>
  <si>
    <t>10WQ00</t>
  </si>
  <si>
    <t>10WT00</t>
  </si>
  <si>
    <t>10WU00</t>
  </si>
  <si>
    <t>10WW00</t>
  </si>
  <si>
    <t>10WZ00</t>
  </si>
  <si>
    <t>10XB00</t>
  </si>
  <si>
    <t>10XC00</t>
  </si>
  <si>
    <t>10XE00</t>
  </si>
  <si>
    <t>10XF00</t>
  </si>
  <si>
    <t>10XJ00</t>
  </si>
  <si>
    <t>10XK00</t>
  </si>
  <si>
    <t>10XM00</t>
  </si>
  <si>
    <t>10XO00</t>
  </si>
  <si>
    <t>10XP00</t>
  </si>
  <si>
    <t>10XR00</t>
  </si>
  <si>
    <t>10XS00</t>
  </si>
  <si>
    <t>10XU00</t>
  </si>
  <si>
    <t>10XV00</t>
  </si>
  <si>
    <t>10YA00</t>
  </si>
  <si>
    <t>10YD00</t>
  </si>
  <si>
    <t>10YE00</t>
  </si>
  <si>
    <t>10YF00</t>
  </si>
  <si>
    <t>10YG00</t>
  </si>
  <si>
    <t>10YH00</t>
  </si>
  <si>
    <t>10YI00</t>
  </si>
  <si>
    <t>10YK00</t>
  </si>
  <si>
    <t>10YO00</t>
  </si>
  <si>
    <t>10YP00</t>
  </si>
  <si>
    <t>10YQ00</t>
  </si>
  <si>
    <t>10YR00</t>
  </si>
  <si>
    <t>10YS00</t>
  </si>
  <si>
    <t>10YW00</t>
  </si>
  <si>
    <t>10YZ00</t>
  </si>
  <si>
    <t>10ZF00</t>
  </si>
  <si>
    <t>10ZI00</t>
  </si>
  <si>
    <t>10ZK00</t>
  </si>
  <si>
    <t>10ZM00</t>
  </si>
  <si>
    <t>10ZN00</t>
  </si>
  <si>
    <t>10ZO00</t>
  </si>
  <si>
    <t>10ZO02</t>
  </si>
  <si>
    <t>10ZS00</t>
  </si>
  <si>
    <t>10ZT00</t>
  </si>
  <si>
    <t>10ZU00</t>
  </si>
  <si>
    <t>10ZW00</t>
  </si>
  <si>
    <t>10ZY00</t>
  </si>
  <si>
    <t>10ZZ00</t>
  </si>
  <si>
    <t>11AK00</t>
  </si>
  <si>
    <t>11AL00</t>
  </si>
  <si>
    <t>11AM00</t>
  </si>
  <si>
    <t>11AO00</t>
  </si>
  <si>
    <t>11AQ00</t>
  </si>
  <si>
    <t>11AT00</t>
  </si>
  <si>
    <t>11AV00</t>
  </si>
  <si>
    <t>11AY00</t>
  </si>
  <si>
    <t>11AZ00</t>
  </si>
  <si>
    <t>11BF00</t>
  </si>
  <si>
    <t>11BL00</t>
  </si>
  <si>
    <t>11BO00</t>
  </si>
  <si>
    <t>11BP00</t>
  </si>
  <si>
    <t>11BQ00</t>
  </si>
  <si>
    <t>11BS00</t>
  </si>
  <si>
    <t>11BT00</t>
  </si>
  <si>
    <t>11BU00</t>
  </si>
  <si>
    <t>11BW00</t>
  </si>
  <si>
    <t>11BY00</t>
  </si>
  <si>
    <t>11CA00</t>
  </si>
  <si>
    <t>11CB00</t>
  </si>
  <si>
    <t>11CC00</t>
  </si>
  <si>
    <t>11CD00</t>
  </si>
  <si>
    <t>11CE00</t>
  </si>
  <si>
    <t>11CF00</t>
  </si>
  <si>
    <t>11CG00</t>
  </si>
  <si>
    <t>11CJ00</t>
  </si>
  <si>
    <t>11CK00</t>
  </si>
  <si>
    <t>11CM00</t>
  </si>
  <si>
    <t>11CO00</t>
  </si>
  <si>
    <t>11CP00</t>
  </si>
  <si>
    <t>11CS00</t>
  </si>
  <si>
    <t>11CT00</t>
  </si>
  <si>
    <t>11CU00</t>
  </si>
  <si>
    <t>11CV00</t>
  </si>
  <si>
    <t>11CY00</t>
  </si>
  <si>
    <t>11CZ00</t>
  </si>
  <si>
    <t>11DA00</t>
  </si>
  <si>
    <t>11DE00</t>
  </si>
  <si>
    <t>11DG00</t>
  </si>
  <si>
    <t>11DH00</t>
  </si>
  <si>
    <t>11DN00</t>
  </si>
  <si>
    <t>11DO00</t>
  </si>
  <si>
    <t>11DS00</t>
  </si>
  <si>
    <t>11DV00</t>
  </si>
  <si>
    <t>11DW00</t>
  </si>
  <si>
    <t>11DX00</t>
  </si>
  <si>
    <t>11DZ00</t>
  </si>
  <si>
    <t>11ED00</t>
  </si>
  <si>
    <t>11EF00</t>
  </si>
  <si>
    <t>11EI00</t>
  </si>
  <si>
    <t>11EL00</t>
  </si>
  <si>
    <t>11EM00</t>
  </si>
  <si>
    <t>11EN00</t>
  </si>
  <si>
    <t>11EO00</t>
  </si>
  <si>
    <t>11ER00</t>
  </si>
  <si>
    <t>11EU00</t>
  </si>
  <si>
    <t>11EW00</t>
  </si>
  <si>
    <t>11EY00</t>
  </si>
  <si>
    <t>11FA00</t>
  </si>
  <si>
    <t>11FB00</t>
  </si>
  <si>
    <t>11FC00</t>
  </si>
  <si>
    <t>11FD00</t>
  </si>
  <si>
    <t>11FE00</t>
  </si>
  <si>
    <t>11FG00</t>
  </si>
  <si>
    <t>11FI00</t>
  </si>
  <si>
    <t>11FK00</t>
  </si>
  <si>
    <t>11FL00</t>
  </si>
  <si>
    <t>11FM00</t>
  </si>
  <si>
    <t>11FO00</t>
  </si>
  <si>
    <t>11FQ00</t>
  </si>
  <si>
    <t>11FR00</t>
  </si>
  <si>
    <t>11FW00</t>
  </si>
  <si>
    <t>11FX00</t>
  </si>
  <si>
    <t>11FY00</t>
  </si>
  <si>
    <t>11FZ00</t>
  </si>
  <si>
    <t>11GC00</t>
  </si>
  <si>
    <t>11GF00</t>
  </si>
  <si>
    <t>11GH00</t>
  </si>
  <si>
    <t>11GK00</t>
  </si>
  <si>
    <t>11GM00</t>
  </si>
  <si>
    <t>11GR00</t>
  </si>
  <si>
    <t>11GS00</t>
  </si>
  <si>
    <t>11GT00</t>
  </si>
  <si>
    <t>11GX00</t>
  </si>
  <si>
    <t>11HC00</t>
  </si>
  <si>
    <t>11HD00</t>
  </si>
  <si>
    <t>11HD01</t>
  </si>
  <si>
    <t>11HF00</t>
  </si>
  <si>
    <t>11HH00</t>
  </si>
  <si>
    <t>11HJ00</t>
  </si>
  <si>
    <t>11HK00</t>
  </si>
  <si>
    <t>11HN00</t>
  </si>
  <si>
    <t>11HR00</t>
  </si>
  <si>
    <t>11HS00</t>
  </si>
  <si>
    <t>11HS01</t>
  </si>
  <si>
    <t>11HU00</t>
  </si>
  <si>
    <t>11HV00</t>
  </si>
  <si>
    <t>11HW00</t>
  </si>
  <si>
    <t>11IF00</t>
  </si>
  <si>
    <t>11IH00</t>
  </si>
  <si>
    <t>11IJ00</t>
  </si>
  <si>
    <t>11IP00</t>
  </si>
  <si>
    <t>11IQ00</t>
  </si>
  <si>
    <t>11IR00</t>
  </si>
  <si>
    <t>11IS00</t>
  </si>
  <si>
    <t>11IZ00</t>
  </si>
  <si>
    <t>11JA00</t>
  </si>
  <si>
    <t>11JD00</t>
  </si>
  <si>
    <t>11JJ00</t>
  </si>
  <si>
    <t>11JK00</t>
  </si>
  <si>
    <t>11JQ00</t>
  </si>
  <si>
    <t>11JR00</t>
  </si>
  <si>
    <t>11JU00</t>
  </si>
  <si>
    <t>11JV00</t>
  </si>
  <si>
    <t>11JX00</t>
  </si>
  <si>
    <t>11KB00</t>
  </si>
  <si>
    <t>11KC00</t>
  </si>
  <si>
    <t>11KG00</t>
  </si>
  <si>
    <t>11KJ00</t>
  </si>
  <si>
    <t>11KM00</t>
  </si>
  <si>
    <t>11KN00</t>
  </si>
  <si>
    <t>11KO00</t>
  </si>
  <si>
    <t>11KQ00</t>
  </si>
  <si>
    <t>11KR00</t>
  </si>
  <si>
    <t>11KS00</t>
  </si>
  <si>
    <t>11KW00</t>
  </si>
  <si>
    <t>11LB00</t>
  </si>
  <si>
    <t>11LE00</t>
  </si>
  <si>
    <t>11LF00</t>
  </si>
  <si>
    <t>11LG00</t>
  </si>
  <si>
    <t>11LH00</t>
  </si>
  <si>
    <t>11LI00</t>
  </si>
  <si>
    <t>11LJ00</t>
  </si>
  <si>
    <t>11LK00</t>
  </si>
  <si>
    <t>11LL00</t>
  </si>
  <si>
    <t>11LO00</t>
  </si>
  <si>
    <t>11LP00</t>
  </si>
  <si>
    <t>11LR00</t>
  </si>
  <si>
    <t>11LS00</t>
  </si>
  <si>
    <t>11LT00</t>
  </si>
  <si>
    <t>11LX00</t>
  </si>
  <si>
    <t>11LY00</t>
  </si>
  <si>
    <t>11MA00</t>
  </si>
  <si>
    <t>11MB00</t>
  </si>
  <si>
    <t>11MC00</t>
  </si>
  <si>
    <t>11MD00</t>
  </si>
  <si>
    <t>11MG00</t>
  </si>
  <si>
    <t>11MI00</t>
  </si>
  <si>
    <t>11MK00</t>
  </si>
  <si>
    <t>11MN00</t>
  </si>
  <si>
    <t>11MO00</t>
  </si>
  <si>
    <t>11MP00</t>
  </si>
  <si>
    <t>11MQ00</t>
  </si>
  <si>
    <t>11MR00</t>
  </si>
  <si>
    <t>11MS00</t>
  </si>
  <si>
    <t>11MW00</t>
  </si>
  <si>
    <t>11MZ00</t>
  </si>
  <si>
    <t>11NE00</t>
  </si>
  <si>
    <t>11NH00</t>
  </si>
  <si>
    <t>11NM00</t>
  </si>
  <si>
    <t>11NT00</t>
  </si>
  <si>
    <t>11NU00</t>
  </si>
  <si>
    <t>11OA00</t>
  </si>
  <si>
    <t>11OA03</t>
  </si>
  <si>
    <t>11OA04</t>
  </si>
  <si>
    <t>11OB00</t>
  </si>
  <si>
    <t>11OC00</t>
  </si>
  <si>
    <t>11OD00</t>
  </si>
  <si>
    <t>11OE00</t>
  </si>
  <si>
    <t>11OH00</t>
  </si>
  <si>
    <t>11OJ00</t>
  </si>
  <si>
    <t>11ON00</t>
  </si>
  <si>
    <t>11OR00</t>
  </si>
  <si>
    <t>11OS00</t>
  </si>
  <si>
    <t>11OT00</t>
  </si>
  <si>
    <t>11OU00</t>
  </si>
  <si>
    <t>11OW00</t>
  </si>
  <si>
    <t>11OX00</t>
  </si>
  <si>
    <t>11PD00</t>
  </si>
  <si>
    <t>11PE00</t>
  </si>
  <si>
    <t>11PJ00</t>
  </si>
  <si>
    <t>11PL00</t>
  </si>
  <si>
    <t>11PM00</t>
  </si>
  <si>
    <t>11PN00</t>
  </si>
  <si>
    <t>11PP00</t>
  </si>
  <si>
    <t>11PS00</t>
  </si>
  <si>
    <t>11PT00</t>
  </si>
  <si>
    <t>11PW00</t>
  </si>
  <si>
    <t>11QB00</t>
  </si>
  <si>
    <t>11QC00</t>
  </si>
  <si>
    <t>11QD00</t>
  </si>
  <si>
    <t>11QG00</t>
  </si>
  <si>
    <t>11QH00</t>
  </si>
  <si>
    <t>11QK00</t>
  </si>
  <si>
    <t>11QL00</t>
  </si>
  <si>
    <t>11QN00</t>
  </si>
  <si>
    <t>11QO00</t>
  </si>
  <si>
    <t>11QQ00</t>
  </si>
  <si>
    <t>11QT00</t>
  </si>
  <si>
    <t>11QU00</t>
  </si>
  <si>
    <t>11QV00</t>
  </si>
  <si>
    <t>11QW00</t>
  </si>
  <si>
    <t>11QX00</t>
  </si>
  <si>
    <t>11QY00</t>
  </si>
  <si>
    <t>11QZ00</t>
  </si>
  <si>
    <t>11RC00</t>
  </si>
  <si>
    <t>11RD00</t>
  </si>
  <si>
    <t>11RF00</t>
  </si>
  <si>
    <t>11RG00</t>
  </si>
  <si>
    <t>11RH00</t>
  </si>
  <si>
    <t>11RI00</t>
  </si>
  <si>
    <t>11RJ00</t>
  </si>
  <si>
    <t>11RK00</t>
  </si>
  <si>
    <t>11RL00</t>
  </si>
  <si>
    <t>11RO00</t>
  </si>
  <si>
    <t>11RP00</t>
  </si>
  <si>
    <t>11RR00</t>
  </si>
  <si>
    <t>11RS00</t>
  </si>
  <si>
    <t>11RT00</t>
  </si>
  <si>
    <t>11RU00</t>
  </si>
  <si>
    <t>11RW00</t>
  </si>
  <si>
    <t>11RX00</t>
  </si>
  <si>
    <t>11RY00</t>
  </si>
  <si>
    <t>11RZ00</t>
  </si>
  <si>
    <t>11SI00</t>
  </si>
  <si>
    <t>11SJ00</t>
  </si>
  <si>
    <t>11SK00</t>
  </si>
  <si>
    <t>11SO00</t>
  </si>
  <si>
    <t>11SX00</t>
  </si>
  <si>
    <t>11SY00</t>
  </si>
  <si>
    <t>11TC00</t>
  </si>
  <si>
    <t>11TD00</t>
  </si>
  <si>
    <t>11TI00</t>
  </si>
  <si>
    <t>11TN00</t>
  </si>
  <si>
    <t>11TQ00</t>
  </si>
  <si>
    <t>11TR00</t>
  </si>
  <si>
    <t>11TX00</t>
  </si>
  <si>
    <t>11TY00</t>
  </si>
  <si>
    <t>11TZ00</t>
  </si>
  <si>
    <t>11UA00</t>
  </si>
  <si>
    <t>11UB00</t>
  </si>
  <si>
    <t>11UC00</t>
  </si>
  <si>
    <t>11UD00</t>
  </si>
  <si>
    <t>11UD01</t>
  </si>
  <si>
    <t>11UF00</t>
  </si>
  <si>
    <t>11UG00</t>
  </si>
  <si>
    <t>11UH00</t>
  </si>
  <si>
    <t>11UJ00</t>
  </si>
  <si>
    <t>11UM00</t>
  </si>
  <si>
    <t>11UN00</t>
  </si>
  <si>
    <t>11UO00</t>
  </si>
  <si>
    <t>11UQ00</t>
  </si>
  <si>
    <t>11UQ01</t>
  </si>
  <si>
    <t>11UR00</t>
  </si>
  <si>
    <t>11UY00</t>
  </si>
  <si>
    <t>11UZ00</t>
  </si>
  <si>
    <t>11VA00</t>
  </si>
  <si>
    <t>11VF00</t>
  </si>
  <si>
    <t>11VJ00</t>
  </si>
  <si>
    <t>11VK00</t>
  </si>
  <si>
    <t>11VM00</t>
  </si>
  <si>
    <t>11VN00</t>
  </si>
  <si>
    <t>11VO00</t>
  </si>
  <si>
    <t>11VP00</t>
  </si>
  <si>
    <t>11VR00</t>
  </si>
  <si>
    <t>11VU00</t>
  </si>
  <si>
    <t>11VV00</t>
  </si>
  <si>
    <t>11VZ00</t>
  </si>
  <si>
    <t>11WB00</t>
  </si>
  <si>
    <t>11WC00</t>
  </si>
  <si>
    <t>11WD00</t>
  </si>
  <si>
    <t>11WG00</t>
  </si>
  <si>
    <t>11WI00</t>
  </si>
  <si>
    <t>11WN00</t>
  </si>
  <si>
    <t>11WP00</t>
  </si>
  <si>
    <t>11WQ00</t>
  </si>
  <si>
    <t>11WU00</t>
  </si>
  <si>
    <t>11WV00</t>
  </si>
  <si>
    <t>11WZ00</t>
  </si>
  <si>
    <t>11XA00</t>
  </si>
  <si>
    <t>11XF00</t>
  </si>
  <si>
    <t>11XH00</t>
  </si>
  <si>
    <t>11XI00</t>
  </si>
  <si>
    <t>11XJ00</t>
  </si>
  <si>
    <t>11XK00</t>
  </si>
  <si>
    <t>11XL00</t>
  </si>
  <si>
    <t>11XM00</t>
  </si>
  <si>
    <t>11XQ00</t>
  </si>
  <si>
    <t>11XS00</t>
  </si>
  <si>
    <t>11XU00</t>
  </si>
  <si>
    <t>11XY00</t>
  </si>
  <si>
    <t>11XZ00</t>
  </si>
  <si>
    <t>11YA00</t>
  </si>
  <si>
    <t>11YE00</t>
  </si>
  <si>
    <t>11YI00</t>
  </si>
  <si>
    <t>11YJ00</t>
  </si>
  <si>
    <t>11YL00</t>
  </si>
  <si>
    <t>11YP00</t>
  </si>
  <si>
    <t>11YV00</t>
  </si>
  <si>
    <t>11YW00</t>
  </si>
  <si>
    <t>11YX00</t>
  </si>
  <si>
    <t>11ZC00</t>
  </si>
  <si>
    <t>11ZE00</t>
  </si>
  <si>
    <t>11ZI00</t>
  </si>
  <si>
    <t>11ZL00</t>
  </si>
  <si>
    <t>11ZM00</t>
  </si>
  <si>
    <t>11ZP00</t>
  </si>
  <si>
    <t>11ZQ00</t>
  </si>
  <si>
    <t>11ZU00</t>
  </si>
  <si>
    <t>11ZW00</t>
  </si>
  <si>
    <t>12AA00</t>
  </si>
  <si>
    <t>12AC00</t>
  </si>
  <si>
    <t>12AE00</t>
  </si>
  <si>
    <t>12AF00</t>
  </si>
  <si>
    <t>12AH00</t>
  </si>
  <si>
    <t>12AL00</t>
  </si>
  <si>
    <t>12AM00</t>
  </si>
  <si>
    <t>12AP00</t>
  </si>
  <si>
    <t>12AQ00</t>
  </si>
  <si>
    <t>12AR00</t>
  </si>
  <si>
    <t>12AT00</t>
  </si>
  <si>
    <t>12AU00</t>
  </si>
  <si>
    <t>12AV00</t>
  </si>
  <si>
    <t>12AW00</t>
  </si>
  <si>
    <t>12AY00</t>
  </si>
  <si>
    <t>12BF00</t>
  </si>
  <si>
    <t>12BG00</t>
  </si>
  <si>
    <t>12BH00</t>
  </si>
  <si>
    <t>12BI00</t>
  </si>
  <si>
    <t>12BO00</t>
  </si>
  <si>
    <t>12BP00</t>
  </si>
  <si>
    <t>12BR00</t>
  </si>
  <si>
    <t>12BS00</t>
  </si>
  <si>
    <t>12BT00</t>
  </si>
  <si>
    <t>12BV00</t>
  </si>
  <si>
    <t>12BY00</t>
  </si>
  <si>
    <t>12CC00</t>
  </si>
  <si>
    <t>12CF00</t>
  </si>
  <si>
    <t>12CJ00</t>
  </si>
  <si>
    <t>12CK00</t>
  </si>
  <si>
    <t>12CL00</t>
  </si>
  <si>
    <t>12CN00</t>
  </si>
  <si>
    <t>12CO00</t>
  </si>
  <si>
    <t>12CX00</t>
  </si>
  <si>
    <t>12DC00</t>
  </si>
  <si>
    <t>12DE00</t>
  </si>
  <si>
    <t>12DF00</t>
  </si>
  <si>
    <t>12DG00</t>
  </si>
  <si>
    <t>12DI00</t>
  </si>
  <si>
    <t>12DL00</t>
  </si>
  <si>
    <t>12DO00</t>
  </si>
  <si>
    <t>12DS00</t>
  </si>
  <si>
    <t>12DU00</t>
  </si>
  <si>
    <t>12DX00</t>
  </si>
  <si>
    <t>12DY00</t>
  </si>
  <si>
    <t>12EA00</t>
  </si>
  <si>
    <t>12EB00</t>
  </si>
  <si>
    <t>12ED00</t>
  </si>
  <si>
    <t>12EF00</t>
  </si>
  <si>
    <t>12EG00</t>
  </si>
  <si>
    <t>12EI00</t>
  </si>
  <si>
    <t>12EJ00</t>
  </si>
  <si>
    <t>12ER00</t>
  </si>
  <si>
    <t>12ES00</t>
  </si>
  <si>
    <t>12EV00</t>
  </si>
  <si>
    <t>12EX00</t>
  </si>
  <si>
    <t>12EY00</t>
  </si>
  <si>
    <t>12EZ00</t>
  </si>
  <si>
    <t>12FB00</t>
  </si>
  <si>
    <t>12FD00</t>
  </si>
  <si>
    <t>12FD01</t>
  </si>
  <si>
    <t>12FF00</t>
  </si>
  <si>
    <t>12FL00</t>
  </si>
  <si>
    <t>12FO00</t>
  </si>
  <si>
    <t>12FR00</t>
  </si>
  <si>
    <t>12FT00</t>
  </si>
  <si>
    <t>12FU00</t>
  </si>
  <si>
    <t>12FW00</t>
  </si>
  <si>
    <t>12FX00</t>
  </si>
  <si>
    <t>12FY00</t>
  </si>
  <si>
    <t>12FZ00</t>
  </si>
  <si>
    <t>12GA00</t>
  </si>
  <si>
    <t>12GB00</t>
  </si>
  <si>
    <t>12GC00</t>
  </si>
  <si>
    <t>12GF00</t>
  </si>
  <si>
    <t>12GH00</t>
  </si>
  <si>
    <t>12GJ00</t>
  </si>
  <si>
    <t>12GN00</t>
  </si>
  <si>
    <t>12GQ00</t>
  </si>
  <si>
    <t>12GT00</t>
  </si>
  <si>
    <t>12GU00</t>
  </si>
  <si>
    <t>12GW00</t>
  </si>
  <si>
    <t>12GX00</t>
  </si>
  <si>
    <t>12GZ00</t>
  </si>
  <si>
    <t>12HB00</t>
  </si>
  <si>
    <t>12HC00</t>
  </si>
  <si>
    <t>12HF00</t>
  </si>
  <si>
    <t>12HG00</t>
  </si>
  <si>
    <t>12HK00</t>
  </si>
  <si>
    <t>12HK01</t>
  </si>
  <si>
    <t>12HM00</t>
  </si>
  <si>
    <t>12HN00</t>
  </si>
  <si>
    <t>12HQ00</t>
  </si>
  <si>
    <t>12HS00</t>
  </si>
  <si>
    <t>12HU00</t>
  </si>
  <si>
    <t>12HY00</t>
  </si>
  <si>
    <t>12HZ00</t>
  </si>
  <si>
    <t>12IC00</t>
  </si>
  <si>
    <t>12ID00</t>
  </si>
  <si>
    <t>12IF00</t>
  </si>
  <si>
    <t>12IL00</t>
  </si>
  <si>
    <t>12IS00</t>
  </si>
  <si>
    <t>12IT00</t>
  </si>
  <si>
    <t>12IT02</t>
  </si>
  <si>
    <t>12IW00</t>
  </si>
  <si>
    <t>12IX00</t>
  </si>
  <si>
    <t>12IY00</t>
  </si>
  <si>
    <t>12JD00</t>
  </si>
  <si>
    <t>12JI00</t>
  </si>
  <si>
    <t>12JJ00</t>
  </si>
  <si>
    <t>12JK00</t>
  </si>
  <si>
    <t>12JL00</t>
  </si>
  <si>
    <t>12JQ00</t>
  </si>
  <si>
    <t>12JS00</t>
  </si>
  <si>
    <t>12JT00</t>
  </si>
  <si>
    <t>12JU00</t>
  </si>
  <si>
    <t>12JW00</t>
  </si>
  <si>
    <t>12JX00</t>
  </si>
  <si>
    <t>12JY00</t>
  </si>
  <si>
    <t>12KB00</t>
  </si>
  <si>
    <t>12KD00</t>
  </si>
  <si>
    <t>12KE00</t>
  </si>
  <si>
    <t>12KG00</t>
  </si>
  <si>
    <t>12KH00</t>
  </si>
  <si>
    <t>12KJ00</t>
  </si>
  <si>
    <t>12KM00</t>
  </si>
  <si>
    <t>12KN00</t>
  </si>
  <si>
    <t>12KO00</t>
  </si>
  <si>
    <t>12KP00</t>
  </si>
  <si>
    <t>12KS00</t>
  </si>
  <si>
    <t>12KT00</t>
  </si>
  <si>
    <t>12KU00</t>
  </si>
  <si>
    <t>12KZ00</t>
  </si>
  <si>
    <t>12LB00</t>
  </si>
  <si>
    <t>12LD00</t>
  </si>
  <si>
    <t>12LF00</t>
  </si>
  <si>
    <t>12LG00</t>
  </si>
  <si>
    <t>12LH00</t>
  </si>
  <si>
    <t>12LJ00</t>
  </si>
  <si>
    <t>12LL00</t>
  </si>
  <si>
    <t>12LM00</t>
  </si>
  <si>
    <t>12LO00</t>
  </si>
  <si>
    <t>12LQ00</t>
  </si>
  <si>
    <t>12LT00</t>
  </si>
  <si>
    <t>12LU00</t>
  </si>
  <si>
    <t>12LV00</t>
  </si>
  <si>
    <t>12LX00</t>
  </si>
  <si>
    <t>12LZ00</t>
  </si>
  <si>
    <t>12ME00</t>
  </si>
  <si>
    <t>12MF00</t>
  </si>
  <si>
    <t>12MN00</t>
  </si>
  <si>
    <t>12MP00</t>
  </si>
  <si>
    <t>12MQ00</t>
  </si>
  <si>
    <t>12MR00</t>
  </si>
  <si>
    <t>12MS00</t>
  </si>
  <si>
    <t>12MT00</t>
  </si>
  <si>
    <t>12MU00</t>
  </si>
  <si>
    <t>12MY00</t>
  </si>
  <si>
    <t>12MZ00</t>
  </si>
  <si>
    <t>12NE00</t>
  </si>
  <si>
    <t>12NF00</t>
  </si>
  <si>
    <t>12NG00</t>
  </si>
  <si>
    <t>12NI00</t>
  </si>
  <si>
    <t>12NK00</t>
  </si>
  <si>
    <t>12NL00</t>
  </si>
  <si>
    <t>12NN00</t>
  </si>
  <si>
    <t>12NO00</t>
  </si>
  <si>
    <t>12NS00</t>
  </si>
  <si>
    <t>12NS01</t>
  </si>
  <si>
    <t>12NT00</t>
  </si>
  <si>
    <t>12NU00</t>
  </si>
  <si>
    <t>12NX00</t>
  </si>
  <si>
    <t>12OC00</t>
  </si>
  <si>
    <t>12OF00</t>
  </si>
  <si>
    <t>12OK00</t>
  </si>
  <si>
    <t>12ON00</t>
  </si>
  <si>
    <t>12OQ00</t>
  </si>
  <si>
    <t>12OR00</t>
  </si>
  <si>
    <t>12OS00</t>
  </si>
  <si>
    <t>12OT00</t>
  </si>
  <si>
    <t>12OX00</t>
  </si>
  <si>
    <t>12OY00</t>
  </si>
  <si>
    <t>12OZ00</t>
  </si>
  <si>
    <t>12PA00</t>
  </si>
  <si>
    <t>12PC00</t>
  </si>
  <si>
    <t>12PC01</t>
  </si>
  <si>
    <t>12PF00</t>
  </si>
  <si>
    <t>12PG00</t>
  </si>
  <si>
    <t>12PH00</t>
  </si>
  <si>
    <t>12PI00</t>
  </si>
  <si>
    <t>12PI02</t>
  </si>
  <si>
    <t>12PJ00</t>
  </si>
  <si>
    <t>12PK00</t>
  </si>
  <si>
    <t>12PL00</t>
  </si>
  <si>
    <t>12PM00</t>
  </si>
  <si>
    <t>12PU00</t>
  </si>
  <si>
    <t>12PV00</t>
  </si>
  <si>
    <t>12PX00</t>
  </si>
  <si>
    <t>12PY00</t>
  </si>
  <si>
    <t>12QA00</t>
  </si>
  <si>
    <t>12QC00</t>
  </si>
  <si>
    <t>12QD00</t>
  </si>
  <si>
    <t>12QF00</t>
  </si>
  <si>
    <t>12QH00</t>
  </si>
  <si>
    <t>12QI00</t>
  </si>
  <si>
    <t>12QK00</t>
  </si>
  <si>
    <t>12QO00</t>
  </si>
  <si>
    <t>12QP00</t>
  </si>
  <si>
    <t>12QQ00</t>
  </si>
  <si>
    <t>12QR00</t>
  </si>
  <si>
    <t>12QU00</t>
  </si>
  <si>
    <t>12QX00</t>
  </si>
  <si>
    <t>12RC00</t>
  </si>
  <si>
    <t>12RD00</t>
  </si>
  <si>
    <t>12RE00</t>
  </si>
  <si>
    <t>12RF00</t>
  </si>
  <si>
    <t>12RH00</t>
  </si>
  <si>
    <t>12RI00</t>
  </si>
  <si>
    <t>12RL00</t>
  </si>
  <si>
    <t>12RM00</t>
  </si>
  <si>
    <t>12RO00</t>
  </si>
  <si>
    <t>12RS00</t>
  </si>
  <si>
    <t>12RU00</t>
  </si>
  <si>
    <t>12RV00</t>
  </si>
  <si>
    <t>12RW00</t>
  </si>
  <si>
    <t>12SE00</t>
  </si>
  <si>
    <t>12SK00</t>
  </si>
  <si>
    <t>12SL00</t>
  </si>
  <si>
    <t>12SL01</t>
  </si>
  <si>
    <t>12SM00</t>
  </si>
  <si>
    <t>12SP00</t>
  </si>
  <si>
    <t>12SR00</t>
  </si>
  <si>
    <t>12ST00</t>
  </si>
  <si>
    <t>12SU00</t>
  </si>
  <si>
    <t>12SW00</t>
  </si>
  <si>
    <t>12SY00</t>
  </si>
  <si>
    <t>12TB00</t>
  </si>
  <si>
    <t>12TD00</t>
  </si>
  <si>
    <t>12TE00</t>
  </si>
  <si>
    <t>12TF00</t>
  </si>
  <si>
    <t>12TH00</t>
  </si>
  <si>
    <t>12TK00</t>
  </si>
  <si>
    <t>12TL00</t>
  </si>
  <si>
    <t>12TM00</t>
  </si>
  <si>
    <t>12TN00</t>
  </si>
  <si>
    <t>12TO00</t>
  </si>
  <si>
    <t>12TP00</t>
  </si>
  <si>
    <t>12TR00</t>
  </si>
  <si>
    <t>12TS00</t>
  </si>
  <si>
    <t>12TT00</t>
  </si>
  <si>
    <t>12TT01</t>
  </si>
  <si>
    <t>12TU00</t>
  </si>
  <si>
    <t>12TV00</t>
  </si>
  <si>
    <t>12TX00</t>
  </si>
  <si>
    <t>12TZ00</t>
  </si>
  <si>
    <t>12UA00</t>
  </si>
  <si>
    <t>12UE00</t>
  </si>
  <si>
    <t>12UM00</t>
  </si>
  <si>
    <t>12UO00</t>
  </si>
  <si>
    <t>12UP00</t>
  </si>
  <si>
    <t>12UR00</t>
  </si>
  <si>
    <t>12UU00</t>
  </si>
  <si>
    <t>12UV00</t>
  </si>
  <si>
    <t>12UZ00</t>
  </si>
  <si>
    <t>12VA00</t>
  </si>
  <si>
    <t>12VB00</t>
  </si>
  <si>
    <t>12VC00</t>
  </si>
  <si>
    <t>12VD00</t>
  </si>
  <si>
    <t>12VE00</t>
  </si>
  <si>
    <t>12VF00</t>
  </si>
  <si>
    <t>12VH00</t>
  </si>
  <si>
    <t>12VJ00</t>
  </si>
  <si>
    <t>12VK00</t>
  </si>
  <si>
    <t>12VM00</t>
  </si>
  <si>
    <t>12VN00</t>
  </si>
  <si>
    <t>12VO00</t>
  </si>
  <si>
    <t>12VQ00</t>
  </si>
  <si>
    <t>12VS00</t>
  </si>
  <si>
    <t>12VU00</t>
  </si>
  <si>
    <t>12VV00</t>
  </si>
  <si>
    <t>12VX00</t>
  </si>
  <si>
    <t>12WB00</t>
  </si>
  <si>
    <t>12WD00</t>
  </si>
  <si>
    <t>12WE00</t>
  </si>
  <si>
    <t>12WF00</t>
  </si>
  <si>
    <t>12WI00</t>
  </si>
  <si>
    <t>12WJ00</t>
  </si>
  <si>
    <t>12WK00</t>
  </si>
  <si>
    <t>12WL00</t>
  </si>
  <si>
    <t>12WM00</t>
  </si>
  <si>
    <t>12WN00</t>
  </si>
  <si>
    <t>12WO00</t>
  </si>
  <si>
    <t>12WS00</t>
  </si>
  <si>
    <t>12WT00</t>
  </si>
  <si>
    <t>12WU00</t>
  </si>
  <si>
    <t>12WY00</t>
  </si>
  <si>
    <t>12WZ00</t>
  </si>
  <si>
    <t>12XA00</t>
  </si>
  <si>
    <t>12XD00</t>
  </si>
  <si>
    <t>12XE00</t>
  </si>
  <si>
    <t>12XF00</t>
  </si>
  <si>
    <t>12XG00</t>
  </si>
  <si>
    <t>12XI00</t>
  </si>
  <si>
    <t>12XL00</t>
  </si>
  <si>
    <t>12XM00</t>
  </si>
  <si>
    <t>12XN00</t>
  </si>
  <si>
    <t>12XO00</t>
  </si>
  <si>
    <t>12XQ00</t>
  </si>
  <si>
    <t>12XS00</t>
  </si>
  <si>
    <t>12XW00</t>
  </si>
  <si>
    <t>12XX00</t>
  </si>
  <si>
    <t>12XY00</t>
  </si>
  <si>
    <t>12YB00</t>
  </si>
  <si>
    <t>12YE00</t>
  </si>
  <si>
    <t>12YF00</t>
  </si>
  <si>
    <t>12YL00</t>
  </si>
  <si>
    <t>12YM00</t>
  </si>
  <si>
    <t>12YO00</t>
  </si>
  <si>
    <t>12YQ00</t>
  </si>
  <si>
    <t>12YU00</t>
  </si>
  <si>
    <t>12YV00</t>
  </si>
  <si>
    <t>12YY00</t>
  </si>
  <si>
    <t>12YZ00</t>
  </si>
  <si>
    <t>12ZA00</t>
  </si>
  <si>
    <t>12ZD00</t>
  </si>
  <si>
    <t>12ZE00</t>
  </si>
  <si>
    <t>12ZG00</t>
  </si>
  <si>
    <t>12ZH00</t>
  </si>
  <si>
    <t>12ZI00</t>
  </si>
  <si>
    <t>12ZJ00</t>
  </si>
  <si>
    <t>12ZL00</t>
  </si>
  <si>
    <t>12ZN00</t>
  </si>
  <si>
    <t>12ZO00</t>
  </si>
  <si>
    <t>12ZQ00</t>
  </si>
  <si>
    <t>12ZR00</t>
  </si>
  <si>
    <t>12ZS00</t>
  </si>
  <si>
    <t>12ZT00</t>
  </si>
  <si>
    <t>12ZW00</t>
  </si>
  <si>
    <t>12ZX00</t>
  </si>
  <si>
    <t>13AA00</t>
  </si>
  <si>
    <t>13AE00</t>
  </si>
  <si>
    <t>13AF00</t>
  </si>
  <si>
    <t>13AK00</t>
  </si>
  <si>
    <t>13AL00</t>
  </si>
  <si>
    <t>13AN00</t>
  </si>
  <si>
    <t>13AO00</t>
  </si>
  <si>
    <t>13AQ00</t>
  </si>
  <si>
    <t>13AR00</t>
  </si>
  <si>
    <t>13AS00</t>
  </si>
  <si>
    <t>13AT00</t>
  </si>
  <si>
    <t>13AY00</t>
  </si>
  <si>
    <t>13AZ00</t>
  </si>
  <si>
    <t>13AZ01</t>
  </si>
  <si>
    <t>13BC00</t>
  </si>
  <si>
    <t>13BD00</t>
  </si>
  <si>
    <t>13BE00</t>
  </si>
  <si>
    <t>13BF00</t>
  </si>
  <si>
    <t>13BG00</t>
  </si>
  <si>
    <t>13BI00</t>
  </si>
  <si>
    <t>13BK00</t>
  </si>
  <si>
    <t>13BL00</t>
  </si>
  <si>
    <t>13BM00</t>
  </si>
  <si>
    <t>13BP00</t>
  </si>
  <si>
    <t>13BQ00</t>
  </si>
  <si>
    <t>13BR00</t>
  </si>
  <si>
    <t>13BS00</t>
  </si>
  <si>
    <t>13BT00</t>
  </si>
  <si>
    <t>13BU00</t>
  </si>
  <si>
    <t>13BV00</t>
  </si>
  <si>
    <t>13BW00</t>
  </si>
  <si>
    <t>13BY00</t>
  </si>
  <si>
    <t>13BY01</t>
  </si>
  <si>
    <t>13CC00</t>
  </si>
  <si>
    <t>13CD00</t>
  </si>
  <si>
    <t>13CF00</t>
  </si>
  <si>
    <t>13CG00</t>
  </si>
  <si>
    <t>13CH00</t>
  </si>
  <si>
    <t>13CI00</t>
  </si>
  <si>
    <t>13CJ00</t>
  </si>
  <si>
    <t>13CK00</t>
  </si>
  <si>
    <t>13CL00</t>
  </si>
  <si>
    <t>13CM00</t>
  </si>
  <si>
    <t>13CN00</t>
  </si>
  <si>
    <t>13CP00</t>
  </si>
  <si>
    <t>13CQ00</t>
  </si>
  <si>
    <t>13CT00</t>
  </si>
  <si>
    <t>13CU00</t>
  </si>
  <si>
    <t>13CV00</t>
  </si>
  <si>
    <t>13CW00</t>
  </si>
  <si>
    <t>13CY00</t>
  </si>
  <si>
    <t>13DD00</t>
  </si>
  <si>
    <t>13DH00</t>
  </si>
  <si>
    <t>13DK00</t>
  </si>
  <si>
    <t>13DM00</t>
  </si>
  <si>
    <t>13DO00</t>
  </si>
  <si>
    <t>13DR00</t>
  </si>
  <si>
    <t>13DS00</t>
  </si>
  <si>
    <t>13DT00</t>
  </si>
  <si>
    <t>13DW00</t>
  </si>
  <si>
    <t>13EC00</t>
  </si>
  <si>
    <t>13ED00</t>
  </si>
  <si>
    <t>13EH00</t>
  </si>
  <si>
    <t>13EI00</t>
  </si>
  <si>
    <t>13EK00</t>
  </si>
  <si>
    <t>13EN00</t>
  </si>
  <si>
    <t>13EQ00</t>
  </si>
  <si>
    <t>13ER00</t>
  </si>
  <si>
    <t>13ES00</t>
  </si>
  <si>
    <t>13EZ00</t>
  </si>
  <si>
    <t>13FA00</t>
  </si>
  <si>
    <t>13FF00</t>
  </si>
  <si>
    <t>13FI00</t>
  </si>
  <si>
    <t>13FK00</t>
  </si>
  <si>
    <t>13FM00</t>
  </si>
  <si>
    <t>13FR00</t>
  </si>
  <si>
    <t>13FU00</t>
  </si>
  <si>
    <t>13FW00</t>
  </si>
  <si>
    <t>13GC00</t>
  </si>
  <si>
    <t>13GD00</t>
  </si>
  <si>
    <t>13GJ00</t>
  </si>
  <si>
    <t>13GL00</t>
  </si>
  <si>
    <t>13GN00</t>
  </si>
  <si>
    <t>13GQ00</t>
  </si>
  <si>
    <t>13GU00</t>
  </si>
  <si>
    <t>13GV00</t>
  </si>
  <si>
    <t>13GW00</t>
  </si>
  <si>
    <t>13HA00</t>
  </si>
  <si>
    <t>13HB00</t>
  </si>
  <si>
    <t>13HC00</t>
  </si>
  <si>
    <t>13HD00</t>
  </si>
  <si>
    <t>13HE00</t>
  </si>
  <si>
    <t>13HI00</t>
  </si>
  <si>
    <t>13HJ00</t>
  </si>
  <si>
    <t>13HM00</t>
  </si>
  <si>
    <t>13HN00</t>
  </si>
  <si>
    <t>13HQ00</t>
  </si>
  <si>
    <t>13HR00</t>
  </si>
  <si>
    <t>13HT00</t>
  </si>
  <si>
    <t>13HU00</t>
  </si>
  <si>
    <t>13HX00</t>
  </si>
  <si>
    <t>13HX02</t>
  </si>
  <si>
    <t>13HY00</t>
  </si>
  <si>
    <t>13IC00</t>
  </si>
  <si>
    <t>13ID00</t>
  </si>
  <si>
    <t>13IE00</t>
  </si>
  <si>
    <t>13IF00</t>
  </si>
  <si>
    <t>13IK00</t>
  </si>
  <si>
    <t>13IL00</t>
  </si>
  <si>
    <t>13IP00</t>
  </si>
  <si>
    <t>13IQ00</t>
  </si>
  <si>
    <t>13IR00</t>
  </si>
  <si>
    <t>13IU00</t>
  </si>
  <si>
    <t>13IV00</t>
  </si>
  <si>
    <t>13IZ00</t>
  </si>
  <si>
    <t>13JA00</t>
  </si>
  <si>
    <t>13JH00</t>
  </si>
  <si>
    <t>13JJ00</t>
  </si>
  <si>
    <t>13JJ01</t>
  </si>
  <si>
    <t>13JJ02</t>
  </si>
  <si>
    <t>13JK00</t>
  </si>
  <si>
    <t>13JK01</t>
  </si>
  <si>
    <t>13JL00</t>
  </si>
  <si>
    <t>13JM00</t>
  </si>
  <si>
    <t>13JP00</t>
  </si>
  <si>
    <t>13JQ00</t>
  </si>
  <si>
    <t>13JR00</t>
  </si>
  <si>
    <t>13JS00</t>
  </si>
  <si>
    <t>13JV00</t>
  </si>
  <si>
    <t>13JX00</t>
  </si>
  <si>
    <t>13JY00</t>
  </si>
  <si>
    <t>13KB00</t>
  </si>
  <si>
    <t>13KD00</t>
  </si>
  <si>
    <t>13KG00</t>
  </si>
  <si>
    <t>13KI00</t>
  </si>
  <si>
    <t>13KK00</t>
  </si>
  <si>
    <t>13KM00</t>
  </si>
  <si>
    <t>13KN00</t>
  </si>
  <si>
    <t>13KQ00</t>
  </si>
  <si>
    <t>13KR00</t>
  </si>
  <si>
    <t>13KS00</t>
  </si>
  <si>
    <t>13KT00</t>
  </si>
  <si>
    <t>13KU00</t>
  </si>
  <si>
    <t>13KV00</t>
  </si>
  <si>
    <t>13KW00</t>
  </si>
  <si>
    <t>13KX00</t>
  </si>
  <si>
    <t>13KZ00</t>
  </si>
  <si>
    <t>13LA00</t>
  </si>
  <si>
    <t>13LB00</t>
  </si>
  <si>
    <t>13LE00</t>
  </si>
  <si>
    <t>13LF00</t>
  </si>
  <si>
    <t>13LI00</t>
  </si>
  <si>
    <t>13LM00</t>
  </si>
  <si>
    <t>13LO00</t>
  </si>
  <si>
    <t>13LR00</t>
  </si>
  <si>
    <t>13LV00</t>
  </si>
  <si>
    <t>13LW00</t>
  </si>
  <si>
    <t>13LY00</t>
  </si>
  <si>
    <t>13MB00</t>
  </si>
  <si>
    <t>13MC00</t>
  </si>
  <si>
    <t>13MF00</t>
  </si>
  <si>
    <t>13MG00</t>
  </si>
  <si>
    <t>13MI00</t>
  </si>
  <si>
    <t>13MJ00</t>
  </si>
  <si>
    <t>13MK00</t>
  </si>
  <si>
    <t>13MM00</t>
  </si>
  <si>
    <t>13MN00</t>
  </si>
  <si>
    <t>13MO00</t>
  </si>
  <si>
    <t>13MP00</t>
  </si>
  <si>
    <t>13MR00</t>
  </si>
  <si>
    <t>13MS00</t>
  </si>
  <si>
    <t>13MS01</t>
  </si>
  <si>
    <t>13MT00</t>
  </si>
  <si>
    <t>13MV00</t>
  </si>
  <si>
    <t>13MX00</t>
  </si>
  <si>
    <t>13MY00</t>
  </si>
  <si>
    <t>13MZ00</t>
  </si>
  <si>
    <t>13NA00</t>
  </si>
  <si>
    <t>13NB00</t>
  </si>
  <si>
    <t>13NC00</t>
  </si>
  <si>
    <t>13NG00</t>
  </si>
  <si>
    <t>13NH00</t>
  </si>
  <si>
    <t>13NI00</t>
  </si>
  <si>
    <t>13NP00</t>
  </si>
  <si>
    <t>13NU00</t>
  </si>
  <si>
    <t>13NV00</t>
  </si>
  <si>
    <t>13NX00</t>
  </si>
  <si>
    <t>13NZ00</t>
  </si>
  <si>
    <t>13OA00</t>
  </si>
  <si>
    <t>13OD00</t>
  </si>
  <si>
    <t>13OE00</t>
  </si>
  <si>
    <t>13OF00</t>
  </si>
  <si>
    <t>13OJ00</t>
  </si>
  <si>
    <t>13OK00</t>
  </si>
  <si>
    <t>13ON00</t>
  </si>
  <si>
    <t>13OS00</t>
  </si>
  <si>
    <t>13OW00</t>
  </si>
  <si>
    <t>13OY00</t>
  </si>
  <si>
    <t>13PA00</t>
  </si>
  <si>
    <t>13PG00</t>
  </si>
  <si>
    <t>13PH00</t>
  </si>
  <si>
    <t>13PH01</t>
  </si>
  <si>
    <t>13PI00</t>
  </si>
  <si>
    <t>13PK00</t>
  </si>
  <si>
    <t>13PL00</t>
  </si>
  <si>
    <t>13PP00</t>
  </si>
  <si>
    <t>13PQ00</t>
  </si>
  <si>
    <t>13PR00</t>
  </si>
  <si>
    <t>13PS00</t>
  </si>
  <si>
    <t>13PV00</t>
  </si>
  <si>
    <t>13QB00</t>
  </si>
  <si>
    <t>13QD00</t>
  </si>
  <si>
    <t>13QE00</t>
  </si>
  <si>
    <t>13QG00</t>
  </si>
  <si>
    <t>13QJ00</t>
  </si>
  <si>
    <t>13QL00</t>
  </si>
  <si>
    <t>13QM00</t>
  </si>
  <si>
    <t>13QN00</t>
  </si>
  <si>
    <t>13QO00</t>
  </si>
  <si>
    <t>13QP00</t>
  </si>
  <si>
    <t>13QS00</t>
  </si>
  <si>
    <t>13QV00</t>
  </si>
  <si>
    <t>13QZ00</t>
  </si>
  <si>
    <t>13RA00</t>
  </si>
  <si>
    <t>13RB00</t>
  </si>
  <si>
    <t>13RD00</t>
  </si>
  <si>
    <t>13RF00</t>
  </si>
  <si>
    <t>13RI00</t>
  </si>
  <si>
    <t>13RO00</t>
  </si>
  <si>
    <t>13RP00</t>
  </si>
  <si>
    <t>13RQ00</t>
  </si>
  <si>
    <t>13RS00</t>
  </si>
  <si>
    <t>13RU00</t>
  </si>
  <si>
    <t>13RX00</t>
  </si>
  <si>
    <t>13RY00</t>
  </si>
  <si>
    <t>13RZ00</t>
  </si>
  <si>
    <t>13SB00</t>
  </si>
  <si>
    <t>13SF00</t>
  </si>
  <si>
    <t>13SJ00</t>
  </si>
  <si>
    <t>13SN00</t>
  </si>
  <si>
    <t>13SP00</t>
  </si>
  <si>
    <t>13SQ00</t>
  </si>
  <si>
    <t>13ST00</t>
  </si>
  <si>
    <t>13SX00</t>
  </si>
  <si>
    <t>13SY00</t>
  </si>
  <si>
    <t>13SY01</t>
  </si>
  <si>
    <t>13TA00</t>
  </si>
  <si>
    <t>13TB00</t>
  </si>
  <si>
    <t>13TG00</t>
  </si>
  <si>
    <t>13TJ00</t>
  </si>
  <si>
    <t>13TK00</t>
  </si>
  <si>
    <t>13TM00</t>
  </si>
  <si>
    <t>13TN00</t>
  </si>
  <si>
    <t>13TP00</t>
  </si>
  <si>
    <t>13TQ00</t>
  </si>
  <si>
    <t>13TR00</t>
  </si>
  <si>
    <t>13TT00</t>
  </si>
  <si>
    <t>13TU00</t>
  </si>
  <si>
    <t>13TX00</t>
  </si>
  <si>
    <t>13TY00</t>
  </si>
  <si>
    <t>13UB00</t>
  </si>
  <si>
    <t>13UC00</t>
  </si>
  <si>
    <t>13UD00</t>
  </si>
  <si>
    <t>13UE00</t>
  </si>
  <si>
    <t>13UI00</t>
  </si>
  <si>
    <t>13UJ00</t>
  </si>
  <si>
    <t>13UL00</t>
  </si>
  <si>
    <t>13UO00</t>
  </si>
  <si>
    <t>13UP00</t>
  </si>
  <si>
    <t>13UR00</t>
  </si>
  <si>
    <t>13UV00</t>
  </si>
  <si>
    <t>13UW00</t>
  </si>
  <si>
    <t>13UX00</t>
  </si>
  <si>
    <t>13VC00</t>
  </si>
  <si>
    <t>13VG00</t>
  </si>
  <si>
    <t>13VH00</t>
  </si>
  <si>
    <t>13VI00</t>
  </si>
  <si>
    <t>13VN00</t>
  </si>
  <si>
    <t>13VQ00</t>
  </si>
  <si>
    <t>13VR00</t>
  </si>
  <si>
    <t>13VS00</t>
  </si>
  <si>
    <t>13VY00</t>
  </si>
  <si>
    <t>13WB00</t>
  </si>
  <si>
    <t>13WC00</t>
  </si>
  <si>
    <t>13WE00</t>
  </si>
  <si>
    <t>13WI00</t>
  </si>
  <si>
    <t>13WM00</t>
  </si>
  <si>
    <t>13WQ00</t>
  </si>
  <si>
    <t>13WR00</t>
  </si>
  <si>
    <t>13WS00</t>
  </si>
  <si>
    <t>13WT00</t>
  </si>
  <si>
    <t>13WU00</t>
  </si>
  <si>
    <t>13WV00</t>
  </si>
  <si>
    <t>13WW00</t>
  </si>
  <si>
    <t>13WX00</t>
  </si>
  <si>
    <t>13WZ00</t>
  </si>
  <si>
    <t>13XA00</t>
  </si>
  <si>
    <t>13XE00</t>
  </si>
  <si>
    <t>13XF00</t>
  </si>
  <si>
    <t>13XG00</t>
  </si>
  <si>
    <t>13XH00</t>
  </si>
  <si>
    <t>13XI00</t>
  </si>
  <si>
    <t>13XJ00</t>
  </si>
  <si>
    <t>13XL00</t>
  </si>
  <si>
    <t>13XM00</t>
  </si>
  <si>
    <t>13XN00</t>
  </si>
  <si>
    <t>13XP00</t>
  </si>
  <si>
    <t>13XQ00</t>
  </si>
  <si>
    <t>13XS00</t>
  </si>
  <si>
    <t>13XT00</t>
  </si>
  <si>
    <t>13XU00</t>
  </si>
  <si>
    <t>13XW00</t>
  </si>
  <si>
    <t>13XW01</t>
  </si>
  <si>
    <t>13XW02</t>
  </si>
  <si>
    <t>13XX00</t>
  </si>
  <si>
    <t>13YA00</t>
  </si>
  <si>
    <t>13YD00</t>
  </si>
  <si>
    <t>13YH00</t>
  </si>
  <si>
    <t>13YI00</t>
  </si>
  <si>
    <t>13YL00</t>
  </si>
  <si>
    <t>13YM00</t>
  </si>
  <si>
    <t>13YO00</t>
  </si>
  <si>
    <t>13YQ00</t>
  </si>
  <si>
    <t>13YR00</t>
  </si>
  <si>
    <t>13YT00</t>
  </si>
  <si>
    <t>13YV00</t>
  </si>
  <si>
    <t>13YW00</t>
  </si>
  <si>
    <t>13YX00</t>
  </si>
  <si>
    <t>13YZ00</t>
  </si>
  <si>
    <t>13YZ01</t>
  </si>
  <si>
    <t>13ZB00</t>
  </si>
  <si>
    <t>13ZE00</t>
  </si>
  <si>
    <t>13ZF00</t>
  </si>
  <si>
    <t>13ZG00</t>
  </si>
  <si>
    <t>13ZJ00</t>
  </si>
  <si>
    <t>13ZL00</t>
  </si>
  <si>
    <t>13ZM00</t>
  </si>
  <si>
    <t>13ZN00</t>
  </si>
  <si>
    <t>13ZO00</t>
  </si>
  <si>
    <t>13ZR00</t>
  </si>
  <si>
    <t>13ZS00</t>
  </si>
  <si>
    <t>13ZW00</t>
  </si>
  <si>
    <t>13ZY00</t>
  </si>
  <si>
    <t>14AB00</t>
  </si>
  <si>
    <t>14AD00</t>
  </si>
  <si>
    <t>14AE00</t>
  </si>
  <si>
    <t>14AG00</t>
  </si>
  <si>
    <t>14AH00</t>
  </si>
  <si>
    <t>14AI00</t>
  </si>
  <si>
    <t>14AL00</t>
  </si>
  <si>
    <t>14AS00</t>
  </si>
  <si>
    <t>14AZ00</t>
  </si>
  <si>
    <t>14BB00</t>
  </si>
  <si>
    <t>14BC00</t>
  </si>
  <si>
    <t>14BD00</t>
  </si>
  <si>
    <t>14BG00</t>
  </si>
  <si>
    <t>14BJ00</t>
  </si>
  <si>
    <t>14BL00</t>
  </si>
  <si>
    <t>14BO00</t>
  </si>
  <si>
    <t>14BP00</t>
  </si>
  <si>
    <t>14BQ00</t>
  </si>
  <si>
    <t>14BT00</t>
  </si>
  <si>
    <t>14BV00</t>
  </si>
  <si>
    <t>14BW00</t>
  </si>
  <si>
    <t>14BZ00</t>
  </si>
  <si>
    <t>14CA00</t>
  </si>
  <si>
    <t>14CI00</t>
  </si>
  <si>
    <t>14CL00</t>
  </si>
  <si>
    <t>14CM00</t>
  </si>
  <si>
    <t>14CR00</t>
  </si>
  <si>
    <t>14CW00</t>
  </si>
  <si>
    <t>14CX00</t>
  </si>
  <si>
    <t>14CY00</t>
  </si>
  <si>
    <t>14DF00</t>
  </si>
  <si>
    <t>14DG00</t>
  </si>
  <si>
    <t>14DI00</t>
  </si>
  <si>
    <t>14DJ00</t>
  </si>
  <si>
    <t>14DK00</t>
  </si>
  <si>
    <t>14DL00</t>
  </si>
  <si>
    <t>14DN00</t>
  </si>
  <si>
    <t>14DO00</t>
  </si>
  <si>
    <t>14DP00</t>
  </si>
  <si>
    <t>14DS00</t>
  </si>
  <si>
    <t>14DU00</t>
  </si>
  <si>
    <t>14DW00</t>
  </si>
  <si>
    <t>14DZ00</t>
  </si>
  <si>
    <t>14DZ01</t>
  </si>
  <si>
    <t>14EB00</t>
  </si>
  <si>
    <t>14EC00</t>
  </si>
  <si>
    <t>14EG00</t>
  </si>
  <si>
    <t>14EJ00</t>
  </si>
  <si>
    <t>14EK00</t>
  </si>
  <si>
    <t>14EL00</t>
  </si>
  <si>
    <t>14EP00</t>
  </si>
  <si>
    <t>14EQ00</t>
  </si>
  <si>
    <t>14ER00</t>
  </si>
  <si>
    <t>14ET00</t>
  </si>
  <si>
    <t>14EV00</t>
  </si>
  <si>
    <t>14EW00</t>
  </si>
  <si>
    <t>14EX00</t>
  </si>
  <si>
    <t>14EZ00</t>
  </si>
  <si>
    <t>14FA00</t>
  </si>
  <si>
    <t>14FC00</t>
  </si>
  <si>
    <t>14FD00</t>
  </si>
  <si>
    <t>14FE00</t>
  </si>
  <si>
    <t>14FG00</t>
  </si>
  <si>
    <t>14FH00</t>
  </si>
  <si>
    <t>14FI00</t>
  </si>
  <si>
    <t>14FJ00</t>
  </si>
  <si>
    <t>14FM00</t>
  </si>
  <si>
    <t>14FP00</t>
  </si>
  <si>
    <t>14FQ00</t>
  </si>
  <si>
    <t>14FR00</t>
  </si>
  <si>
    <t>14FS00</t>
  </si>
  <si>
    <t>14FU00</t>
  </si>
  <si>
    <t>14FX00</t>
  </si>
  <si>
    <t>14FY00</t>
  </si>
  <si>
    <t>14GD00</t>
  </si>
  <si>
    <t>14GF00</t>
  </si>
  <si>
    <t>14GK00</t>
  </si>
  <si>
    <t>14GL00</t>
  </si>
  <si>
    <t>14GN00</t>
  </si>
  <si>
    <t>14GQ00</t>
  </si>
  <si>
    <t>14GR00</t>
  </si>
  <si>
    <t>14GU00</t>
  </si>
  <si>
    <t>14GV00</t>
  </si>
  <si>
    <t>14GW00</t>
  </si>
  <si>
    <t>14HA00</t>
  </si>
  <si>
    <t>14HB00</t>
  </si>
  <si>
    <t>14HC00</t>
  </si>
  <si>
    <t>14HD00</t>
  </si>
  <si>
    <t>14HE00</t>
  </si>
  <si>
    <t>14HJ00</t>
  </si>
  <si>
    <t>14HK00</t>
  </si>
  <si>
    <t>14HM00</t>
  </si>
  <si>
    <t>14HO00</t>
  </si>
  <si>
    <t>14HR00</t>
  </si>
  <si>
    <t>14HS00</t>
  </si>
  <si>
    <t>14HT00</t>
  </si>
  <si>
    <t>14HU00</t>
  </si>
  <si>
    <t>14HV00</t>
  </si>
  <si>
    <t>14HY00</t>
  </si>
  <si>
    <t>14HZ00</t>
  </si>
  <si>
    <t>14IA00</t>
  </si>
  <si>
    <t>14IH00</t>
  </si>
  <si>
    <t>14IK00</t>
  </si>
  <si>
    <t>14IM00</t>
  </si>
  <si>
    <t>14IP00</t>
  </si>
  <si>
    <t>14IS00</t>
  </si>
  <si>
    <t>14IW00</t>
  </si>
  <si>
    <t>14IX00</t>
  </si>
  <si>
    <t>14IY00</t>
  </si>
  <si>
    <t>14JC00</t>
  </si>
  <si>
    <t>14JC01</t>
  </si>
  <si>
    <t>14JI00</t>
  </si>
  <si>
    <t>14JK00</t>
  </si>
  <si>
    <t>14JR00</t>
  </si>
  <si>
    <t>14JW00</t>
  </si>
  <si>
    <t>14JY00</t>
  </si>
  <si>
    <t>14JZ00</t>
  </si>
  <si>
    <t>14KG00</t>
  </si>
  <si>
    <t>14KH00</t>
  </si>
  <si>
    <t>14KI00</t>
  </si>
  <si>
    <t>14KK00</t>
  </si>
  <si>
    <t>14KM00</t>
  </si>
  <si>
    <t>14KN00</t>
  </si>
  <si>
    <t>14KP00</t>
  </si>
  <si>
    <t>14KQ00</t>
  </si>
  <si>
    <t>14KW00</t>
  </si>
  <si>
    <t>14KY00</t>
  </si>
  <si>
    <t>14LB00</t>
  </si>
  <si>
    <t>14LG00</t>
  </si>
  <si>
    <t>14LL00</t>
  </si>
  <si>
    <t>14LM00</t>
  </si>
  <si>
    <t>14LP00</t>
  </si>
  <si>
    <t>14LQ00</t>
  </si>
  <si>
    <t>14LR00</t>
  </si>
  <si>
    <t>14LT00</t>
  </si>
  <si>
    <t>14LV00</t>
  </si>
  <si>
    <t>14LW00</t>
  </si>
  <si>
    <t>14LZ00</t>
  </si>
  <si>
    <t>14MH00</t>
  </si>
  <si>
    <t>14MK00</t>
  </si>
  <si>
    <t>14ML00</t>
  </si>
  <si>
    <t>14MM00</t>
  </si>
  <si>
    <t>14MN00</t>
  </si>
  <si>
    <t>14MO00</t>
  </si>
  <si>
    <t>14MQ00</t>
  </si>
  <si>
    <t>14MR00</t>
  </si>
  <si>
    <t>14MS00</t>
  </si>
  <si>
    <t>14MT00</t>
  </si>
  <si>
    <t>14MT01</t>
  </si>
  <si>
    <t>14MU00</t>
  </si>
  <si>
    <t>14MW00</t>
  </si>
  <si>
    <t>14MX00</t>
  </si>
  <si>
    <t>14PU00</t>
  </si>
  <si>
    <t>14PZ00</t>
  </si>
  <si>
    <t>14QA00</t>
  </si>
  <si>
    <t>14QC00</t>
  </si>
  <si>
    <t>14QC02</t>
  </si>
  <si>
    <t>14QI00</t>
  </si>
  <si>
    <t>14QJ00</t>
  </si>
  <si>
    <t>14QN00</t>
  </si>
  <si>
    <t>14QQ00</t>
  </si>
  <si>
    <t>14QR00</t>
  </si>
  <si>
    <t>14VM00</t>
  </si>
  <si>
    <t>14XL00</t>
  </si>
  <si>
    <t>14XM00</t>
  </si>
  <si>
    <t>14XP00</t>
  </si>
  <si>
    <t>14XR00</t>
  </si>
  <si>
    <t>14XU00</t>
  </si>
  <si>
    <t>14XW00</t>
  </si>
  <si>
    <t>14XY00</t>
  </si>
  <si>
    <t>14YB00</t>
  </si>
  <si>
    <t>14YF00</t>
  </si>
  <si>
    <t>14YM00</t>
  </si>
  <si>
    <t>14YP00</t>
  </si>
  <si>
    <t>14YR00</t>
  </si>
  <si>
    <t>14YS00</t>
  </si>
  <si>
    <t>14YU00</t>
  </si>
  <si>
    <t>14YV00</t>
  </si>
  <si>
    <t>14YV01</t>
  </si>
  <si>
    <t>14YX00</t>
  </si>
  <si>
    <t>14ZA00</t>
  </si>
  <si>
    <t>14ZB00</t>
  </si>
  <si>
    <t>14ZD00</t>
  </si>
  <si>
    <t>14ZG00</t>
  </si>
  <si>
    <t>14ZJ00</t>
  </si>
  <si>
    <t>14ZK00</t>
  </si>
  <si>
    <t>14ZL00</t>
  </si>
  <si>
    <t>14ZO00</t>
  </si>
  <si>
    <t>14ZP00</t>
  </si>
  <si>
    <t>14ZQ00</t>
  </si>
  <si>
    <t>14ZS00</t>
  </si>
  <si>
    <t>14ZV00</t>
  </si>
  <si>
    <t>14ZW00</t>
  </si>
  <si>
    <t>14ZY00</t>
  </si>
  <si>
    <t>14ZZ00</t>
  </si>
  <si>
    <t>15AB00</t>
  </si>
  <si>
    <t>15AH00</t>
  </si>
  <si>
    <t>15AI00</t>
  </si>
  <si>
    <t>15AL00</t>
  </si>
  <si>
    <t>15AN00</t>
  </si>
  <si>
    <t>15AO00</t>
  </si>
  <si>
    <t>15AP00</t>
  </si>
  <si>
    <t>15AS00</t>
  </si>
  <si>
    <t>15AU00</t>
  </si>
  <si>
    <t>15AV00</t>
  </si>
  <si>
    <t>15AZ00</t>
  </si>
  <si>
    <t>15BD00</t>
  </si>
  <si>
    <t>15BG00</t>
  </si>
  <si>
    <t>15BI00</t>
  </si>
  <si>
    <t>15BO00</t>
  </si>
  <si>
    <t>15BP00</t>
  </si>
  <si>
    <t>15BQ00</t>
  </si>
  <si>
    <t>15BR00</t>
  </si>
  <si>
    <t>15BR01</t>
  </si>
  <si>
    <t>15BT00</t>
  </si>
  <si>
    <t>15BU00</t>
  </si>
  <si>
    <t>15BV00</t>
  </si>
  <si>
    <t>15BW00</t>
  </si>
  <si>
    <t>15BX00</t>
  </si>
  <si>
    <t>15BY00</t>
  </si>
  <si>
    <t>15BZ00</t>
  </si>
  <si>
    <t>15CA00</t>
  </si>
  <si>
    <t>15CB00</t>
  </si>
  <si>
    <t>15CC00</t>
  </si>
  <si>
    <t>15CF00</t>
  </si>
  <si>
    <t>15CG00</t>
  </si>
  <si>
    <t>15CK00</t>
  </si>
  <si>
    <t>15CM00</t>
  </si>
  <si>
    <t>15CO00</t>
  </si>
  <si>
    <t>15CP00</t>
  </si>
  <si>
    <t>15CQ00</t>
  </si>
  <si>
    <t>15CR00</t>
  </si>
  <si>
    <t>15CS00</t>
  </si>
  <si>
    <t>15CT00</t>
  </si>
  <si>
    <t>15CU00</t>
  </si>
  <si>
    <t>15CV00</t>
  </si>
  <si>
    <t>15CX00</t>
  </si>
  <si>
    <t>15CY00</t>
  </si>
  <si>
    <t>15CZ00</t>
  </si>
  <si>
    <t>15DA00</t>
  </si>
  <si>
    <t>15DB00</t>
  </si>
  <si>
    <t>15DC00</t>
  </si>
  <si>
    <t>15DD00</t>
  </si>
  <si>
    <t>15DF00</t>
  </si>
  <si>
    <t>15DI00</t>
  </si>
  <si>
    <t>15DK00</t>
  </si>
  <si>
    <t>15DL00</t>
  </si>
  <si>
    <t>15DM00</t>
  </si>
  <si>
    <t>15DP00</t>
  </si>
  <si>
    <t>15DQ00</t>
  </si>
  <si>
    <t>15DS00</t>
  </si>
  <si>
    <t>15DT00</t>
  </si>
  <si>
    <t>15DU00</t>
  </si>
  <si>
    <t>15DV00</t>
  </si>
  <si>
    <t>15DW00</t>
  </si>
  <si>
    <t>15DY00</t>
  </si>
  <si>
    <t>15ED00</t>
  </si>
  <si>
    <t>15EF00</t>
  </si>
  <si>
    <t>15EI00</t>
  </si>
  <si>
    <t>15EJ00</t>
  </si>
  <si>
    <t>15EM00</t>
  </si>
  <si>
    <t>15EP00</t>
  </si>
  <si>
    <t>15EQ00</t>
  </si>
  <si>
    <t>15ET00</t>
  </si>
  <si>
    <t>15EV00</t>
  </si>
  <si>
    <t>15EX00</t>
  </si>
  <si>
    <t>15FC00</t>
  </si>
  <si>
    <t>15FD00</t>
  </si>
  <si>
    <t>15FE00</t>
  </si>
  <si>
    <t>15FH00</t>
  </si>
  <si>
    <t>15FJ00</t>
  </si>
  <si>
    <t>15FK00</t>
  </si>
  <si>
    <t>15FL00</t>
  </si>
  <si>
    <t>15FM00</t>
  </si>
  <si>
    <t>15FO00</t>
  </si>
  <si>
    <t>15FO01</t>
  </si>
  <si>
    <t>15FQ00</t>
  </si>
  <si>
    <t>15FR00</t>
  </si>
  <si>
    <t>15FS00</t>
  </si>
  <si>
    <t>15FT00</t>
  </si>
  <si>
    <t>15FT01</t>
  </si>
  <si>
    <t>15FU00</t>
  </si>
  <si>
    <t>15FX00</t>
  </si>
  <si>
    <t>15FZ00</t>
  </si>
  <si>
    <t>15GC00</t>
  </si>
  <si>
    <t>15GF00</t>
  </si>
  <si>
    <t>15GH00</t>
  </si>
  <si>
    <t>15GL00</t>
  </si>
  <si>
    <t>15GR00</t>
  </si>
  <si>
    <t>15GT00</t>
  </si>
  <si>
    <t>15GV00</t>
  </si>
  <si>
    <t>15GX00</t>
  </si>
  <si>
    <t>15GZ00</t>
  </si>
  <si>
    <t>15HB00</t>
  </si>
  <si>
    <t>15HH00</t>
  </si>
  <si>
    <t>15HJ00</t>
  </si>
  <si>
    <t>15HQ00</t>
  </si>
  <si>
    <t>15HR00</t>
  </si>
  <si>
    <t>15HS00</t>
  </si>
  <si>
    <t>15HT00</t>
  </si>
  <si>
    <t>15HV00</t>
  </si>
  <si>
    <t>15HW00</t>
  </si>
  <si>
    <t>15HY00</t>
  </si>
  <si>
    <t>15IB00</t>
  </si>
  <si>
    <t>15IC00</t>
  </si>
  <si>
    <t>15IE00</t>
  </si>
  <si>
    <t>15IF00</t>
  </si>
  <si>
    <t>15IH00</t>
  </si>
  <si>
    <t>15IK00</t>
  </si>
  <si>
    <t>15IL00</t>
  </si>
  <si>
    <t>15IQ00</t>
  </si>
  <si>
    <t>15IR00</t>
  </si>
  <si>
    <t>15IU00</t>
  </si>
  <si>
    <t>15IV00</t>
  </si>
  <si>
    <t>15IX00</t>
  </si>
  <si>
    <t>15IY00</t>
  </si>
  <si>
    <t>15JC00</t>
  </si>
  <si>
    <t>15JD00</t>
  </si>
  <si>
    <t>15JF00</t>
  </si>
  <si>
    <t>15JG00</t>
  </si>
  <si>
    <t>15JI00</t>
  </si>
  <si>
    <t>15JJ00</t>
  </si>
  <si>
    <t>15JN00</t>
  </si>
  <si>
    <t>15JO00</t>
  </si>
  <si>
    <t>15JS00</t>
  </si>
  <si>
    <t>15JT00</t>
  </si>
  <si>
    <t>15JU00</t>
  </si>
  <si>
    <t>15JV00</t>
  </si>
  <si>
    <t>15JW00</t>
  </si>
  <si>
    <t>15JZ00</t>
  </si>
  <si>
    <t>15KA00</t>
  </si>
  <si>
    <t>15KD00</t>
  </si>
  <si>
    <t>15KE00</t>
  </si>
  <si>
    <t>15KG00</t>
  </si>
  <si>
    <t>15KI00</t>
  </si>
  <si>
    <t>15KJ00</t>
  </si>
  <si>
    <t>15KL00</t>
  </si>
  <si>
    <t>15KN00</t>
  </si>
  <si>
    <t>15KQ00</t>
  </si>
  <si>
    <t>15KT00</t>
  </si>
  <si>
    <t>15KU00</t>
  </si>
  <si>
    <t>15KV00</t>
  </si>
  <si>
    <t>15KW00</t>
  </si>
  <si>
    <t>15KX00</t>
  </si>
  <si>
    <t>15LA00</t>
  </si>
  <si>
    <t>15LC00</t>
  </si>
  <si>
    <t>15LE00</t>
  </si>
  <si>
    <t>15LG00</t>
  </si>
  <si>
    <t>15LH00</t>
  </si>
  <si>
    <t>15LL00</t>
  </si>
  <si>
    <t>15LN00</t>
  </si>
  <si>
    <t>15LN01</t>
  </si>
  <si>
    <t>15LQ00</t>
  </si>
  <si>
    <t>15LU00</t>
  </si>
  <si>
    <t>15LV00</t>
  </si>
  <si>
    <t>15LX00</t>
  </si>
  <si>
    <t>15MD00</t>
  </si>
  <si>
    <t>15MH00</t>
  </si>
  <si>
    <t>15ML00</t>
  </si>
  <si>
    <t>15MN00</t>
  </si>
  <si>
    <t>15MO00</t>
  </si>
  <si>
    <t>15MP00</t>
  </si>
  <si>
    <t>15MU00</t>
  </si>
  <si>
    <t>15MW00</t>
  </si>
  <si>
    <t>15NA00</t>
  </si>
  <si>
    <t>15NB00</t>
  </si>
  <si>
    <t>15ND00</t>
  </si>
  <si>
    <t>15NI00</t>
  </si>
  <si>
    <t>15NJ00</t>
  </si>
  <si>
    <t>15NK00</t>
  </si>
  <si>
    <t>15NM00</t>
  </si>
  <si>
    <t>15NR00</t>
  </si>
  <si>
    <t>15NR01</t>
  </si>
  <si>
    <t>15NS00</t>
  </si>
  <si>
    <t>15NU00</t>
  </si>
  <si>
    <t>15NV00</t>
  </si>
  <si>
    <t>15NX00</t>
  </si>
  <si>
    <t>15NX01</t>
  </si>
  <si>
    <t>15NZ00</t>
  </si>
  <si>
    <t>15OF00</t>
  </si>
  <si>
    <t>15OH00</t>
  </si>
  <si>
    <t>15OK00</t>
  </si>
  <si>
    <t>15OP00</t>
  </si>
  <si>
    <t>15OQ00</t>
  </si>
  <si>
    <t>15OR00</t>
  </si>
  <si>
    <t>15OU00</t>
  </si>
  <si>
    <t>15OV00</t>
  </si>
  <si>
    <t>15OY00</t>
  </si>
  <si>
    <t>15OZ00</t>
  </si>
  <si>
    <t>15PB00</t>
  </si>
  <si>
    <t>15PD00</t>
  </si>
  <si>
    <t>15PE00</t>
  </si>
  <si>
    <t>15PG00</t>
  </si>
  <si>
    <t>15PJ00</t>
  </si>
  <si>
    <t>15PJ01</t>
  </si>
  <si>
    <t>15PM00</t>
  </si>
  <si>
    <t>15PO00</t>
  </si>
  <si>
    <t>15PP00</t>
  </si>
  <si>
    <t>15PV00</t>
  </si>
  <si>
    <t>15PW00</t>
  </si>
  <si>
    <t>15PX00</t>
  </si>
  <si>
    <t>15PZ00</t>
  </si>
  <si>
    <t>15QA00</t>
  </si>
  <si>
    <t>15QD00</t>
  </si>
  <si>
    <t>15QG00</t>
  </si>
  <si>
    <t>15QK00</t>
  </si>
  <si>
    <t>15QL00</t>
  </si>
  <si>
    <t>15QL02</t>
  </si>
  <si>
    <t>15QM00</t>
  </si>
  <si>
    <t>15QY00</t>
  </si>
  <si>
    <t>15RE00</t>
  </si>
  <si>
    <t>15RG00</t>
  </si>
  <si>
    <t>15RJ00</t>
  </si>
  <si>
    <t>15RK00</t>
  </si>
  <si>
    <t>15RL00</t>
  </si>
  <si>
    <t>15RM00</t>
  </si>
  <si>
    <t>15RP00</t>
  </si>
  <si>
    <t>15RT00</t>
  </si>
  <si>
    <t>15RZ00</t>
  </si>
  <si>
    <t>15SB00</t>
  </si>
  <si>
    <t>15SF00</t>
  </si>
  <si>
    <t>15SG00</t>
  </si>
  <si>
    <t>15SH00</t>
  </si>
  <si>
    <t>15SK00</t>
  </si>
  <si>
    <t>15SM00</t>
  </si>
  <si>
    <t>15SN00</t>
  </si>
  <si>
    <t>15SP00</t>
  </si>
  <si>
    <t>15SQ00</t>
  </si>
  <si>
    <t>15SW00</t>
  </si>
  <si>
    <t>15SY00</t>
  </si>
  <si>
    <t>15SZ00</t>
  </si>
  <si>
    <t>15TF00</t>
  </si>
  <si>
    <t>15TG00</t>
  </si>
  <si>
    <t>15TJ00</t>
  </si>
  <si>
    <t>15TL00</t>
  </si>
  <si>
    <t>15TO00</t>
  </si>
  <si>
    <t>15TP00</t>
  </si>
  <si>
    <t>15TT00</t>
  </si>
  <si>
    <t>15TV00</t>
  </si>
  <si>
    <t>15UA00</t>
  </si>
  <si>
    <t>15UB00</t>
  </si>
  <si>
    <t>15UC00</t>
  </si>
  <si>
    <t>15UF00</t>
  </si>
  <si>
    <t>15UJ00</t>
  </si>
  <si>
    <t>15UN00</t>
  </si>
  <si>
    <t>15UO00</t>
  </si>
  <si>
    <t>15UP00</t>
  </si>
  <si>
    <t>15UT00</t>
  </si>
  <si>
    <t>15UU00</t>
  </si>
  <si>
    <t>15UV00</t>
  </si>
  <si>
    <t>15UW00</t>
  </si>
  <si>
    <t>15UZ00</t>
  </si>
  <si>
    <t>15VA00</t>
  </si>
  <si>
    <t>15VC00</t>
  </si>
  <si>
    <t>15VE00</t>
  </si>
  <si>
    <t>15VF00</t>
  </si>
  <si>
    <t>15VF01</t>
  </si>
  <si>
    <t>15VH00</t>
  </si>
  <si>
    <t>15VL00</t>
  </si>
  <si>
    <t>15VM00</t>
  </si>
  <si>
    <t>15VN00</t>
  </si>
  <si>
    <t>15VO00</t>
  </si>
  <si>
    <t>15VR00</t>
  </si>
  <si>
    <t>15VU00</t>
  </si>
  <si>
    <t>15VY00</t>
  </si>
  <si>
    <t>15VZ00</t>
  </si>
  <si>
    <t>15WF00</t>
  </si>
  <si>
    <t>15WG00</t>
  </si>
  <si>
    <t>15WH00</t>
  </si>
  <si>
    <t>15WI00</t>
  </si>
  <si>
    <t>15WJ00</t>
  </si>
  <si>
    <t>15WK00</t>
  </si>
  <si>
    <t>15WQ00</t>
  </si>
  <si>
    <t>15WT00</t>
  </si>
  <si>
    <t>15WU00</t>
  </si>
  <si>
    <t>15WV00</t>
  </si>
  <si>
    <t>15WW00</t>
  </si>
  <si>
    <t>15WZ00</t>
  </si>
  <si>
    <t>15XA00</t>
  </si>
  <si>
    <t>15XB00</t>
  </si>
  <si>
    <t>15XC00</t>
  </si>
  <si>
    <t>15XD00</t>
  </si>
  <si>
    <t>15XE00</t>
  </si>
  <si>
    <t>15XF00</t>
  </si>
  <si>
    <t>15XH00</t>
  </si>
  <si>
    <t>15XI00</t>
  </si>
  <si>
    <t>15XJ00</t>
  </si>
  <si>
    <t>15XK00</t>
  </si>
  <si>
    <t>15XN00</t>
  </si>
  <si>
    <t>15XO00</t>
  </si>
  <si>
    <t>15XP00</t>
  </si>
  <si>
    <t>15XT00</t>
  </si>
  <si>
    <t>15XW00</t>
  </si>
  <si>
    <t>15XX00</t>
  </si>
  <si>
    <t>15XZ00</t>
  </si>
  <si>
    <t>15YB00</t>
  </si>
  <si>
    <t>15YD00</t>
  </si>
  <si>
    <t>15YE00</t>
  </si>
  <si>
    <t>15YF00</t>
  </si>
  <si>
    <t>15YF01</t>
  </si>
  <si>
    <t>15YG00</t>
  </si>
  <si>
    <t>15YJ00</t>
  </si>
  <si>
    <t>15YO00</t>
  </si>
  <si>
    <t>15YP00</t>
  </si>
  <si>
    <t>15YR00</t>
  </si>
  <si>
    <t>15YR01</t>
  </si>
  <si>
    <t>15YU00</t>
  </si>
  <si>
    <t>15YY00</t>
  </si>
  <si>
    <t>15ZB00</t>
  </si>
  <si>
    <t>15ZC00</t>
  </si>
  <si>
    <t>15ZD00</t>
  </si>
  <si>
    <t>15ZE00</t>
  </si>
  <si>
    <t>15ZF00</t>
  </si>
  <si>
    <t>15ZH00</t>
  </si>
  <si>
    <t>15ZJ00</t>
  </si>
  <si>
    <t>15ZK00</t>
  </si>
  <si>
    <t>15ZM00</t>
  </si>
  <si>
    <t>15ZP00</t>
  </si>
  <si>
    <t>15ZQ00</t>
  </si>
  <si>
    <t>15ZW00</t>
  </si>
  <si>
    <t>15ZX00</t>
  </si>
  <si>
    <t>15ZZ00</t>
  </si>
  <si>
    <t>16AA00</t>
  </si>
  <si>
    <t>16AA03</t>
  </si>
  <si>
    <t>16AB00</t>
  </si>
  <si>
    <t>16AD00</t>
  </si>
  <si>
    <t>16AF00</t>
  </si>
  <si>
    <t>16AH00</t>
  </si>
  <si>
    <t>16AJ00</t>
  </si>
  <si>
    <t>16AK00</t>
  </si>
  <si>
    <t>16AP00</t>
  </si>
  <si>
    <t>16AR00</t>
  </si>
  <si>
    <t>16AU00</t>
  </si>
  <si>
    <t>16AY00</t>
  </si>
  <si>
    <t>16AZ00</t>
  </si>
  <si>
    <t>16BA00</t>
  </si>
  <si>
    <t>16BC00</t>
  </si>
  <si>
    <t>16BD00</t>
  </si>
  <si>
    <t>16BE00</t>
  </si>
  <si>
    <t>16BH00</t>
  </si>
  <si>
    <t>16BL00</t>
  </si>
  <si>
    <t>16BL01</t>
  </si>
  <si>
    <t>16BN00</t>
  </si>
  <si>
    <t>16BO00</t>
  </si>
  <si>
    <t>16BO01</t>
  </si>
  <si>
    <t>16BR00</t>
  </si>
  <si>
    <t>16BU00</t>
  </si>
  <si>
    <t>16BX00</t>
  </si>
  <si>
    <t>16BZ00</t>
  </si>
  <si>
    <t>16CA00</t>
  </si>
  <si>
    <t>16CB00</t>
  </si>
  <si>
    <t>16CC00</t>
  </si>
  <si>
    <t>16CF00</t>
  </si>
  <si>
    <t>16CH00</t>
  </si>
  <si>
    <t>16CI00</t>
  </si>
  <si>
    <t>16CN00</t>
  </si>
  <si>
    <t>16CP00</t>
  </si>
  <si>
    <t>16CQ00</t>
  </si>
  <si>
    <t>16CZ00</t>
  </si>
  <si>
    <t>16DA00</t>
  </si>
  <si>
    <t>16DB00</t>
  </si>
  <si>
    <t>16DD00</t>
  </si>
  <si>
    <t>16DE00</t>
  </si>
  <si>
    <t>16DF00</t>
  </si>
  <si>
    <t>16DG00</t>
  </si>
  <si>
    <t>16DH00</t>
  </si>
  <si>
    <t>16DI00</t>
  </si>
  <si>
    <t>16DJ00</t>
  </si>
  <si>
    <t>16DK00</t>
  </si>
  <si>
    <t>16DM00</t>
  </si>
  <si>
    <t>16DS00</t>
  </si>
  <si>
    <t>16DV00</t>
  </si>
  <si>
    <t>16DW00</t>
  </si>
  <si>
    <t>16DX00</t>
  </si>
  <si>
    <t>16DY00</t>
  </si>
  <si>
    <t>16DZ00</t>
  </si>
  <si>
    <t>16EA00</t>
  </si>
  <si>
    <t>16EB00</t>
  </si>
  <si>
    <t>16EC00</t>
  </si>
  <si>
    <t>16EJ00</t>
  </si>
  <si>
    <t>16EL00</t>
  </si>
  <si>
    <t>16EN00</t>
  </si>
  <si>
    <t>16EO00</t>
  </si>
  <si>
    <t>16EP00</t>
  </si>
  <si>
    <t>16EQ00</t>
  </si>
  <si>
    <t>16ET00</t>
  </si>
  <si>
    <t>16FI00</t>
  </si>
  <si>
    <t>16FK00</t>
  </si>
  <si>
    <t>16FL00</t>
  </si>
  <si>
    <t>16FR00</t>
  </si>
  <si>
    <t>16FS00</t>
  </si>
  <si>
    <t>16FT00</t>
  </si>
  <si>
    <t>16FU00</t>
  </si>
  <si>
    <t>16FV00</t>
  </si>
  <si>
    <t>16FW00</t>
  </si>
  <si>
    <t>16GB00</t>
  </si>
  <si>
    <t>16GD00</t>
  </si>
  <si>
    <t>16GK00</t>
  </si>
  <si>
    <t>16GL00</t>
  </si>
  <si>
    <t>16GN00</t>
  </si>
  <si>
    <t>16GQ00</t>
  </si>
  <si>
    <t>16GT00</t>
  </si>
  <si>
    <t>16GU00</t>
  </si>
  <si>
    <t>16GV00</t>
  </si>
  <si>
    <t>16HB00</t>
  </si>
  <si>
    <t>16HC00</t>
  </si>
  <si>
    <t>16HE00</t>
  </si>
  <si>
    <t>16HF00</t>
  </si>
  <si>
    <t>16HF01</t>
  </si>
  <si>
    <t>16HI00</t>
  </si>
  <si>
    <t>16HJ00</t>
  </si>
  <si>
    <t>16HK00</t>
  </si>
  <si>
    <t>16HL00</t>
  </si>
  <si>
    <t>16HM00</t>
  </si>
  <si>
    <t>16HN00</t>
  </si>
  <si>
    <t>16HS00</t>
  </si>
  <si>
    <t>16HT00</t>
  </si>
  <si>
    <t>16HU00</t>
  </si>
  <si>
    <t>16HV00</t>
  </si>
  <si>
    <t>16IA00</t>
  </si>
  <si>
    <t>16IB00</t>
  </si>
  <si>
    <t>16IC00</t>
  </si>
  <si>
    <t>16IE00</t>
  </si>
  <si>
    <t>16IJ00</t>
  </si>
  <si>
    <t>16IK00</t>
  </si>
  <si>
    <t>16IL00</t>
  </si>
  <si>
    <t>16IP00</t>
  </si>
  <si>
    <t>16IQ00</t>
  </si>
  <si>
    <t>16IR00</t>
  </si>
  <si>
    <t>16IT00</t>
  </si>
  <si>
    <t>16IV00</t>
  </si>
  <si>
    <t>16JB00</t>
  </si>
  <si>
    <t>16JC00</t>
  </si>
  <si>
    <t>16JI00</t>
  </si>
  <si>
    <t>16JK00</t>
  </si>
  <si>
    <t>16JP00</t>
  </si>
  <si>
    <t>16JQ00</t>
  </si>
  <si>
    <t>16JU00</t>
  </si>
  <si>
    <t>16JV00</t>
  </si>
  <si>
    <t>16JW00</t>
  </si>
  <si>
    <t>16JY00</t>
  </si>
  <si>
    <t>16KA00</t>
  </si>
  <si>
    <t>16KB00</t>
  </si>
  <si>
    <t>16KE00</t>
  </si>
  <si>
    <t>16KG00</t>
  </si>
  <si>
    <t>16KJ00</t>
  </si>
  <si>
    <t>16KK00</t>
  </si>
  <si>
    <t>16KL00</t>
  </si>
  <si>
    <t>16KR00</t>
  </si>
  <si>
    <t>16KS00</t>
  </si>
  <si>
    <t>16KS01</t>
  </si>
  <si>
    <t>16KV00</t>
  </si>
  <si>
    <t>16KW00</t>
  </si>
  <si>
    <t>16KZ00</t>
  </si>
  <si>
    <t>16LE00</t>
  </si>
  <si>
    <t>16LF00</t>
  </si>
  <si>
    <t>16LI00</t>
  </si>
  <si>
    <t>16LQ00</t>
  </si>
  <si>
    <t>16LV00</t>
  </si>
  <si>
    <t>16LX00</t>
  </si>
  <si>
    <t>16MA00</t>
  </si>
  <si>
    <t>16MB00</t>
  </si>
  <si>
    <t>16MC00</t>
  </si>
  <si>
    <t>16MD00</t>
  </si>
  <si>
    <t>16MI00</t>
  </si>
  <si>
    <t>16ML00</t>
  </si>
  <si>
    <t>16MO00</t>
  </si>
  <si>
    <t>16MW00</t>
  </si>
  <si>
    <t>16MX00</t>
  </si>
  <si>
    <t>16NB00</t>
  </si>
  <si>
    <t>16NC00</t>
  </si>
  <si>
    <t>16ND00</t>
  </si>
  <si>
    <t>16NG00</t>
  </si>
  <si>
    <t>16NG01</t>
  </si>
  <si>
    <t>16NM00</t>
  </si>
  <si>
    <t>16NN00</t>
  </si>
  <si>
    <t>16NR00</t>
  </si>
  <si>
    <t>16NS00</t>
  </si>
  <si>
    <t>16NU00</t>
  </si>
  <si>
    <t>16NV00</t>
  </si>
  <si>
    <t>16OC00</t>
  </si>
  <si>
    <t>16UB00</t>
  </si>
  <si>
    <t>16UC00</t>
  </si>
  <si>
    <t>16UD00</t>
  </si>
  <si>
    <t>16UE00</t>
  </si>
  <si>
    <t>16UG00</t>
  </si>
  <si>
    <t>16UJ00</t>
  </si>
  <si>
    <t>16UK00</t>
  </si>
  <si>
    <t>16UM00</t>
  </si>
  <si>
    <t>16UN00</t>
  </si>
  <si>
    <t>16UO00</t>
  </si>
  <si>
    <t>16UP00</t>
  </si>
  <si>
    <t>16UQ00</t>
  </si>
  <si>
    <t>16US00</t>
  </si>
  <si>
    <t>16UU00</t>
  </si>
  <si>
    <t>16UV00</t>
  </si>
  <si>
    <t>16UW00</t>
  </si>
  <si>
    <t>16UZ00</t>
  </si>
  <si>
    <t>16VH00</t>
  </si>
  <si>
    <t>16VR00</t>
  </si>
  <si>
    <t>16VT00</t>
  </si>
  <si>
    <t>16VU00</t>
  </si>
  <si>
    <t>16VV00</t>
  </si>
  <si>
    <t>16WB00</t>
  </si>
  <si>
    <t>16WG00</t>
  </si>
  <si>
    <t>16WH00</t>
  </si>
  <si>
    <t>16WI00</t>
  </si>
  <si>
    <t>16WL00</t>
  </si>
  <si>
    <t>16WN00</t>
  </si>
  <si>
    <t>16WQ00</t>
  </si>
  <si>
    <t>16WT00</t>
  </si>
  <si>
    <t>16WT01</t>
  </si>
  <si>
    <t>16WU00</t>
  </si>
  <si>
    <t>16WW00</t>
  </si>
  <si>
    <t>16WZ00</t>
  </si>
  <si>
    <t>16XC00</t>
  </si>
  <si>
    <t>16XK00</t>
  </si>
  <si>
    <t>16XM00</t>
  </si>
  <si>
    <t>16XN00</t>
  </si>
  <si>
    <t>16XP00</t>
  </si>
  <si>
    <t>16XQ00</t>
  </si>
  <si>
    <t>16XS00</t>
  </si>
  <si>
    <t>16XT00</t>
  </si>
  <si>
    <t>16XY00</t>
  </si>
  <si>
    <t>16XY03</t>
  </si>
  <si>
    <t>16YA00</t>
  </si>
  <si>
    <t>16YB00</t>
  </si>
  <si>
    <t>16YE00</t>
  </si>
  <si>
    <t>16YF00</t>
  </si>
  <si>
    <t>16YG00</t>
  </si>
  <si>
    <t>16YK00</t>
  </si>
  <si>
    <t>16YM00</t>
  </si>
  <si>
    <t>16YQ00</t>
  </si>
  <si>
    <t>16YS00</t>
  </si>
  <si>
    <t>16YS01</t>
  </si>
  <si>
    <t>16YT00</t>
  </si>
  <si>
    <t>16YU00</t>
  </si>
  <si>
    <t>16YW00</t>
  </si>
  <si>
    <t>16YX00</t>
  </si>
  <si>
    <t>16YZ00</t>
  </si>
  <si>
    <t>16ZB00</t>
  </si>
  <si>
    <t>16ZC00</t>
  </si>
  <si>
    <t>16ZD00</t>
  </si>
  <si>
    <t>16ZF00</t>
  </si>
  <si>
    <t>16ZG00</t>
  </si>
  <si>
    <t>16ZJ00</t>
  </si>
  <si>
    <t>16ZM00</t>
  </si>
  <si>
    <t>16ZO00</t>
  </si>
  <si>
    <t>16ZP00</t>
  </si>
  <si>
    <t>16ZQ00</t>
  </si>
  <si>
    <t>16ZS00</t>
  </si>
  <si>
    <t>16ZT00</t>
  </si>
  <si>
    <t>16ZX00</t>
  </si>
  <si>
    <t>16ZY00</t>
  </si>
  <si>
    <t>16ZY01</t>
  </si>
  <si>
    <t>16ZZ00</t>
  </si>
  <si>
    <t>17AB00</t>
  </si>
  <si>
    <t>17AC00</t>
  </si>
  <si>
    <t>17AE00</t>
  </si>
  <si>
    <t>17AH00</t>
  </si>
  <si>
    <t>17AM00</t>
  </si>
  <si>
    <t>17AP00</t>
  </si>
  <si>
    <t>17AV00</t>
  </si>
  <si>
    <t>17BB00</t>
  </si>
  <si>
    <t>17BC00</t>
  </si>
  <si>
    <t>17BH00</t>
  </si>
  <si>
    <t>17BL00</t>
  </si>
  <si>
    <t>17BP00</t>
  </si>
  <si>
    <t>17BT00</t>
  </si>
  <si>
    <t>17BU00</t>
  </si>
  <si>
    <t>17BW00</t>
  </si>
  <si>
    <t>17BY00</t>
  </si>
  <si>
    <t>17CA00</t>
  </si>
  <si>
    <t>17CB00</t>
  </si>
  <si>
    <t>17CI00</t>
  </si>
  <si>
    <t>17CJ00</t>
  </si>
  <si>
    <t>17CL00</t>
  </si>
  <si>
    <t>17CM00</t>
  </si>
  <si>
    <t>17CN00</t>
  </si>
  <si>
    <t>17CT00</t>
  </si>
  <si>
    <t>17CU00</t>
  </si>
  <si>
    <t>17CV00</t>
  </si>
  <si>
    <t>17CW00</t>
  </si>
  <si>
    <t>17CY00</t>
  </si>
  <si>
    <t>17DA00</t>
  </si>
  <si>
    <t>17DA03</t>
  </si>
  <si>
    <t>17DC00</t>
  </si>
  <si>
    <t>17DF00</t>
  </si>
  <si>
    <t>17DG00</t>
  </si>
  <si>
    <t>17DI00</t>
  </si>
  <si>
    <t>17DK00</t>
  </si>
  <si>
    <t>17DP00</t>
  </si>
  <si>
    <t>17DQ00</t>
  </si>
  <si>
    <t>17DR00</t>
  </si>
  <si>
    <t>17DV00</t>
  </si>
  <si>
    <t>17DW00</t>
  </si>
  <si>
    <t>17DX00</t>
  </si>
  <si>
    <t>17DZ00</t>
  </si>
  <si>
    <t>17EA00</t>
  </si>
  <si>
    <t>17EB00</t>
  </si>
  <si>
    <t>17EC00</t>
  </si>
  <si>
    <t>17EF00</t>
  </si>
  <si>
    <t>17EG00</t>
  </si>
  <si>
    <t>17EH00</t>
  </si>
  <si>
    <t>17EJ00</t>
  </si>
  <si>
    <t>17EK00</t>
  </si>
  <si>
    <t>17EK01</t>
  </si>
  <si>
    <t>17EL00</t>
  </si>
  <si>
    <t>17EO00</t>
  </si>
  <si>
    <t>17EP00</t>
  </si>
  <si>
    <t>17EQ00</t>
  </si>
  <si>
    <t>17ER00</t>
  </si>
  <si>
    <t>17ES00</t>
  </si>
  <si>
    <t>17EU00</t>
  </si>
  <si>
    <t>17EV00</t>
  </si>
  <si>
    <t>17EW00</t>
  </si>
  <si>
    <t>17EZ00</t>
  </si>
  <si>
    <t>17FA00</t>
  </si>
  <si>
    <t>17FC00</t>
  </si>
  <si>
    <t>17FE00</t>
  </si>
  <si>
    <t>17FF00</t>
  </si>
  <si>
    <t>17FG00</t>
  </si>
  <si>
    <t>17FH00</t>
  </si>
  <si>
    <t>17FJ00</t>
  </si>
  <si>
    <t>17FK00</t>
  </si>
  <si>
    <t>17FL00</t>
  </si>
  <si>
    <t>17FL01</t>
  </si>
  <si>
    <t>17FN00</t>
  </si>
  <si>
    <t>17FR00</t>
  </si>
  <si>
    <t>17FU00</t>
  </si>
  <si>
    <t>17FV00</t>
  </si>
  <si>
    <t>17FW00</t>
  </si>
  <si>
    <t>17FY00</t>
  </si>
  <si>
    <t>17GU00</t>
  </si>
  <si>
    <t>17JD00</t>
  </si>
  <si>
    <t>17JE00</t>
  </si>
  <si>
    <t>17JG00</t>
  </si>
  <si>
    <t>17JG01</t>
  </si>
  <si>
    <t>17JH00</t>
  </si>
  <si>
    <t>17JH01</t>
  </si>
  <si>
    <t>17JL00</t>
  </si>
  <si>
    <t>17JM00</t>
  </si>
  <si>
    <t>17JN00</t>
  </si>
  <si>
    <t>17JP00</t>
  </si>
  <si>
    <t>17JV00</t>
  </si>
  <si>
    <t>17JX00</t>
  </si>
  <si>
    <t>17KB00</t>
  </si>
  <si>
    <t>17KC00</t>
  </si>
  <si>
    <t>17KD00</t>
  </si>
  <si>
    <t>17KG00</t>
  </si>
  <si>
    <t>17KI00</t>
  </si>
  <si>
    <t>17KJ00</t>
  </si>
  <si>
    <t>17KM00</t>
  </si>
  <si>
    <t>17KU00</t>
  </si>
  <si>
    <t>17KW00</t>
  </si>
  <si>
    <t>17KZ00</t>
  </si>
  <si>
    <t>17LB00</t>
  </si>
  <si>
    <t>17LE00</t>
  </si>
  <si>
    <t>17LF00</t>
  </si>
  <si>
    <t>17LH00</t>
  </si>
  <si>
    <t>17LI00</t>
  </si>
  <si>
    <t>17LM00</t>
  </si>
  <si>
    <t>17LO00</t>
  </si>
  <si>
    <t>17LQ00</t>
  </si>
  <si>
    <t>17LT00</t>
  </si>
  <si>
    <t>17LU00</t>
  </si>
  <si>
    <t>17LW00</t>
  </si>
  <si>
    <t>17LX00</t>
  </si>
  <si>
    <t>17LY00</t>
  </si>
  <si>
    <t>17MC00</t>
  </si>
  <si>
    <t>17MD00</t>
  </si>
  <si>
    <t>17MF00</t>
  </si>
  <si>
    <t>17MH00</t>
  </si>
  <si>
    <t>17MI00</t>
  </si>
  <si>
    <t>17MJ00</t>
  </si>
  <si>
    <t>17MJ01</t>
  </si>
  <si>
    <t>17MK00</t>
  </si>
  <si>
    <t>17MM00</t>
  </si>
  <si>
    <t>17MO00</t>
  </si>
  <si>
    <t>17MQ00</t>
  </si>
  <si>
    <t>17MR00</t>
  </si>
  <si>
    <t>17MS00</t>
  </si>
  <si>
    <t>17MT00</t>
  </si>
  <si>
    <t>17MV00</t>
  </si>
  <si>
    <t>17MX00</t>
  </si>
  <si>
    <t>17MY00</t>
  </si>
  <si>
    <t>17MZ00</t>
  </si>
  <si>
    <t>17NB00</t>
  </si>
  <si>
    <t>17ND00</t>
  </si>
  <si>
    <t>17NF00</t>
  </si>
  <si>
    <t>17NG00</t>
  </si>
  <si>
    <t>17NH00</t>
  </si>
  <si>
    <t>17NI00</t>
  </si>
  <si>
    <t>17NJ00</t>
  </si>
  <si>
    <t>17NM00</t>
  </si>
  <si>
    <t>17NO00</t>
  </si>
  <si>
    <t>17NQ00</t>
  </si>
  <si>
    <t>17NR00</t>
  </si>
  <si>
    <t>17NS00</t>
  </si>
  <si>
    <t>17NT00</t>
  </si>
  <si>
    <t>17NU00</t>
  </si>
  <si>
    <t>17NV00</t>
  </si>
  <si>
    <t>17NW00</t>
  </si>
  <si>
    <t>17NX00</t>
  </si>
  <si>
    <t>17NZ00</t>
  </si>
  <si>
    <t>17OB00</t>
  </si>
  <si>
    <t>17OC00</t>
  </si>
  <si>
    <t>17OF00</t>
  </si>
  <si>
    <t>17OJ00</t>
  </si>
  <si>
    <t>17OM00</t>
  </si>
  <si>
    <t>17ON00</t>
  </si>
  <si>
    <t>17OR00</t>
  </si>
  <si>
    <t>17OS00</t>
  </si>
  <si>
    <t>17OV00</t>
  </si>
  <si>
    <t>17OY00</t>
  </si>
  <si>
    <t>17OZ00</t>
  </si>
  <si>
    <t>17PA00</t>
  </si>
  <si>
    <t>17PB00</t>
  </si>
  <si>
    <t>17PC00</t>
  </si>
  <si>
    <t>17PF00</t>
  </si>
  <si>
    <t>17PG00</t>
  </si>
  <si>
    <t>17PH00</t>
  </si>
  <si>
    <t>17PI00</t>
  </si>
  <si>
    <t>17PJ00</t>
  </si>
  <si>
    <t>17PK00</t>
  </si>
  <si>
    <t>17PN00</t>
  </si>
  <si>
    <t>17PQ00</t>
  </si>
  <si>
    <t>17PR00</t>
  </si>
  <si>
    <t>17PV00</t>
  </si>
  <si>
    <t>17PY00</t>
  </si>
  <si>
    <t>17PZ00</t>
  </si>
  <si>
    <t>17QA00</t>
  </si>
  <si>
    <t>17QE00</t>
  </si>
  <si>
    <t>17QF00</t>
  </si>
  <si>
    <t>17QH00</t>
  </si>
  <si>
    <t>17QJ00</t>
  </si>
  <si>
    <t>17QK00</t>
  </si>
  <si>
    <t>17QL00</t>
  </si>
  <si>
    <t>17QM00</t>
  </si>
  <si>
    <t>17QN00</t>
  </si>
  <si>
    <t>17QQ00</t>
  </si>
  <si>
    <t>17QS00</t>
  </si>
  <si>
    <t>17QV00</t>
  </si>
  <si>
    <t>17QY00</t>
  </si>
  <si>
    <t>17RC00</t>
  </si>
  <si>
    <t>17RD00</t>
  </si>
  <si>
    <t>17RE00</t>
  </si>
  <si>
    <t>17RI00</t>
  </si>
  <si>
    <t>17RJ00</t>
  </si>
  <si>
    <t>17RK00</t>
  </si>
  <si>
    <t>17RK01</t>
  </si>
  <si>
    <t>17RL00</t>
  </si>
  <si>
    <t>17RM00</t>
  </si>
  <si>
    <t>17RN00</t>
  </si>
  <si>
    <t>17RO00</t>
  </si>
  <si>
    <t>17RQ00</t>
  </si>
  <si>
    <t>17RS00</t>
  </si>
  <si>
    <t>17RV00</t>
  </si>
  <si>
    <t>17RX00</t>
  </si>
  <si>
    <t>17RY00</t>
  </si>
  <si>
    <t>17RZ00</t>
  </si>
  <si>
    <t>17SI00</t>
  </si>
  <si>
    <t>17SJ00</t>
  </si>
  <si>
    <t>17SK00</t>
  </si>
  <si>
    <t>17SL00</t>
  </si>
  <si>
    <t>17SP00</t>
  </si>
  <si>
    <t>17SQ00</t>
  </si>
  <si>
    <t>17SR00</t>
  </si>
  <si>
    <t>17ST00</t>
  </si>
  <si>
    <t>17SU00</t>
  </si>
  <si>
    <t>17SW00</t>
  </si>
  <si>
    <t>17SX00</t>
  </si>
  <si>
    <t>17SY00</t>
  </si>
  <si>
    <t>17SZ00</t>
  </si>
  <si>
    <t>17TC00</t>
  </si>
  <si>
    <t>17TD00</t>
  </si>
  <si>
    <t>17TF00</t>
  </si>
  <si>
    <t>17TG00</t>
  </si>
  <si>
    <t>17TI00</t>
  </si>
  <si>
    <t>17TJ00</t>
  </si>
  <si>
    <t>17TK00</t>
  </si>
  <si>
    <t>17TN00</t>
  </si>
  <si>
    <t>17TP00</t>
  </si>
  <si>
    <t>17TQ00</t>
  </si>
  <si>
    <t>17TT00</t>
  </si>
  <si>
    <t>17TU00</t>
  </si>
  <si>
    <t>17TW00</t>
  </si>
  <si>
    <t>17TX00</t>
  </si>
  <si>
    <t>17TY00</t>
  </si>
  <si>
    <t>17TZ00</t>
  </si>
  <si>
    <t>17UA00</t>
  </si>
  <si>
    <t>17UB00</t>
  </si>
  <si>
    <t>17UC00</t>
  </si>
  <si>
    <t>17UD00</t>
  </si>
  <si>
    <t>17UE00</t>
  </si>
  <si>
    <t>17UG00</t>
  </si>
  <si>
    <t>17UH00</t>
  </si>
  <si>
    <t>17VA00</t>
  </si>
  <si>
    <t>17WX00</t>
  </si>
  <si>
    <t>17WY00</t>
  </si>
  <si>
    <t>17WZ00</t>
  </si>
  <si>
    <t>17XB00</t>
  </si>
  <si>
    <t>17XC00</t>
  </si>
  <si>
    <t>17XF00</t>
  </si>
  <si>
    <t>17XI00</t>
  </si>
  <si>
    <t>17XQ00</t>
  </si>
  <si>
    <t>17XT00</t>
  </si>
  <si>
    <t>17XV00</t>
  </si>
  <si>
    <t>17XW00</t>
  </si>
  <si>
    <t>17XX00</t>
  </si>
  <si>
    <t>17XZ00</t>
  </si>
  <si>
    <t>17YA00</t>
  </si>
  <si>
    <t>17YE00</t>
  </si>
  <si>
    <t>17YN00</t>
  </si>
  <si>
    <t>17YO00</t>
  </si>
  <si>
    <t>17YR00</t>
  </si>
  <si>
    <t>17YV00</t>
  </si>
  <si>
    <t>17YV01</t>
  </si>
  <si>
    <t>17YX00</t>
  </si>
  <si>
    <t>17YY00</t>
  </si>
  <si>
    <t>17ZD00</t>
  </si>
  <si>
    <t>17ZF00</t>
  </si>
  <si>
    <t>17ZG00</t>
  </si>
  <si>
    <t>17ZH00</t>
  </si>
  <si>
    <t>17ZI00</t>
  </si>
  <si>
    <t>17ZK00</t>
  </si>
  <si>
    <t>17ZL00</t>
  </si>
  <si>
    <t>17ZM00</t>
  </si>
  <si>
    <t>17ZO00</t>
  </si>
  <si>
    <t>17ZP00</t>
  </si>
  <si>
    <t>17ZQ00</t>
  </si>
  <si>
    <t>17ZR00</t>
  </si>
  <si>
    <t>17ZR02</t>
  </si>
  <si>
    <t>17ZS00</t>
  </si>
  <si>
    <t>17ZU00</t>
  </si>
  <si>
    <t>17ZV00</t>
  </si>
  <si>
    <t>17ZY00</t>
  </si>
  <si>
    <t>17ZZ00</t>
  </si>
  <si>
    <t>18AA00</t>
  </si>
  <si>
    <t>18AB00</t>
  </si>
  <si>
    <t>18AC00</t>
  </si>
  <si>
    <t>18AE00</t>
  </si>
  <si>
    <t>18AF00</t>
  </si>
  <si>
    <t>18AH00</t>
  </si>
  <si>
    <t>18AK00</t>
  </si>
  <si>
    <t>18AP00</t>
  </si>
  <si>
    <t>18AQ00</t>
  </si>
  <si>
    <t>18AR00</t>
  </si>
  <si>
    <t>18AU00</t>
  </si>
  <si>
    <t>18AX00</t>
  </si>
  <si>
    <t>18BA00</t>
  </si>
  <si>
    <t>18BB00</t>
  </si>
  <si>
    <t>18BG00</t>
  </si>
  <si>
    <t>18BJ00</t>
  </si>
  <si>
    <t>18BK00</t>
  </si>
  <si>
    <t>18BL00</t>
  </si>
  <si>
    <t>18BM00</t>
  </si>
  <si>
    <t>18BN00</t>
  </si>
  <si>
    <t>18BO00</t>
  </si>
  <si>
    <t>18CF00</t>
  </si>
  <si>
    <t>18DR00</t>
  </si>
  <si>
    <t>18DS00</t>
  </si>
  <si>
    <t>18DS01</t>
  </si>
  <si>
    <t>18DS02</t>
  </si>
  <si>
    <t>18DS03</t>
  </si>
  <si>
    <t>18DT00</t>
  </si>
  <si>
    <t>18DU00</t>
  </si>
  <si>
    <t>18DW00</t>
  </si>
  <si>
    <t>18DX00</t>
  </si>
  <si>
    <t>18DY00</t>
  </si>
  <si>
    <t>18EA00</t>
  </si>
  <si>
    <t>18EB00</t>
  </si>
  <si>
    <t>18EB01</t>
  </si>
  <si>
    <t>18ED00</t>
  </si>
  <si>
    <t>18EE00</t>
  </si>
  <si>
    <t>18EG00</t>
  </si>
  <si>
    <t>18EH00</t>
  </si>
  <si>
    <t>18EJ00</t>
  </si>
  <si>
    <t>18EK00</t>
  </si>
  <si>
    <t>18EL00</t>
  </si>
  <si>
    <t>18EO00</t>
  </si>
  <si>
    <t>18EP00</t>
  </si>
  <si>
    <t>18ER00</t>
  </si>
  <si>
    <t>18ER01</t>
  </si>
  <si>
    <t>18ES00</t>
  </si>
  <si>
    <t>18ET00</t>
  </si>
  <si>
    <t>18FA00</t>
  </si>
  <si>
    <t>18FC00</t>
  </si>
  <si>
    <t>18FD00</t>
  </si>
  <si>
    <t>18FE00</t>
  </si>
  <si>
    <t>18FF00</t>
  </si>
  <si>
    <t>18FG00</t>
  </si>
  <si>
    <t>18FH00</t>
  </si>
  <si>
    <t>18FI00</t>
  </si>
  <si>
    <t>18FJ00</t>
  </si>
  <si>
    <t>18FK00</t>
  </si>
  <si>
    <t>18FM00</t>
  </si>
  <si>
    <t>18FN00</t>
  </si>
  <si>
    <t>18FU00</t>
  </si>
  <si>
    <t>18FV00</t>
  </si>
  <si>
    <t>18FY00</t>
  </si>
  <si>
    <t>18GA00</t>
  </si>
  <si>
    <t>18GB00</t>
  </si>
  <si>
    <t>18GD00</t>
  </si>
  <si>
    <t>18GF00</t>
  </si>
  <si>
    <t>18GH00</t>
  </si>
  <si>
    <t>18GP00</t>
  </si>
  <si>
    <t>18GQ00</t>
  </si>
  <si>
    <t>18GS00</t>
  </si>
  <si>
    <t>18GT00</t>
  </si>
  <si>
    <t>18GU00</t>
  </si>
  <si>
    <t>18GW00</t>
  </si>
  <si>
    <t>18GW01</t>
  </si>
  <si>
    <t>18GY00</t>
  </si>
  <si>
    <t>18GZ00</t>
  </si>
  <si>
    <t>18HB00</t>
  </si>
  <si>
    <t>18HD00</t>
  </si>
  <si>
    <t>18HF00</t>
  </si>
  <si>
    <t>18HG00</t>
  </si>
  <si>
    <t>18HI00</t>
  </si>
  <si>
    <t>18HK00</t>
  </si>
  <si>
    <t>18HL00</t>
  </si>
  <si>
    <t>18HN00</t>
  </si>
  <si>
    <t>18HO00</t>
  </si>
  <si>
    <t>18HO01</t>
  </si>
  <si>
    <t>18HP00</t>
  </si>
  <si>
    <t>18HQ00</t>
  </si>
  <si>
    <t>18HR00</t>
  </si>
  <si>
    <t>18HS00</t>
  </si>
  <si>
    <t>18HS01</t>
  </si>
  <si>
    <t>18HT00</t>
  </si>
  <si>
    <t>18HX00</t>
  </si>
  <si>
    <t>18IC00</t>
  </si>
  <si>
    <t>18ID00</t>
  </si>
  <si>
    <t>18IE00</t>
  </si>
  <si>
    <t>18IF00</t>
  </si>
  <si>
    <t>18IJ00</t>
  </si>
  <si>
    <t>18IP00</t>
  </si>
  <si>
    <t>18IQ00</t>
  </si>
  <si>
    <t>18IU00</t>
  </si>
  <si>
    <t>18IX00</t>
  </si>
  <si>
    <t>18IY00</t>
  </si>
  <si>
    <t>18IZ00</t>
  </si>
  <si>
    <t>18JB00</t>
  </si>
  <si>
    <t>18JD00</t>
  </si>
  <si>
    <t>18JE00</t>
  </si>
  <si>
    <t>18JF00</t>
  </si>
  <si>
    <t>18JG00</t>
  </si>
  <si>
    <t>18JH00</t>
  </si>
  <si>
    <t>18JI00</t>
  </si>
  <si>
    <t>18JL00</t>
  </si>
  <si>
    <t>18JO00</t>
  </si>
  <si>
    <t>18JU00</t>
  </si>
  <si>
    <t>18JW00</t>
  </si>
  <si>
    <t>18JX00</t>
  </si>
  <si>
    <t>18JY00</t>
  </si>
  <si>
    <t>18KB00</t>
  </si>
  <si>
    <t>18KD00</t>
  </si>
  <si>
    <t>18KF00</t>
  </si>
  <si>
    <t>18KG00</t>
  </si>
  <si>
    <t>18KI00</t>
  </si>
  <si>
    <t>18KJ00</t>
  </si>
  <si>
    <t>18KK00</t>
  </si>
  <si>
    <t>18KO00</t>
  </si>
  <si>
    <t>18KP00</t>
  </si>
  <si>
    <t>18KU00</t>
  </si>
  <si>
    <t>18KV00</t>
  </si>
  <si>
    <t>18KV01</t>
  </si>
  <si>
    <t>18KX00</t>
  </si>
  <si>
    <t>18LB00</t>
  </si>
  <si>
    <t>18LE00</t>
  </si>
  <si>
    <t>18LF00</t>
  </si>
  <si>
    <t>18LH00</t>
  </si>
  <si>
    <t>18LI00</t>
  </si>
  <si>
    <t>18LJ00</t>
  </si>
  <si>
    <t>18LK00</t>
  </si>
  <si>
    <t>18LM00</t>
  </si>
  <si>
    <t>18LN00</t>
  </si>
  <si>
    <t>18LN01</t>
  </si>
  <si>
    <t>18LP00</t>
  </si>
  <si>
    <t>18LQ00</t>
  </si>
  <si>
    <t>18LR00</t>
  </si>
  <si>
    <t>18LS00</t>
  </si>
  <si>
    <t>18LT00</t>
  </si>
  <si>
    <t>18LU00</t>
  </si>
  <si>
    <t>18LX00</t>
  </si>
  <si>
    <t>18LX01</t>
  </si>
  <si>
    <t>18LY00</t>
  </si>
  <si>
    <t>18LZ00</t>
  </si>
  <si>
    <t>18LZ01</t>
  </si>
  <si>
    <t>18MA00</t>
  </si>
  <si>
    <t>18MC00</t>
  </si>
  <si>
    <t>18MF00</t>
  </si>
  <si>
    <t>18MG00</t>
  </si>
  <si>
    <t>18MH00</t>
  </si>
  <si>
    <t>18MJ00</t>
  </si>
  <si>
    <t>18MK00</t>
  </si>
  <si>
    <t>18MM00</t>
  </si>
  <si>
    <t>18MN00</t>
  </si>
  <si>
    <t>18MO00</t>
  </si>
  <si>
    <t>18MQ00</t>
  </si>
  <si>
    <t>18MR00</t>
  </si>
  <si>
    <t>18MS00</t>
  </si>
  <si>
    <t>18MT00</t>
  </si>
  <si>
    <t>18MW00</t>
  </si>
  <si>
    <t>18MX00</t>
  </si>
  <si>
    <t>18MY00</t>
  </si>
  <si>
    <t>18MZ00</t>
  </si>
  <si>
    <t>18NA00</t>
  </si>
  <si>
    <t>18NC00</t>
  </si>
  <si>
    <t>18NF00</t>
  </si>
  <si>
    <t>18NH00</t>
  </si>
  <si>
    <t>18NI00</t>
  </si>
  <si>
    <t>18NM00</t>
  </si>
  <si>
    <t>18NN00</t>
  </si>
  <si>
    <t>18NQ00</t>
  </si>
  <si>
    <t>18NR00</t>
  </si>
  <si>
    <t>18NS00</t>
  </si>
  <si>
    <t>18NU00</t>
  </si>
  <si>
    <t>18NV00</t>
  </si>
  <si>
    <t>18NW00</t>
  </si>
  <si>
    <t>18NX00</t>
  </si>
  <si>
    <t>18OA00</t>
  </si>
  <si>
    <t>18OD00</t>
  </si>
  <si>
    <t>18OE00</t>
  </si>
  <si>
    <t>18OF00</t>
  </si>
  <si>
    <t>18OH00</t>
  </si>
  <si>
    <t>18OL00</t>
  </si>
  <si>
    <t>18OM00</t>
  </si>
  <si>
    <t>18OP00</t>
  </si>
  <si>
    <t>18OQ00</t>
  </si>
  <si>
    <t>18OR00</t>
  </si>
  <si>
    <t>18OV00</t>
  </si>
  <si>
    <t>18OY00</t>
  </si>
  <si>
    <t>18OZ00</t>
  </si>
  <si>
    <t>18PA00</t>
  </si>
  <si>
    <t>18PC00</t>
  </si>
  <si>
    <t>18PE00</t>
  </si>
  <si>
    <t>18PJ00</t>
  </si>
  <si>
    <t>18PM00</t>
  </si>
  <si>
    <t>18PN00</t>
  </si>
  <si>
    <t>18PP00</t>
  </si>
  <si>
    <t>18PQ00</t>
  </si>
  <si>
    <t>18PT00</t>
  </si>
  <si>
    <t>18PU00</t>
  </si>
  <si>
    <t>18PV00</t>
  </si>
  <si>
    <t>18PW00</t>
  </si>
  <si>
    <t>18PX00</t>
  </si>
  <si>
    <t>18PY00</t>
  </si>
  <si>
    <t>18QA00</t>
  </si>
  <si>
    <t>18QB00</t>
  </si>
  <si>
    <t>18QC00</t>
  </si>
  <si>
    <t>18QD00</t>
  </si>
  <si>
    <t>18QE00</t>
  </si>
  <si>
    <t>18QF00</t>
  </si>
  <si>
    <t>18QG00</t>
  </si>
  <si>
    <t>18QJ00</t>
  </si>
  <si>
    <t>18QK00</t>
  </si>
  <si>
    <t>18QS00</t>
  </si>
  <si>
    <t>18QU00</t>
  </si>
  <si>
    <t>18QW00</t>
  </si>
  <si>
    <t>18QY00</t>
  </si>
  <si>
    <t>18QZ00</t>
  </si>
  <si>
    <t>18QZ01</t>
  </si>
  <si>
    <t>18RA00</t>
  </si>
  <si>
    <t>18RD00</t>
  </si>
  <si>
    <t>18RG00</t>
  </si>
  <si>
    <t>18RI00</t>
  </si>
  <si>
    <t>18RJ00</t>
  </si>
  <si>
    <t>18RK00</t>
  </si>
  <si>
    <t>18RN00</t>
  </si>
  <si>
    <t>18RO00</t>
  </si>
  <si>
    <t>18RQ00</t>
  </si>
  <si>
    <t>18RR00</t>
  </si>
  <si>
    <t>18RU00</t>
  </si>
  <si>
    <t>18RV00</t>
  </si>
  <si>
    <t>18SC00</t>
  </si>
  <si>
    <t>18SE00</t>
  </si>
  <si>
    <t>18SF00</t>
  </si>
  <si>
    <t>18SH00</t>
  </si>
  <si>
    <t>18SI00</t>
  </si>
  <si>
    <t>18SL00</t>
  </si>
  <si>
    <t>18SN00</t>
  </si>
  <si>
    <t>18SO00</t>
  </si>
  <si>
    <t>18SP00</t>
  </si>
  <si>
    <t>18SR00</t>
  </si>
  <si>
    <t>18SU00</t>
  </si>
  <si>
    <t>18SV00</t>
  </si>
  <si>
    <t>18SZ00</t>
  </si>
  <si>
    <t>18TA00</t>
  </si>
  <si>
    <t>18TC00</t>
  </si>
  <si>
    <t>18TF00</t>
  </si>
  <si>
    <t>18TH00</t>
  </si>
  <si>
    <t>18TJ00</t>
  </si>
  <si>
    <t>18TK00</t>
  </si>
  <si>
    <t>18TL00</t>
  </si>
  <si>
    <t>18TM00</t>
  </si>
  <si>
    <t>18TN00</t>
  </si>
  <si>
    <t>18TP00</t>
  </si>
  <si>
    <t>18TQ00</t>
  </si>
  <si>
    <t>18TS00</t>
  </si>
  <si>
    <t>18TV00</t>
  </si>
  <si>
    <t>18TW00</t>
  </si>
  <si>
    <t>18UC00</t>
  </si>
  <si>
    <t>18UD00</t>
  </si>
  <si>
    <t>18UE00</t>
  </si>
  <si>
    <t>18UF00</t>
  </si>
  <si>
    <t>18UG00</t>
  </si>
  <si>
    <t>18UH00</t>
  </si>
  <si>
    <t>18UH01</t>
  </si>
  <si>
    <t>18UK00</t>
  </si>
  <si>
    <t>18UL00</t>
  </si>
  <si>
    <t>18UM00</t>
  </si>
  <si>
    <t>18UQ00</t>
  </si>
  <si>
    <t>18UR00</t>
  </si>
  <si>
    <t>18US00</t>
  </si>
  <si>
    <t>18UT00</t>
  </si>
  <si>
    <t>18UV00</t>
  </si>
  <si>
    <t>18UY00</t>
  </si>
  <si>
    <t>18VB00</t>
  </si>
  <si>
    <t>18VC00</t>
  </si>
  <si>
    <t>18VF00</t>
  </si>
  <si>
    <t>18VI00</t>
  </si>
  <si>
    <t>18VJ00</t>
  </si>
  <si>
    <t>18VM00</t>
  </si>
  <si>
    <t>18VN00</t>
  </si>
  <si>
    <t>18VQ00</t>
  </si>
  <si>
    <t>18VR00</t>
  </si>
  <si>
    <t>18VV00</t>
  </si>
  <si>
    <t>18VW00</t>
  </si>
  <si>
    <t>18VZ00</t>
  </si>
  <si>
    <t>18WD00</t>
  </si>
  <si>
    <t>18WF00</t>
  </si>
  <si>
    <t>18WG00</t>
  </si>
  <si>
    <t>18WH00</t>
  </si>
  <si>
    <t>18WK00</t>
  </si>
  <si>
    <t>18WL00</t>
  </si>
  <si>
    <t>18WN00</t>
  </si>
  <si>
    <t>18WQ00</t>
  </si>
  <si>
    <t>18WR00</t>
  </si>
  <si>
    <t>18WU00</t>
  </si>
  <si>
    <t>18WV00</t>
  </si>
  <si>
    <t>18WW00</t>
  </si>
  <si>
    <t>18WX00</t>
  </si>
  <si>
    <t>18WY00</t>
  </si>
  <si>
    <t>18XB00</t>
  </si>
  <si>
    <t>18XC00</t>
  </si>
  <si>
    <t>18YS00</t>
  </si>
  <si>
    <t>18YT00</t>
  </si>
  <si>
    <t>18YU00</t>
  </si>
  <si>
    <t>18YZ00</t>
  </si>
  <si>
    <t>18ZA00</t>
  </si>
  <si>
    <t>18ZC00</t>
  </si>
  <si>
    <t>18ZG00</t>
  </si>
  <si>
    <t>18ZI00</t>
  </si>
  <si>
    <t>18ZL00</t>
  </si>
  <si>
    <t>18ZM00</t>
  </si>
  <si>
    <t>18ZO00</t>
  </si>
  <si>
    <t>18ZQ00</t>
  </si>
  <si>
    <t>18ZU00</t>
  </si>
  <si>
    <t>18ZV00</t>
  </si>
  <si>
    <t>18ZW00</t>
  </si>
  <si>
    <t>18ZX00</t>
  </si>
  <si>
    <t>19AB00</t>
  </si>
  <si>
    <t>19AC00</t>
  </si>
  <si>
    <t>19AF00</t>
  </si>
  <si>
    <t>19AG00</t>
  </si>
  <si>
    <t>19AG01</t>
  </si>
  <si>
    <t>19AI00</t>
  </si>
  <si>
    <t>19AM00</t>
  </si>
  <si>
    <t>19AO00</t>
  </si>
  <si>
    <t>19AQ00</t>
  </si>
  <si>
    <t>19AS00</t>
  </si>
  <si>
    <t>19AT00</t>
  </si>
  <si>
    <t>19AV00</t>
  </si>
  <si>
    <t>19AX00</t>
  </si>
  <si>
    <t>19AZ00</t>
  </si>
  <si>
    <t>19BA00</t>
  </si>
  <si>
    <t>19BB00</t>
  </si>
  <si>
    <t>19BC00</t>
  </si>
  <si>
    <t>19BE00</t>
  </si>
  <si>
    <t>19BF00</t>
  </si>
  <si>
    <t>19BH00</t>
  </si>
  <si>
    <t>19BJ00</t>
  </si>
  <si>
    <t>19BO00</t>
  </si>
  <si>
    <t>19BP00</t>
  </si>
  <si>
    <t>19BQ00</t>
  </si>
  <si>
    <t>19BS00</t>
  </si>
  <si>
    <t>19BT00</t>
  </si>
  <si>
    <t>19BU00</t>
  </si>
  <si>
    <t>19BU01</t>
  </si>
  <si>
    <t>19BV00</t>
  </si>
  <si>
    <t>19BW00</t>
  </si>
  <si>
    <t>19BX00</t>
  </si>
  <si>
    <t>19BZ00</t>
  </si>
  <si>
    <t>19CA00</t>
  </si>
  <si>
    <t>19CB00</t>
  </si>
  <si>
    <t>19CC00</t>
  </si>
  <si>
    <t>19CD00</t>
  </si>
  <si>
    <t>19CF00</t>
  </si>
  <si>
    <t>19CH00</t>
  </si>
  <si>
    <t>19CT00</t>
  </si>
  <si>
    <t>19CY00</t>
  </si>
  <si>
    <t>19DD00</t>
  </si>
  <si>
    <t>19DI00</t>
  </si>
  <si>
    <t>19DK00</t>
  </si>
  <si>
    <t>19DM00</t>
  </si>
  <si>
    <t>19DN00</t>
  </si>
  <si>
    <t>19DN01</t>
  </si>
  <si>
    <t>19DP00</t>
  </si>
  <si>
    <t>19DQ00</t>
  </si>
  <si>
    <t>19DS00</t>
  </si>
  <si>
    <t>19IV00</t>
  </si>
  <si>
    <t>19JG00</t>
  </si>
  <si>
    <t>19JJ00</t>
  </si>
  <si>
    <t>19JK00</t>
  </si>
  <si>
    <t>19JO00</t>
  </si>
  <si>
    <t>19KB00</t>
  </si>
  <si>
    <t>19KD00</t>
  </si>
  <si>
    <t>19KI00</t>
  </si>
  <si>
    <t>19KK00</t>
  </si>
  <si>
    <t>19KV00</t>
  </si>
  <si>
    <t>19KX00</t>
  </si>
  <si>
    <t>19LD00</t>
  </si>
  <si>
    <t>19LE00</t>
  </si>
  <si>
    <t>19LF00</t>
  </si>
  <si>
    <t>19LH00</t>
  </si>
  <si>
    <t>19LI00</t>
  </si>
  <si>
    <t>19LM00</t>
  </si>
  <si>
    <t>19LR00</t>
  </si>
  <si>
    <t>19LU00</t>
  </si>
  <si>
    <t>19LV00</t>
  </si>
  <si>
    <t>19LW00</t>
  </si>
  <si>
    <t>19LY00</t>
  </si>
  <si>
    <t>19LY01</t>
  </si>
  <si>
    <t>19MA00</t>
  </si>
  <si>
    <t>19MD00</t>
  </si>
  <si>
    <t>19MF00</t>
  </si>
  <si>
    <t>19MG00</t>
  </si>
  <si>
    <t>19MH00</t>
  </si>
  <si>
    <t>19ML00</t>
  </si>
  <si>
    <t>19MN00</t>
  </si>
  <si>
    <t>19MP00</t>
  </si>
  <si>
    <t>19MR00</t>
  </si>
  <si>
    <t>19MU00</t>
  </si>
  <si>
    <t>19MW00</t>
  </si>
  <si>
    <t>19MY00</t>
  </si>
  <si>
    <t>19MZ00</t>
  </si>
  <si>
    <t>19NA00</t>
  </si>
  <si>
    <t>19NB00</t>
  </si>
  <si>
    <t>19NE00</t>
  </si>
  <si>
    <t>19NH00</t>
  </si>
  <si>
    <t>19NM00</t>
  </si>
  <si>
    <t>19NM01</t>
  </si>
  <si>
    <t>19NN00</t>
  </si>
  <si>
    <t>19NO00</t>
  </si>
  <si>
    <t>19NP00</t>
  </si>
  <si>
    <t>19NQ00</t>
  </si>
  <si>
    <t>19NR00</t>
  </si>
  <si>
    <t>19NS00</t>
  </si>
  <si>
    <t>19NT00</t>
  </si>
  <si>
    <t>19NV00</t>
  </si>
  <si>
    <t>19NW00</t>
  </si>
  <si>
    <t>19NX00</t>
  </si>
  <si>
    <t>19NZ00</t>
  </si>
  <si>
    <t>19OB00</t>
  </si>
  <si>
    <t>19OC00</t>
  </si>
  <si>
    <t>19OE00</t>
  </si>
  <si>
    <t>19OF00</t>
  </si>
  <si>
    <t>19OM00</t>
  </si>
  <si>
    <t>19OQ00</t>
  </si>
  <si>
    <t>19OR00</t>
  </si>
  <si>
    <t>19OY00</t>
  </si>
  <si>
    <t>19QD00</t>
  </si>
  <si>
    <t>19RD00</t>
  </si>
  <si>
    <t>19RG00</t>
  </si>
  <si>
    <t>19RJ00</t>
  </si>
  <si>
    <t>19RK00</t>
  </si>
  <si>
    <t>19RK01</t>
  </si>
  <si>
    <t>19RY00</t>
  </si>
  <si>
    <t>19SF00</t>
  </si>
  <si>
    <t>19SG00</t>
  </si>
  <si>
    <t>19SI00</t>
  </si>
  <si>
    <t>19SZ00</t>
  </si>
  <si>
    <t>19TA00</t>
  </si>
  <si>
    <t>19TB00</t>
  </si>
  <si>
    <t>19TK00</t>
  </si>
  <si>
    <t>19TL00</t>
  </si>
  <si>
    <t>19TM00</t>
  </si>
  <si>
    <t>19TO00</t>
  </si>
  <si>
    <t>19UB00</t>
  </si>
  <si>
    <t>19UC00</t>
  </si>
  <si>
    <t>19UE00</t>
  </si>
  <si>
    <t>19UF00</t>
  </si>
  <si>
    <t>19UH00</t>
  </si>
  <si>
    <t>19UI00</t>
  </si>
  <si>
    <t>19UJ00</t>
  </si>
  <si>
    <t>19UK00</t>
  </si>
  <si>
    <t>19US00</t>
  </si>
  <si>
    <t>19UU00</t>
  </si>
  <si>
    <t>19UZ00</t>
  </si>
  <si>
    <t>19VA00</t>
  </si>
  <si>
    <t>19VB00</t>
  </si>
  <si>
    <t>19VH00</t>
  </si>
  <si>
    <t>19VI00</t>
  </si>
  <si>
    <t>19VJ00</t>
  </si>
  <si>
    <t>19VL00</t>
  </si>
  <si>
    <t>19VP00</t>
  </si>
  <si>
    <t>19VR00</t>
  </si>
  <si>
    <t>19VU00</t>
  </si>
  <si>
    <t>19VX00</t>
  </si>
  <si>
    <t>19VY00</t>
  </si>
  <si>
    <t>19VY01</t>
  </si>
  <si>
    <t>19WE00</t>
  </si>
  <si>
    <t>19WG00</t>
  </si>
  <si>
    <t>19WO00</t>
  </si>
  <si>
    <t>19XU00</t>
  </si>
  <si>
    <t>19YH00</t>
  </si>
  <si>
    <t>19YL00</t>
  </si>
  <si>
    <t>19YO00</t>
  </si>
  <si>
    <t>19YS00</t>
  </si>
  <si>
    <t>19YX00</t>
  </si>
  <si>
    <t>19ZB00</t>
  </si>
  <si>
    <t>19ZE00</t>
  </si>
  <si>
    <t>19ZF00</t>
  </si>
  <si>
    <t>19ZG00</t>
  </si>
  <si>
    <t>19ZH00</t>
  </si>
  <si>
    <t>19ZJ00</t>
  </si>
  <si>
    <t>20BW00</t>
  </si>
  <si>
    <t>20CB00</t>
  </si>
  <si>
    <t>20CV00</t>
  </si>
  <si>
    <t>20CX00</t>
  </si>
  <si>
    <t>20DJ00</t>
  </si>
  <si>
    <t>20DK00</t>
  </si>
  <si>
    <t>20DV00</t>
  </si>
  <si>
    <t>20EL00</t>
  </si>
  <si>
    <t>20FB00</t>
  </si>
  <si>
    <t>20FE00</t>
  </si>
  <si>
    <t>20FG00</t>
  </si>
  <si>
    <t>20FI00</t>
  </si>
  <si>
    <t>20FK00</t>
  </si>
  <si>
    <t>20GP00</t>
  </si>
  <si>
    <t>20GW00</t>
  </si>
  <si>
    <t>20GY00</t>
  </si>
  <si>
    <t>20HA00</t>
  </si>
  <si>
    <t>20HF00</t>
  </si>
  <si>
    <t>20HH00</t>
  </si>
  <si>
    <t>20HJ00</t>
  </si>
  <si>
    <t>20HK00</t>
  </si>
  <si>
    <t>20HL00</t>
  </si>
  <si>
    <t>20HM00</t>
  </si>
  <si>
    <t>20HQ00</t>
  </si>
  <si>
    <t>20IM00</t>
  </si>
  <si>
    <t>20IN00</t>
  </si>
  <si>
    <t>20IQ00</t>
  </si>
  <si>
    <t>20IR00</t>
  </si>
  <si>
    <t>20IT00</t>
  </si>
  <si>
    <t>20IY00</t>
  </si>
  <si>
    <t>20IZ00</t>
  </si>
  <si>
    <t>20JB00</t>
  </si>
  <si>
    <t>20KF00</t>
  </si>
  <si>
    <t>20KR00</t>
  </si>
  <si>
    <t>20KT00</t>
  </si>
  <si>
    <t>20KW00</t>
  </si>
  <si>
    <t>20OQ00</t>
  </si>
  <si>
    <t>20OW00</t>
  </si>
  <si>
    <t>20PN00</t>
  </si>
  <si>
    <t>20SC00</t>
  </si>
  <si>
    <t>20SE00</t>
  </si>
  <si>
    <t>20SG00</t>
  </si>
  <si>
    <t>20SH00</t>
  </si>
  <si>
    <t>20SJ00</t>
  </si>
  <si>
    <t>20SK00</t>
  </si>
  <si>
    <t>20SL00</t>
  </si>
  <si>
    <t>20SZ00</t>
  </si>
  <si>
    <t>20TD00</t>
  </si>
  <si>
    <t>20TN00</t>
  </si>
  <si>
    <t>20TP00</t>
  </si>
  <si>
    <t>20TQ00</t>
  </si>
  <si>
    <t>20TR00</t>
  </si>
  <si>
    <t>20TS00</t>
  </si>
  <si>
    <t>20TT00</t>
  </si>
  <si>
    <t>20TV00</t>
  </si>
  <si>
    <t>20TW00</t>
  </si>
  <si>
    <t>20TX00</t>
  </si>
  <si>
    <t>20TX01</t>
  </si>
  <si>
    <t>20UL00</t>
  </si>
  <si>
    <t>20UO00</t>
  </si>
  <si>
    <t>20UP00</t>
  </si>
  <si>
    <t>20UU00</t>
  </si>
  <si>
    <t>20UV00</t>
  </si>
  <si>
    <t>20UW00</t>
  </si>
  <si>
    <t>20VA00</t>
  </si>
  <si>
    <t>20VB00</t>
  </si>
  <si>
    <t>20VD00</t>
  </si>
  <si>
    <t>20VE00</t>
  </si>
  <si>
    <t>20VF00</t>
  </si>
  <si>
    <t>20VG00</t>
  </si>
  <si>
    <t>20VI00</t>
  </si>
  <si>
    <t>20VJ00</t>
  </si>
  <si>
    <t>20VK00</t>
  </si>
  <si>
    <t>20VN00</t>
  </si>
  <si>
    <t>20VP00</t>
  </si>
  <si>
    <t>20VP01</t>
  </si>
  <si>
    <t>20VU00</t>
  </si>
  <si>
    <t>20VX00</t>
  </si>
  <si>
    <t>20XA00</t>
  </si>
  <si>
    <t>20XO00</t>
  </si>
  <si>
    <t>20XQ00</t>
  </si>
  <si>
    <t>20XR00</t>
  </si>
  <si>
    <t>20XS00</t>
  </si>
  <si>
    <t>20XT00</t>
  </si>
  <si>
    <t>20XU00</t>
  </si>
  <si>
    <t>20XY00</t>
  </si>
  <si>
    <t>20XZ00</t>
  </si>
  <si>
    <t>20YA00</t>
  </si>
  <si>
    <t>20YF00</t>
  </si>
  <si>
    <t>20YG00</t>
  </si>
  <si>
    <t>20ZB00</t>
  </si>
  <si>
    <t>20ZD00</t>
  </si>
  <si>
    <t>20ZE00</t>
  </si>
  <si>
    <t>20ZG00</t>
  </si>
  <si>
    <t>20ZH00</t>
  </si>
  <si>
    <t>20ZR00</t>
  </si>
  <si>
    <t>20ZT00</t>
  </si>
  <si>
    <t>20ZU00</t>
  </si>
  <si>
    <t>20ZV00</t>
  </si>
  <si>
    <t>20ZW00</t>
  </si>
  <si>
    <t>20ZX00</t>
  </si>
  <si>
    <t>20ZZ00</t>
  </si>
  <si>
    <t>21AD00</t>
  </si>
  <si>
    <t>21AG00</t>
  </si>
  <si>
    <t>21AH00</t>
  </si>
  <si>
    <t>21AI00</t>
  </si>
  <si>
    <t>21BF00</t>
  </si>
  <si>
    <t>21BM00</t>
  </si>
  <si>
    <t>21CX00</t>
  </si>
  <si>
    <t>21CZ00</t>
  </si>
  <si>
    <t>21DA00</t>
  </si>
  <si>
    <t>21DL00</t>
  </si>
  <si>
    <t>21DZ00</t>
  </si>
  <si>
    <t>21EI00</t>
  </si>
  <si>
    <t>21KE00</t>
  </si>
  <si>
    <t>21KO00</t>
  </si>
  <si>
    <t>21LO00</t>
  </si>
  <si>
    <t>21LP00</t>
  </si>
  <si>
    <t>21LS00</t>
  </si>
  <si>
    <t>21LT00</t>
  </si>
  <si>
    <t>21LV00</t>
  </si>
  <si>
    <t>21LW00</t>
  </si>
  <si>
    <t>21LX00</t>
  </si>
  <si>
    <t>21MV00</t>
  </si>
  <si>
    <t>21MX00</t>
  </si>
  <si>
    <t>21MY00</t>
  </si>
  <si>
    <t>21NA00</t>
  </si>
  <si>
    <t>21NB00</t>
  </si>
  <si>
    <t>21ND00</t>
  </si>
  <si>
    <t>21NE00</t>
  </si>
  <si>
    <t>21NF00</t>
  </si>
  <si>
    <t>21NH00</t>
  </si>
  <si>
    <t>21NI00</t>
  </si>
  <si>
    <t>21NK00</t>
  </si>
  <si>
    <t>21NL00</t>
  </si>
  <si>
    <t>21NM00</t>
  </si>
  <si>
    <t>21NN00</t>
  </si>
  <si>
    <t>21NN01</t>
  </si>
  <si>
    <t>21NO00</t>
  </si>
  <si>
    <t>21NP00</t>
  </si>
  <si>
    <t>21NR00</t>
  </si>
  <si>
    <t>21NU00</t>
  </si>
  <si>
    <t>21OM00</t>
  </si>
  <si>
    <t>21ON00</t>
  </si>
  <si>
    <t>21OP00</t>
  </si>
  <si>
    <t>21OQ00</t>
  </si>
  <si>
    <t>21OT00</t>
  </si>
  <si>
    <t>21OU00</t>
  </si>
  <si>
    <t>21OV00</t>
  </si>
  <si>
    <t>21OX00</t>
  </si>
  <si>
    <t>21OY00</t>
  </si>
  <si>
    <t>21OZ00</t>
  </si>
  <si>
    <t>21PA00</t>
  </si>
  <si>
    <t>21PO00</t>
  </si>
  <si>
    <t>21PP00</t>
  </si>
  <si>
    <t>21PQ00</t>
  </si>
  <si>
    <t>21PR00</t>
  </si>
  <si>
    <t>21PS00</t>
  </si>
  <si>
    <t>21PU00</t>
  </si>
  <si>
    <t>21QE00</t>
  </si>
  <si>
    <t>21QF00</t>
  </si>
  <si>
    <t>21QG00</t>
  </si>
  <si>
    <t>21QH00</t>
  </si>
  <si>
    <t>21QK00</t>
  </si>
  <si>
    <t>21QN00</t>
  </si>
  <si>
    <t>21QT00</t>
  </si>
  <si>
    <t>21QU00</t>
  </si>
  <si>
    <t>21QV00</t>
  </si>
  <si>
    <t>21QZ00</t>
  </si>
  <si>
    <t>21RD00</t>
  </si>
  <si>
    <t>21RE00</t>
  </si>
  <si>
    <t>21RP00</t>
  </si>
  <si>
    <t>21RQ00</t>
  </si>
  <si>
    <t>21RR00</t>
  </si>
  <si>
    <t>21RS00</t>
  </si>
  <si>
    <t>21RT00</t>
  </si>
  <si>
    <t>21VR00</t>
  </si>
  <si>
    <t>22FC00</t>
  </si>
  <si>
    <t>22FH00</t>
  </si>
  <si>
    <t>22GB00</t>
  </si>
  <si>
    <t>22JB00</t>
  </si>
  <si>
    <t>22JD00</t>
  </si>
  <si>
    <t>22JE00</t>
  </si>
  <si>
    <t>22JG00</t>
  </si>
  <si>
    <t>22JH00</t>
  </si>
  <si>
    <t>22JI00</t>
  </si>
  <si>
    <t>22JJ00</t>
  </si>
  <si>
    <t>22JK00</t>
  </si>
  <si>
    <t>22JM00</t>
  </si>
  <si>
    <t>22JO00</t>
  </si>
  <si>
    <t>22JP00</t>
  </si>
  <si>
    <t>22JQ00</t>
  </si>
  <si>
    <t>22JR00</t>
  </si>
  <si>
    <t>22JV00</t>
  </si>
  <si>
    <t>22JY00</t>
  </si>
  <si>
    <t>22KA00</t>
  </si>
  <si>
    <t>22KB00</t>
  </si>
  <si>
    <t>22KC00</t>
  </si>
  <si>
    <t>22KD00</t>
  </si>
  <si>
    <t>22KE00</t>
  </si>
  <si>
    <t>22KF00</t>
  </si>
  <si>
    <t>22KG00</t>
  </si>
  <si>
    <t>22KH00</t>
  </si>
  <si>
    <t>22KJ00</t>
  </si>
  <si>
    <t>22KK00</t>
  </si>
  <si>
    <t>22KL00</t>
  </si>
  <si>
    <t>22KM00</t>
  </si>
  <si>
    <t>22KN00</t>
  </si>
  <si>
    <t>22KO00</t>
  </si>
  <si>
    <t>22KP00</t>
  </si>
  <si>
    <t>22KS00</t>
  </si>
  <si>
    <t>22KT00</t>
  </si>
  <si>
    <t>22KU00</t>
  </si>
  <si>
    <t>22KV00</t>
  </si>
  <si>
    <t>22KY00</t>
  </si>
  <si>
    <t>22LE00</t>
  </si>
  <si>
    <t>22LI00</t>
  </si>
  <si>
    <t>22LJ00</t>
  </si>
  <si>
    <t>22LK00</t>
  </si>
  <si>
    <t>22LL00</t>
  </si>
  <si>
    <t>22LM00</t>
  </si>
  <si>
    <t>22LN00</t>
  </si>
  <si>
    <t>22LO00</t>
  </si>
  <si>
    <t>22LT00</t>
  </si>
  <si>
    <t>22LV00</t>
  </si>
  <si>
    <t>22LW00</t>
  </si>
  <si>
    <t>22LY00</t>
  </si>
  <si>
    <t>22LZ00</t>
  </si>
  <si>
    <t>22MB00</t>
  </si>
  <si>
    <t>22MD00</t>
  </si>
  <si>
    <t>22MH00</t>
  </si>
  <si>
    <t>22MP00</t>
  </si>
  <si>
    <t>22NL00</t>
  </si>
  <si>
    <t>22NL01</t>
  </si>
  <si>
    <t>22NM00</t>
  </si>
  <si>
    <t>22NT00</t>
  </si>
  <si>
    <t>22NW00</t>
  </si>
  <si>
    <t>22OD00</t>
  </si>
  <si>
    <t>23AL00</t>
  </si>
  <si>
    <t>23AM00</t>
  </si>
  <si>
    <t>23BP00</t>
  </si>
  <si>
    <t>23BT00</t>
  </si>
  <si>
    <t>23BU00</t>
  </si>
  <si>
    <t>23BW00</t>
  </si>
  <si>
    <t>23BX00</t>
  </si>
  <si>
    <t>23BZ00</t>
  </si>
  <si>
    <t>23CA00</t>
  </si>
  <si>
    <t>23CB00</t>
  </si>
  <si>
    <t>23CC00</t>
  </si>
  <si>
    <t>23CD00</t>
  </si>
  <si>
    <t>23CG00</t>
  </si>
  <si>
    <t>23CH00</t>
  </si>
  <si>
    <t>23CJ00</t>
  </si>
  <si>
    <t>23CK00</t>
  </si>
  <si>
    <t>23CM00</t>
  </si>
  <si>
    <t>23CN00</t>
  </si>
  <si>
    <t>23CR00</t>
  </si>
  <si>
    <t>23CT00</t>
  </si>
  <si>
    <t>23CW00</t>
  </si>
  <si>
    <t>23CW01</t>
  </si>
  <si>
    <t>23CZ00</t>
  </si>
  <si>
    <t>23DE00</t>
  </si>
  <si>
    <t>23DF00</t>
  </si>
  <si>
    <t>23DH00</t>
  </si>
  <si>
    <t>23DJ00</t>
  </si>
  <si>
    <t>23DK00</t>
  </si>
  <si>
    <t>23DM00</t>
  </si>
  <si>
    <t>23DR00</t>
  </si>
  <si>
    <t>23DU00</t>
  </si>
  <si>
    <t>23DW00</t>
  </si>
  <si>
    <t>23DX00</t>
  </si>
  <si>
    <t>23DY00</t>
  </si>
  <si>
    <t>23DZ00</t>
  </si>
  <si>
    <t>23EA00</t>
  </si>
  <si>
    <t>23EC00</t>
  </si>
  <si>
    <t>23ED00</t>
  </si>
  <si>
    <t>23ED01</t>
  </si>
  <si>
    <t>23EE00</t>
  </si>
  <si>
    <t>23EF00</t>
  </si>
  <si>
    <t>23EK00</t>
  </si>
  <si>
    <t>23EL00</t>
  </si>
  <si>
    <t>23EM00</t>
  </si>
  <si>
    <t>23EN00</t>
  </si>
  <si>
    <t>23EU00</t>
  </si>
  <si>
    <t>23EV00</t>
  </si>
  <si>
    <t>23EW00</t>
  </si>
  <si>
    <t>23EX00</t>
  </si>
  <si>
    <t>23EY00</t>
  </si>
  <si>
    <t>23FB00</t>
  </si>
  <si>
    <t>23FD00</t>
  </si>
  <si>
    <t>23FD01</t>
  </si>
  <si>
    <t>23FE00</t>
  </si>
  <si>
    <t>23FF00</t>
  </si>
  <si>
    <t>23FG00</t>
  </si>
  <si>
    <t>23FH00</t>
  </si>
  <si>
    <t>23FM00</t>
  </si>
  <si>
    <t>23GV00</t>
  </si>
  <si>
    <t>23GW00</t>
  </si>
  <si>
    <t>23HA00</t>
  </si>
  <si>
    <t>23HE00</t>
  </si>
  <si>
    <t>23HR00</t>
  </si>
  <si>
    <t>23JH00</t>
  </si>
  <si>
    <t>23PC00</t>
  </si>
  <si>
    <t>23PD00</t>
  </si>
  <si>
    <t>23PE00</t>
  </si>
  <si>
    <t>23PF00</t>
  </si>
  <si>
    <t>23PG00</t>
  </si>
  <si>
    <t>23PH00</t>
  </si>
  <si>
    <t>23PJ00</t>
  </si>
  <si>
    <t>23PN00</t>
  </si>
  <si>
    <t>23PP00</t>
  </si>
  <si>
    <t>23PR00</t>
  </si>
  <si>
    <t>23PT00</t>
  </si>
  <si>
    <t>23PU00</t>
  </si>
  <si>
    <t>23PV00</t>
  </si>
  <si>
    <t>23PY00</t>
  </si>
  <si>
    <t>23RA00</t>
  </si>
  <si>
    <t>23RC00</t>
  </si>
  <si>
    <t>23RD00</t>
  </si>
  <si>
    <t>23RE00</t>
  </si>
  <si>
    <t>23RF00</t>
  </si>
  <si>
    <t>23RG00</t>
  </si>
  <si>
    <t>23RH00</t>
  </si>
  <si>
    <t>23RJ00</t>
  </si>
  <si>
    <t>23RK00</t>
  </si>
  <si>
    <t>23RL00</t>
  </si>
  <si>
    <t>23RM00</t>
  </si>
  <si>
    <t>23RR00</t>
  </si>
  <si>
    <t>23RT00</t>
  </si>
  <si>
    <t>23RW00</t>
  </si>
  <si>
    <t>23RX00</t>
  </si>
  <si>
    <t>23RY00</t>
  </si>
  <si>
    <t>23TA00</t>
  </si>
  <si>
    <t>23TB00</t>
  </si>
  <si>
    <t>23TE00</t>
  </si>
  <si>
    <t>23TJ00</t>
  </si>
  <si>
    <t>23TK00</t>
  </si>
  <si>
    <t>23TL00</t>
  </si>
  <si>
    <t>23TM00</t>
  </si>
  <si>
    <t>23TN00</t>
  </si>
  <si>
    <t>23TP00</t>
  </si>
  <si>
    <t>23TT00</t>
  </si>
  <si>
    <t>23TW00</t>
  </si>
  <si>
    <t>23TX00</t>
  </si>
  <si>
    <t>23UB00</t>
  </si>
  <si>
    <t>23UC00</t>
  </si>
  <si>
    <t>23UE00</t>
  </si>
  <si>
    <t>23UF00</t>
  </si>
  <si>
    <t>23UH00</t>
  </si>
  <si>
    <t>23UL00</t>
  </si>
  <si>
    <t>23UN00</t>
  </si>
  <si>
    <t>23UP00</t>
  </si>
  <si>
    <t>23UT00</t>
  </si>
  <si>
    <t>23UW00</t>
  </si>
  <si>
    <t>23UX00</t>
  </si>
  <si>
    <t>23UY00</t>
  </si>
  <si>
    <t>23VF00</t>
  </si>
  <si>
    <t>23VG00</t>
  </si>
  <si>
    <t>23VH00</t>
  </si>
  <si>
    <t>23VU00</t>
  </si>
  <si>
    <t>23WG00</t>
  </si>
  <si>
    <t>23WR00</t>
  </si>
  <si>
    <t>23XP00</t>
  </si>
  <si>
    <t>23ZH00</t>
  </si>
  <si>
    <t>23ZJ00</t>
  </si>
  <si>
    <t>23ZL00</t>
  </si>
  <si>
    <t>23ZM00</t>
  </si>
  <si>
    <t>23ZU00</t>
  </si>
  <si>
    <t>23ZV00</t>
  </si>
  <si>
    <t>23ZW00</t>
  </si>
  <si>
    <t>23ZX00</t>
  </si>
  <si>
    <t>23ZY00</t>
  </si>
  <si>
    <t>23ZZ00</t>
  </si>
  <si>
    <t>24AA00</t>
  </si>
  <si>
    <t>24AB00</t>
  </si>
  <si>
    <t>24AC00</t>
  </si>
  <si>
    <t>24AD00</t>
  </si>
  <si>
    <t>24AE00</t>
  </si>
  <si>
    <t>24AF00</t>
  </si>
  <si>
    <t>24AG00</t>
  </si>
  <si>
    <t>24AM00</t>
  </si>
  <si>
    <t>24AR00</t>
  </si>
  <si>
    <t>24AY00</t>
  </si>
  <si>
    <t>24AZ00</t>
  </si>
  <si>
    <t>24BA00</t>
  </si>
  <si>
    <t>24BD00</t>
  </si>
  <si>
    <t>24BE00</t>
  </si>
  <si>
    <t>24BF00</t>
  </si>
  <si>
    <t>24BL00</t>
  </si>
  <si>
    <t>24BM00</t>
  </si>
  <si>
    <t>24BN00</t>
  </si>
  <si>
    <t>24BP00</t>
  </si>
  <si>
    <t>24BR00</t>
  </si>
  <si>
    <t>24CN00</t>
  </si>
  <si>
    <t>24CP00</t>
  </si>
  <si>
    <t>24CR00</t>
  </si>
  <si>
    <t>24CT00</t>
  </si>
  <si>
    <t>24CZ00</t>
  </si>
  <si>
    <t>24DA00</t>
  </si>
  <si>
    <t>24DB00</t>
  </si>
  <si>
    <t>24DH00</t>
  </si>
  <si>
    <t>24DP00</t>
  </si>
  <si>
    <t>24DR00</t>
  </si>
  <si>
    <t>24DV00</t>
  </si>
  <si>
    <t>24DW00</t>
  </si>
  <si>
    <t>24DX00</t>
  </si>
  <si>
    <t>24EC00</t>
  </si>
  <si>
    <t>24ED00</t>
  </si>
  <si>
    <t>24EE00</t>
  </si>
  <si>
    <t>24EG00</t>
  </si>
  <si>
    <t>24EJ00</t>
  </si>
  <si>
    <t>24EJ01</t>
  </si>
  <si>
    <t>24EJ02</t>
  </si>
  <si>
    <t>24EL00</t>
  </si>
  <si>
    <t>24ER00</t>
  </si>
  <si>
    <t>24ET00</t>
  </si>
  <si>
    <t>24EY00</t>
  </si>
  <si>
    <t>24FE00</t>
  </si>
  <si>
    <t>24FK00</t>
  </si>
  <si>
    <t>24FP00</t>
  </si>
  <si>
    <t>24JC00</t>
  </si>
  <si>
    <t>24JD00</t>
  </si>
  <si>
    <t>24JJ00</t>
  </si>
  <si>
    <t>24MB00</t>
  </si>
  <si>
    <t>24MK00</t>
  </si>
  <si>
    <t>24MR00</t>
  </si>
  <si>
    <t>24MU00</t>
  </si>
  <si>
    <t>24MW00</t>
  </si>
  <si>
    <t>24MW02</t>
  </si>
  <si>
    <t>24MW04</t>
  </si>
  <si>
    <t>24MY00</t>
  </si>
  <si>
    <t>24MZ00</t>
  </si>
  <si>
    <t>24NB00</t>
  </si>
  <si>
    <t>24NK00</t>
  </si>
  <si>
    <t>24NL00</t>
  </si>
  <si>
    <t>24NM00</t>
  </si>
  <si>
    <t>24NN00</t>
  </si>
  <si>
    <t>24NP00</t>
  </si>
  <si>
    <t>24NT00</t>
  </si>
  <si>
    <t>24NV00</t>
  </si>
  <si>
    <t>24NX00</t>
  </si>
  <si>
    <t>24NY00</t>
  </si>
  <si>
    <t>24NZ00</t>
  </si>
  <si>
    <t>24PA00</t>
  </si>
  <si>
    <t>24PB00</t>
  </si>
  <si>
    <t>24PC00</t>
  </si>
  <si>
    <t>24PE00</t>
  </si>
  <si>
    <t>24PU00</t>
  </si>
  <si>
    <t>24PV00</t>
  </si>
  <si>
    <t>24PX00</t>
  </si>
  <si>
    <t>24RA00</t>
  </si>
  <si>
    <t>24RB00</t>
  </si>
  <si>
    <t>24RH00</t>
  </si>
  <si>
    <t>24RK00</t>
  </si>
  <si>
    <t>24RM00</t>
  </si>
  <si>
    <t>24RN00</t>
  </si>
  <si>
    <t>24RU00</t>
  </si>
  <si>
    <t>24RZ00</t>
  </si>
  <si>
    <t>24TA00</t>
  </si>
  <si>
    <t>24TB00</t>
  </si>
  <si>
    <t>24TC00</t>
  </si>
  <si>
    <t>24TL00</t>
  </si>
  <si>
    <t>24TZ00</t>
  </si>
  <si>
    <t>24UA00</t>
  </si>
  <si>
    <t>24UE00</t>
  </si>
  <si>
    <t>24UN00</t>
  </si>
  <si>
    <t>24ZB00</t>
  </si>
  <si>
    <t>24ZC00</t>
  </si>
  <si>
    <t>24ZD00</t>
  </si>
  <si>
    <t>24ZE00</t>
  </si>
  <si>
    <t>24ZH00</t>
  </si>
  <si>
    <t>24ZJ00</t>
  </si>
  <si>
    <t>24ZK00</t>
  </si>
  <si>
    <t>25CF00</t>
  </si>
  <si>
    <t>25DE00</t>
  </si>
  <si>
    <t>25GH00</t>
  </si>
  <si>
    <t>25GJ00</t>
  </si>
  <si>
    <t>25GK00</t>
  </si>
  <si>
    <t>25GN00</t>
  </si>
  <si>
    <t>25KC00</t>
  </si>
  <si>
    <t>25KD00</t>
  </si>
  <si>
    <t>25KE00</t>
  </si>
  <si>
    <t>25KF00</t>
  </si>
  <si>
    <t>25KG00</t>
  </si>
  <si>
    <t>25KH00</t>
  </si>
  <si>
    <t>25KJ00</t>
  </si>
  <si>
    <t>25KL00</t>
  </si>
  <si>
    <t>25KM00</t>
  </si>
  <si>
    <t>25KN00</t>
  </si>
  <si>
    <t>25KP00</t>
  </si>
  <si>
    <t>25KR00</t>
  </si>
  <si>
    <t>25KT00</t>
  </si>
  <si>
    <t>25KU00</t>
  </si>
  <si>
    <t>25KV00</t>
  </si>
  <si>
    <t>26AA00</t>
  </si>
  <si>
    <t>26AB00</t>
  </si>
  <si>
    <t>26AC00</t>
  </si>
  <si>
    <t>26AD00</t>
  </si>
  <si>
    <t>26AE00</t>
  </si>
  <si>
    <t>26AF00</t>
  </si>
  <si>
    <t>26AG00</t>
  </si>
  <si>
    <t>26AH00</t>
  </si>
  <si>
    <t>26AJ00</t>
  </si>
  <si>
    <t>26AL00</t>
  </si>
  <si>
    <t>26AM00</t>
  </si>
  <si>
    <t>26AN00</t>
  </si>
  <si>
    <t>26AP00</t>
  </si>
  <si>
    <t>26AR00</t>
  </si>
  <si>
    <t>26AT00</t>
  </si>
  <si>
    <t>26AU00</t>
  </si>
  <si>
    <t>26AV00</t>
  </si>
  <si>
    <t>26AW00</t>
  </si>
  <si>
    <t>26AX00</t>
  </si>
  <si>
    <t>26AY00</t>
  </si>
  <si>
    <t>26AZ00</t>
  </si>
  <si>
    <t>26BA00</t>
  </si>
  <si>
    <t>26BB00</t>
  </si>
  <si>
    <t>26BC00</t>
  </si>
  <si>
    <t>26BD00</t>
  </si>
  <si>
    <t>26PD00</t>
  </si>
  <si>
    <t>26PE00</t>
  </si>
  <si>
    <t>26PF00</t>
  </si>
  <si>
    <t>26PH00</t>
  </si>
  <si>
    <t>26PJ00</t>
  </si>
  <si>
    <t>26PK00</t>
  </si>
  <si>
    <t>26PL00</t>
  </si>
  <si>
    <t>26PM00</t>
  </si>
  <si>
    <t>26PN00</t>
  </si>
  <si>
    <t>26PP00</t>
  </si>
  <si>
    <t>26PR00</t>
  </si>
  <si>
    <t>26PT00</t>
  </si>
  <si>
    <t>26PU00</t>
  </si>
  <si>
    <t>26PV00</t>
  </si>
  <si>
    <t>26PW00</t>
  </si>
  <si>
    <t>26PX00</t>
  </si>
  <si>
    <t>26PY00</t>
  </si>
  <si>
    <t>26PZ00</t>
  </si>
  <si>
    <t>26RA00</t>
  </si>
  <si>
    <t>26RK00</t>
  </si>
  <si>
    <t>26ZZ00</t>
  </si>
  <si>
    <t>27AA00</t>
  </si>
  <si>
    <t>27AK00</t>
  </si>
  <si>
    <t>27BM00</t>
  </si>
  <si>
    <t>27BN00</t>
  </si>
  <si>
    <t>27CA00</t>
  </si>
  <si>
    <t>27CB00</t>
  </si>
  <si>
    <t>27CC00</t>
  </si>
  <si>
    <t>27CD00</t>
  </si>
  <si>
    <t>27CE00</t>
  </si>
  <si>
    <t>27CF00</t>
  </si>
  <si>
    <t>27CG00</t>
  </si>
  <si>
    <t>27CH00</t>
  </si>
  <si>
    <t>27CJ00</t>
  </si>
  <si>
    <t>27CK00</t>
  </si>
  <si>
    <t>27CL00</t>
  </si>
  <si>
    <t>27CM00</t>
  </si>
  <si>
    <t>27CN00</t>
  </si>
  <si>
    <t>27CP00</t>
  </si>
  <si>
    <t>27CR00</t>
  </si>
  <si>
    <t>27CT00</t>
  </si>
  <si>
    <t>27JH00</t>
  </si>
  <si>
    <t>27JJ00</t>
  </si>
  <si>
    <t>27JK00</t>
  </si>
  <si>
    <t>27JN00</t>
  </si>
  <si>
    <t>27JP00</t>
  </si>
  <si>
    <t>27JR00</t>
  </si>
  <si>
    <t>27JT00</t>
  </si>
  <si>
    <t>27JU00</t>
  </si>
  <si>
    <t>27JV00</t>
  </si>
  <si>
    <t>27JW00</t>
  </si>
  <si>
    <t>27JX00</t>
  </si>
  <si>
    <t>27KA00</t>
  </si>
  <si>
    <t>27KE00</t>
  </si>
  <si>
    <t>27LH00</t>
  </si>
  <si>
    <t>27LJ00</t>
  </si>
  <si>
    <t>27LR00</t>
  </si>
  <si>
    <t>27LT00</t>
  </si>
  <si>
    <t>27LU00</t>
  </si>
  <si>
    <t>27LV00</t>
  </si>
  <si>
    <t>27LW00</t>
  </si>
  <si>
    <t>27LX00</t>
  </si>
  <si>
    <t>27LY00</t>
  </si>
  <si>
    <t>27LZ00</t>
  </si>
  <si>
    <t>27MA00</t>
  </si>
  <si>
    <t>27MB00</t>
  </si>
  <si>
    <t>27MC00</t>
  </si>
  <si>
    <t>27ME00</t>
  </si>
  <si>
    <t>27MG00</t>
  </si>
  <si>
    <t>27MH00</t>
  </si>
  <si>
    <t>27ML00</t>
  </si>
  <si>
    <t>27NL00</t>
  </si>
  <si>
    <t>27NM00</t>
  </si>
  <si>
    <t>27NN00</t>
  </si>
  <si>
    <t>27NP00</t>
  </si>
  <si>
    <t>27NR00</t>
  </si>
  <si>
    <t>27NT00</t>
  </si>
  <si>
    <t>27NU00</t>
  </si>
  <si>
    <t>27NV00</t>
  </si>
  <si>
    <t>27NW00</t>
  </si>
  <si>
    <t>27NX00</t>
  </si>
  <si>
    <t>27NY00</t>
  </si>
  <si>
    <t>27NZ00</t>
  </si>
  <si>
    <t>27PA00</t>
  </si>
  <si>
    <t>27PB00</t>
  </si>
  <si>
    <t>27PC00</t>
  </si>
  <si>
    <t>27PD00</t>
  </si>
  <si>
    <t>27PE00</t>
  </si>
  <si>
    <t>27PF00</t>
  </si>
  <si>
    <t>27PG00</t>
  </si>
  <si>
    <t>27PH00</t>
  </si>
  <si>
    <t>27PK00</t>
  </si>
  <si>
    <t>27PN00</t>
  </si>
  <si>
    <t>27PR00</t>
  </si>
  <si>
    <t>27PR02</t>
  </si>
  <si>
    <t>27PT00</t>
  </si>
  <si>
    <t>27PU00</t>
  </si>
  <si>
    <t>27PW00</t>
  </si>
  <si>
    <t>27PX00</t>
  </si>
  <si>
    <t>27RK00</t>
  </si>
  <si>
    <t>27RL00</t>
  </si>
  <si>
    <t>27RM00</t>
  </si>
  <si>
    <t>27RN00</t>
  </si>
  <si>
    <t>27RP00</t>
  </si>
  <si>
    <t>27RT00</t>
  </si>
  <si>
    <t>27RU00</t>
  </si>
  <si>
    <t>27TZ00</t>
  </si>
  <si>
    <t>27UA00</t>
  </si>
  <si>
    <t>27UB00</t>
  </si>
  <si>
    <t>27UC00</t>
  </si>
  <si>
    <t>27UE00</t>
  </si>
  <si>
    <t>27UZ00</t>
  </si>
  <si>
    <t>27VA00</t>
  </si>
  <si>
    <t>27WY00</t>
  </si>
  <si>
    <t>27WZ00</t>
  </si>
  <si>
    <t>27XA00</t>
  </si>
  <si>
    <t>27XB00</t>
  </si>
  <si>
    <t>27XC00</t>
  </si>
  <si>
    <t>27XD00</t>
  </si>
  <si>
    <t>27XE00</t>
  </si>
  <si>
    <t>27XG00</t>
  </si>
  <si>
    <t>27XH00</t>
  </si>
  <si>
    <t>27XJ00</t>
  </si>
  <si>
    <t>27XK00</t>
  </si>
  <si>
    <t>27YB00</t>
  </si>
  <si>
    <t>27YC00</t>
  </si>
  <si>
    <t>27YD00</t>
  </si>
  <si>
    <t>27YE00</t>
  </si>
  <si>
    <t>27YF00</t>
  </si>
  <si>
    <t>27YG00</t>
  </si>
  <si>
    <t>27YH00</t>
  </si>
  <si>
    <t>27YJ00</t>
  </si>
  <si>
    <t>27YK00</t>
  </si>
  <si>
    <t>27YN00</t>
  </si>
  <si>
    <t>27YP00</t>
  </si>
  <si>
    <t>27YV00</t>
  </si>
  <si>
    <t>27YW00</t>
  </si>
  <si>
    <t>27YZ00</t>
  </si>
  <si>
    <t>27ZA00</t>
  </si>
  <si>
    <t>28AE00</t>
  </si>
  <si>
    <t>28AF00</t>
  </si>
  <si>
    <t>28AG00</t>
  </si>
  <si>
    <t>28AJ00</t>
  </si>
  <si>
    <t>28AK00</t>
  </si>
  <si>
    <t>28AL00</t>
  </si>
  <si>
    <t>28AM00</t>
  </si>
  <si>
    <t>28AN00</t>
  </si>
  <si>
    <t>28AP00</t>
  </si>
  <si>
    <t>28AU00</t>
  </si>
  <si>
    <t>28AV00</t>
  </si>
  <si>
    <t>28AW00</t>
  </si>
  <si>
    <t>28BA00</t>
  </si>
  <si>
    <t>28BC00</t>
  </si>
  <si>
    <t>28BF00</t>
  </si>
  <si>
    <t>28BG00</t>
  </si>
  <si>
    <t>28BH00</t>
  </si>
  <si>
    <t>28BJ00</t>
  </si>
  <si>
    <t>28BL00</t>
  </si>
  <si>
    <t>28BP00</t>
  </si>
  <si>
    <t>28BZ00</t>
  </si>
  <si>
    <t>28CD00</t>
  </si>
  <si>
    <t>28CE00</t>
  </si>
  <si>
    <t>28CF00</t>
  </si>
  <si>
    <t>28CG00</t>
  </si>
  <si>
    <t>28CH00</t>
  </si>
  <si>
    <t>28CK00</t>
  </si>
  <si>
    <t>28CL00</t>
  </si>
  <si>
    <t>28CY00</t>
  </si>
  <si>
    <t>28CZ00</t>
  </si>
  <si>
    <t>28DA00</t>
  </si>
  <si>
    <t>28DC00</t>
  </si>
  <si>
    <t>28DD00</t>
  </si>
  <si>
    <t>29RV00</t>
  </si>
  <si>
    <t>29TM00</t>
  </si>
  <si>
    <t>29TN00</t>
  </si>
  <si>
    <t>29TZ00</t>
  </si>
  <si>
    <t>29UA00</t>
  </si>
  <si>
    <t>29UB00</t>
  </si>
  <si>
    <t>29UC00</t>
  </si>
  <si>
    <t>29UG00</t>
  </si>
  <si>
    <t>29UL00</t>
  </si>
  <si>
    <t>29UM00</t>
  </si>
  <si>
    <t>29XB00</t>
  </si>
  <si>
    <t>29XC00</t>
  </si>
  <si>
    <t>29XE00</t>
  </si>
  <si>
    <t>29XF00</t>
  </si>
  <si>
    <t>29XG00</t>
  </si>
  <si>
    <t>29XH00</t>
  </si>
  <si>
    <t>29XJ00</t>
  </si>
  <si>
    <t>29XL00</t>
  </si>
  <si>
    <t>29XN00</t>
  </si>
  <si>
    <t>29XP00</t>
  </si>
  <si>
    <t>29XR00</t>
  </si>
  <si>
    <t>29XV00</t>
  </si>
  <si>
    <t>29XW00</t>
  </si>
  <si>
    <t>29XY00</t>
  </si>
  <si>
    <t>29XZ00</t>
  </si>
  <si>
    <t>29YC00</t>
  </si>
  <si>
    <t>29YC01</t>
  </si>
  <si>
    <t>29YD00</t>
  </si>
  <si>
    <t>29YF00</t>
  </si>
  <si>
    <t>29YJ00</t>
  </si>
  <si>
    <t>30AF00</t>
  </si>
  <si>
    <t>30AG00</t>
  </si>
  <si>
    <t>30AH00</t>
  </si>
  <si>
    <t>30AJ00</t>
  </si>
  <si>
    <t>30AK00</t>
  </si>
  <si>
    <t>30AL00</t>
  </si>
  <si>
    <t>30AR00</t>
  </si>
  <si>
    <t>30AZ00</t>
  </si>
  <si>
    <t>30BA00</t>
  </si>
  <si>
    <t>30BB00</t>
  </si>
  <si>
    <t>30FG00</t>
  </si>
  <si>
    <t>30FL00</t>
  </si>
  <si>
    <t>30FM00</t>
  </si>
  <si>
    <t>30FU00</t>
  </si>
  <si>
    <t>30FV00</t>
  </si>
  <si>
    <t>30FX00</t>
  </si>
  <si>
    <t>30FY00</t>
  </si>
  <si>
    <t>30FZ00</t>
  </si>
  <si>
    <t>30GF00</t>
  </si>
  <si>
    <t>30GJ00</t>
  </si>
  <si>
    <t>30GY00</t>
  </si>
  <si>
    <t>30JP00</t>
  </si>
  <si>
    <t>30JR00</t>
  </si>
  <si>
    <t>30JU00</t>
  </si>
  <si>
    <t>30JV00</t>
  </si>
  <si>
    <t>30JZ00</t>
  </si>
  <si>
    <t>30KD00</t>
  </si>
  <si>
    <t>30KE00</t>
  </si>
  <si>
    <t>30KF00</t>
  </si>
  <si>
    <t>30KN00</t>
  </si>
  <si>
    <t>30PE00</t>
  </si>
  <si>
    <t>30PF00</t>
  </si>
  <si>
    <t>30PM00</t>
  </si>
  <si>
    <t>30PW00</t>
  </si>
  <si>
    <t>30RD00</t>
  </si>
  <si>
    <t>30RE00</t>
  </si>
  <si>
    <t>30RH00</t>
  </si>
  <si>
    <t>30RJ00</t>
  </si>
  <si>
    <t>30RL00</t>
  </si>
  <si>
    <t>30TE00</t>
  </si>
  <si>
    <t>30TF00</t>
  </si>
  <si>
    <t>30UE00</t>
  </si>
  <si>
    <t>30UF00</t>
  </si>
  <si>
    <t>30UN00</t>
  </si>
  <si>
    <t>30UP00</t>
  </si>
  <si>
    <t>30UR00</t>
  </si>
  <si>
    <t>30UT00</t>
  </si>
  <si>
    <t>30UX00</t>
  </si>
  <si>
    <t>30UY00</t>
  </si>
  <si>
    <t>30UZ00</t>
  </si>
  <si>
    <t>30VA00</t>
  </si>
  <si>
    <t>30VB00</t>
  </si>
  <si>
    <t>30VC00</t>
  </si>
  <si>
    <t>30VD00</t>
  </si>
  <si>
    <t>30WX00</t>
  </si>
  <si>
    <t>30WY00</t>
  </si>
  <si>
    <t>30XB00</t>
  </si>
  <si>
    <t>30XC00</t>
  </si>
  <si>
    <t>30XD00</t>
  </si>
  <si>
    <t>30XK00</t>
  </si>
  <si>
    <t>30XM00</t>
  </si>
  <si>
    <t>30XT00</t>
  </si>
  <si>
    <t>31AE00</t>
  </si>
  <si>
    <t>31AG00</t>
  </si>
  <si>
    <t>31AH00</t>
  </si>
  <si>
    <t>31AW00</t>
  </si>
  <si>
    <t>31AX00</t>
  </si>
  <si>
    <t>31AZ00</t>
  </si>
  <si>
    <t>31BJ00</t>
  </si>
  <si>
    <t>31BK00</t>
  </si>
  <si>
    <t>31BR00</t>
  </si>
  <si>
    <t>31CJ00</t>
  </si>
  <si>
    <t>31DE00</t>
  </si>
  <si>
    <t>31DF00</t>
  </si>
  <si>
    <t>31DH00</t>
  </si>
  <si>
    <t>31DJ00</t>
  </si>
  <si>
    <t>31DM00</t>
  </si>
  <si>
    <t>31DN00</t>
  </si>
  <si>
    <t>31DP00</t>
  </si>
  <si>
    <t>31DV00</t>
  </si>
  <si>
    <t>31EC00</t>
  </si>
  <si>
    <t>31ET00</t>
  </si>
  <si>
    <t>31FJ00</t>
  </si>
  <si>
    <t>31FK00</t>
  </si>
  <si>
    <t>31FM00</t>
  </si>
  <si>
    <t>31FN00</t>
  </si>
  <si>
    <t>31FT00</t>
  </si>
  <si>
    <t>31FU00</t>
  </si>
  <si>
    <t>31GH00</t>
  </si>
  <si>
    <t>31GW00</t>
  </si>
  <si>
    <t>31GX00</t>
  </si>
  <si>
    <t>31JD00</t>
  </si>
  <si>
    <t>31JE00</t>
  </si>
  <si>
    <t>31JF00</t>
  </si>
  <si>
    <t>31JG00</t>
  </si>
  <si>
    <t>31JK00</t>
  </si>
  <si>
    <t>31JL00</t>
  </si>
  <si>
    <t>31JN00</t>
  </si>
  <si>
    <t>31JR00</t>
  </si>
  <si>
    <t>31JT00</t>
  </si>
  <si>
    <t>31JX00</t>
  </si>
  <si>
    <t>31KB00</t>
  </si>
  <si>
    <t>Bron: CBS</t>
  </si>
  <si>
    <t>a De achterstandsscore van een basisschool is onvoldoende betrouwbaar omdat de score is gebaseerd op te weinig (&lt;= 40) leerlingen.</t>
  </si>
  <si>
    <t xml:space="preserve">Achterstandsscore </t>
  </si>
  <si>
    <t>Overgangsbekostiging onderwijsachterstandenbestrijding</t>
  </si>
  <si>
    <t>formule A</t>
  </si>
  <si>
    <t>formule B</t>
  </si>
  <si>
    <t>Gegevens voor bepaling materiële instandhouding (o.b.v. kalenderjaar) in verband met overgangsregeling OAB</t>
  </si>
  <si>
    <t>Schoolgewicht</t>
  </si>
  <si>
    <t>percentage als (A-B)&gt;0</t>
  </si>
  <si>
    <t>percentage als (A-B)&lt;0</t>
  </si>
  <si>
    <t xml:space="preserve">Met van toepassing zijnde percentage </t>
  </si>
  <si>
    <t>percentage aanpassing factor A</t>
  </si>
  <si>
    <t>Overgangsbekostiging</t>
  </si>
  <si>
    <t>Verschil A-B</t>
  </si>
  <si>
    <t>Zie:</t>
  </si>
  <si>
    <t>formatie</t>
  </si>
  <si>
    <t>Afdeling internationaal georiënteerd onderwijs</t>
  </si>
  <si>
    <t>internationaal georiënteerd onderwijs</t>
  </si>
  <si>
    <t>budget BOA (onderwijsachterstanden o.b.v. score)</t>
  </si>
  <si>
    <t>2025/26</t>
  </si>
  <si>
    <t>2026/27</t>
  </si>
  <si>
    <t xml:space="preserve">De belangrijkste verandering in het instrument betreft de verwerking van het nieuwe achterstandsbeleid. In plaats van de gewichtenregeling is nu de </t>
  </si>
  <si>
    <t xml:space="preserve">achterstandsscore bepalend voor de toekenning van extra middelen voor de bestrijding van onderwijssachterstanden als gevolg van sociaal-economische </t>
  </si>
  <si>
    <t>en -culturele omstandigheden.</t>
  </si>
  <si>
    <t xml:space="preserve">Dit gaat gepaard met een overgangsregeling die gebruikt maakt van gegevens van de oude gewichtenregeling zodat nu in feite twee verschillende complexe </t>
  </si>
  <si>
    <t xml:space="preserve">regelingen tegelijkertijd aan de orde zijn. Dit geldt met name voor het schooljaar 2019-2020 en wordt daarna minder complex. </t>
  </si>
  <si>
    <t xml:space="preserve">Voor de ingrijpende vereenvoudiging van de bekostiging PO als zodanig moeten we nog wat geduld hebben: die komt pas per 2023 vanwege de lange </t>
  </si>
  <si>
    <t>parlementaire weg die deze wetswijziging en aanpassingen van diverse regelingen vergt.</t>
  </si>
  <si>
    <t>Maar dan wordt het ook echt een stuk simpeler dan de huidige bekostiging.</t>
  </si>
  <si>
    <t xml:space="preserve">Voor het overgrote deel van de basisscholen betekent de invoering van de achterstandsscore een aanzienlijke vereenvoudiging omdat de bepaling van het </t>
  </si>
  <si>
    <t xml:space="preserve">gewicht van een leerling nu niet langer nodig is. Elk jaar wordt nu een tabel geleverd waarin elke school zijn eigen achterstandsscore kan vinden. Maar die </t>
  </si>
  <si>
    <t xml:space="preserve">achterstandsscore zelf is niet langer zelf te bepalen: Het CBS bepaalt die aan de hand van talrijke databestanden waarover zij kunnen beschikken en die </t>
  </si>
  <si>
    <t xml:space="preserve">We moeten en kunnen er op vertrouwen dat het CBS die score zorgvuldig en juist berekend. </t>
  </si>
  <si>
    <t>Uiteraard is er toch al sprake van enige complexiteit, namelijk waneer een school één of meer nevenvestigingen heeft of te maken heeft met een fusie.</t>
  </si>
  <si>
    <t xml:space="preserve">Dan immers moeten achterstandsscores van afzonderlijk vestigingen samengevoegd worden en dat kan wat problematisch zijn. Als elke afzonderlijke vestiging </t>
  </si>
  <si>
    <t xml:space="preserve">een achterstandsscore met drempel heeft, is er nauwelijks een probleem: de scores kunnen dan bij elkaar worden opgeteld. Maar is de achterstandsscore </t>
  </si>
  <si>
    <t xml:space="preserve">Nu de publicatie van de Eerste Regeling bekostiging personeel PO 2019-2020 is verschenen kan met behulp van de nieuwe bedragen begonnen worden met </t>
  </si>
  <si>
    <t xml:space="preserve">Deze complexiteit betreft met name de basisscholen met een nevenvestiging en daarvan zijn er 122 scholen. Vijf daarvan hebben twee nevenvestigingen </t>
  </si>
  <si>
    <t xml:space="preserve">Het wachten is ook nog op de voortgang bij het cao-overleg. Nu zijn nog de salaris- en andere afspraken van de cao 18-19 van kracht. Zodra de cao 19-20 er is </t>
  </si>
  <si>
    <t xml:space="preserve">komt er een bijgestelde versie van dit instrument. De 'oude' salaristabellen van de CAO PO van 19 juli 2018 zijn nu in dit instrument verwerkt. </t>
  </si>
  <si>
    <t xml:space="preserve">cellen zijn echter overschrijfbaar wanneer de beveiliging er af wordt gehaald. Maar wees daar voorzichtig mee want dan verdwijnt ook de formule. </t>
  </si>
  <si>
    <t>De cellen zijn dus in principe beveiligd met een wachtwoord, maar de heel lichtgele cellen kunnen zonder meer worden overschreven.</t>
  </si>
  <si>
    <t>De invoer bij de aangegeven cellen spreekt voor zich. Voor een juiste begroting moeten de witte cellen bij het blad 'geg' worden ingevuld.</t>
  </si>
  <si>
    <t xml:space="preserve">of een (vestiging van een) school in een zogenaamd Impulsgebied staat. Is er sprake van een impulsgebied, dan ontvangt de school een extra bedrag voor </t>
  </si>
  <si>
    <t xml:space="preserve">elke leerling met een gewicht van 0,3 of 1,2. Automatisch wordt op basis van de opgegeven viercijferige postcode bepaald of de vestiging in een </t>
  </si>
  <si>
    <t>impulsgebied ligt. Dat gegeven is nog steeds van belang voor dit schooljaar om het bedrag van de overgangsregeling achterstandsbestrijding te berekenen.</t>
  </si>
  <si>
    <t>In verband met de berekening van het budget materiële instandhouding (Londo) blijft de opgave van het aantal leerlingen NOAT nodig.</t>
  </si>
  <si>
    <t>De gegevens en de prognoses geven alle data die voor de berekening noodzakelijk zijn.</t>
  </si>
  <si>
    <t>gebracht. Dit bedrag wordt via het werkblad "som" overgebracht in het sommatiemodel en ten gunste van de exploitatie van de totale organisatie</t>
  </si>
  <si>
    <t>via het bestuurskantoor gebracht.</t>
  </si>
  <si>
    <t xml:space="preserve">Dit jaar is ook de subsidie voor Internationaal georienteerd onderwijs opgenomen die o.b.v. de opgave van het betreffende aantal leerlingen ervan bij het </t>
  </si>
  <si>
    <t xml:space="preserve">Bij de lasten worden de loonkosten weergegeven die in afzonderlijke werkbladen (dir, op en oop) worden berekend. </t>
  </si>
  <si>
    <t>De baten worden op kalenderjaar berekend conform de Rijksbijdrage, conform de laatst bekende gegevens van de regeling materiële exploitatie.</t>
  </si>
  <si>
    <t>Dit bedrag wordt via het werkblad "som" overgebracht naar het sommatiemodel van de exploitatie van het bestuurskantoor.</t>
  </si>
  <si>
    <t xml:space="preserve">Hiervoor is het vereist dat alle investeringen en de toekomstige investeringen (gedurende tenminste de komende vijf jaren, maar bij </t>
  </si>
  <si>
    <t>Bijvoorbeeld ook in relatie tot de extra middelen voor werkdruk. Suggesties voor verbeteringen hierbij zijn van harte welkom.</t>
  </si>
  <si>
    <t xml:space="preserve">Dit werkblad geeft een overzicht van alle baten en lasten per kalenderjaar en geeft daarmee aan of het resultaat van deze school  </t>
  </si>
  <si>
    <t>In dit werkblad zijn alleen relevante kengetallen opgenomen. In het eerste deel zijn de belangrijkste kengetallen opgenomen.</t>
  </si>
  <si>
    <t>In het tweede deel zijn de financiële kengetallen opgenomen.</t>
  </si>
  <si>
    <r>
      <t xml:space="preserve">De gegevens van dit werkblad kunnen eenvoudig worden getransporteerd naar het </t>
    </r>
    <r>
      <rPr>
        <b/>
        <sz val="10"/>
        <color rgb="FFC00000"/>
        <rFont val="Calibri"/>
        <family val="2"/>
      </rPr>
      <t>Sommatiemodel GELD 2020</t>
    </r>
    <r>
      <rPr>
        <sz val="10"/>
        <rFont val="Calibri"/>
        <family val="2"/>
      </rPr>
      <t xml:space="preserve">. In dit model wordt </t>
    </r>
  </si>
  <si>
    <t>13. Score</t>
  </si>
  <si>
    <t xml:space="preserve">Dit werkblad bevat de achterstandsscore van iedere vestiging basisschool, dus ook van nevenvestigingen. Voor het gebruik ervan is het nodig het complete </t>
  </si>
  <si>
    <t xml:space="preserve">BRINnummer op te geven in het werkblad 'geg', dus ook met de laatste twee cijfers (00, 01, etcetera). </t>
  </si>
  <si>
    <t>Aantal NOAT- leerlingen</t>
  </si>
  <si>
    <t>eigen bijdrage Duurz Inzet (dir, op en oop &gt;8)</t>
  </si>
  <si>
    <t>eigen bijdrage Duurz Inzet (oop&lt;=8))</t>
  </si>
  <si>
    <t xml:space="preserve">niet (allemaal) openbaar zijn. </t>
  </si>
  <si>
    <t>de PO-Raad om een correcte berekening te krijgen.</t>
  </si>
  <si>
    <t>Dit instrument is geschikt voor de basisschool zonder nevenvestigingen. Een basisschool met één of meer nevenvestigingen kan een beroep doen op de helpdesk van</t>
  </si>
  <si>
    <t>Er wordt in dit instrument geen rekening gehouden met de mogelijkheid dat de school bestaat uit een hoofd- en een (door OCW erkende) nevenvestiging.</t>
  </si>
  <si>
    <t xml:space="preserve">In dat geval kan een beroep op de PO-Raad worden gedaan voor hulp. Er zijn dan meer gegevens vereist en veelal moet de achterstandsscore opnieuw </t>
  </si>
  <si>
    <t>worden berekend.</t>
  </si>
  <si>
    <t>werkblad 'geg', hier wordt verwerkt (regel 47).</t>
  </si>
  <si>
    <t>De Regeling jaarverslaggeving onderwijs vereist de aparte opgave van 'baten werk in opdracht van derden'.</t>
  </si>
  <si>
    <t>jaren een raming worden gemaakt.</t>
  </si>
  <si>
    <t>7. Kasstroomoverzicht (liq)</t>
  </si>
  <si>
    <t>Handleiding bij Meerjarenbegroting voor de basisschool 2020</t>
  </si>
  <si>
    <r>
      <t xml:space="preserve">genormeerd aantal groepen (G= A + B + C + </t>
    </r>
    <r>
      <rPr>
        <b/>
        <sz val="10"/>
        <color theme="1"/>
        <rFont val="Calibri"/>
        <family val="2"/>
      </rPr>
      <t>D</t>
    </r>
    <r>
      <rPr>
        <sz val="10"/>
        <color theme="1"/>
        <rFont val="Calibri"/>
        <family val="2"/>
      </rPr>
      <t>)</t>
    </r>
  </si>
  <si>
    <t>genormeerd aantal groepen (G = A + B + C)</t>
  </si>
  <si>
    <t xml:space="preserve">op 0 gesteld - en dat gebeurd ook als de achterstandsscore met drempel kleiner dan 0 is - dan moet de score met drempel opnieuw worden vastgesteld voor </t>
  </si>
  <si>
    <t>de school als geheel wanneer er sprake is van een kleinescholentoeslag in verband met de opslag voor een nevenvestiging (75%).</t>
  </si>
  <si>
    <t>en één heeft drie nevenvestigingen. Zij kunnen een beroep doen op de helpdesk van de PO-Raad om hen bij te staan.</t>
  </si>
  <si>
    <t xml:space="preserve">het maken van de meerjarenbegroting 2020. Op zich zijn de bedragen nauwelijks hoger dan die van de vorige (tweede regeling 18-19), namelijk 0,049% voor </t>
  </si>
  <si>
    <t>de GPL van de leerkracht.</t>
  </si>
  <si>
    <r>
      <t xml:space="preserve">Voor het eerste jaar 2019-2020 wordt de GGL (werkblad 'pers' cel H14)gelijk gesteld aan die van </t>
    </r>
    <r>
      <rPr>
        <b/>
        <sz val="10"/>
        <color rgb="FFC00000"/>
        <rFont val="Calibri"/>
        <family val="2"/>
      </rPr>
      <t>2020-2021</t>
    </r>
    <r>
      <rPr>
        <sz val="10"/>
        <rFont val="Calibri"/>
        <family val="2"/>
      </rPr>
      <t xml:space="preserve">, maar die moet u op basis van de feitelijke GGL </t>
    </r>
  </si>
  <si>
    <r>
      <t xml:space="preserve">van de telling van </t>
    </r>
    <r>
      <rPr>
        <b/>
        <sz val="10"/>
        <color rgb="FFC00000"/>
        <rFont val="Calibri"/>
        <family val="2"/>
      </rPr>
      <t>1 oktober 2018</t>
    </r>
    <r>
      <rPr>
        <sz val="10"/>
        <rFont val="Calibri"/>
        <family val="2"/>
      </rPr>
      <t xml:space="preserve"> overschrijven. U kunt deze GGL vinden op uw bekostigingsbeschikking. De GGL voor de komende jaren </t>
    </r>
  </si>
  <si>
    <t>Deze baten worden berekend conform de regeling budget PAB waarin nu een extra verhoging voor de werkdruk is opgenomen (in totaal € 220,08 per leerling).</t>
  </si>
  <si>
    <t>Aanpassing t.o.v. vs 31mrt2019:</t>
  </si>
  <si>
    <t xml:space="preserve"> - In deze versie is de bekostiging voor het impulsgebied verwijderd want dat is niet meer aan de orde.  De bekostiging voor onderwijsachterstandsbeleid zit </t>
  </si>
  <si>
    <t>nu volledig in de bekostiging middels de achterstandsscore. In het werkblad 'tab' zijn daarom de bedragen in de cellen E24 en E58 op 0 gesteld.</t>
  </si>
  <si>
    <t>Aanpassing t.o.v. vs 21apr2019:</t>
  </si>
  <si>
    <t xml:space="preserve"> - In het werkblad 'pers' was een formule verwijderd die als '#VERW!' is blijven staan. Dat is in rij 54 nu gecorrigeerd.</t>
  </si>
  <si>
    <t>Aanpassing t.o.v. vs 10 mei2019:</t>
  </si>
  <si>
    <t xml:space="preserve"> - Met behulp van een beschikking van DUO is opnieuw naar de formules van de aanvullende bekostiging onderwijsachterstandenbeleid gekeken en </t>
  </si>
  <si>
    <t>specificatie onderdelen cel H26:</t>
  </si>
  <si>
    <t>met de opgaven in de beschikkingen DUO.</t>
  </si>
  <si>
    <t>voorbeeld Basisschool</t>
  </si>
  <si>
    <t xml:space="preserve">geconstateerd dat die diverse misinterpretaties bevatten. Die zijn nu in deze versie van 13 jun2019 gecorrigeerd en de berekeningen komen nu overeen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</si>
</sst>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2" formatCode="_ &quot;€&quot;\ * #,##0_ ;_ &quot;€&quot;\ * \-#,##0_ ;_ &quot;€&quot;\ * &quot;-&quot;_ ;_ @_ "/>
    <numFmt numFmtId="41" formatCode="_ * #,##0_ ;_ * \-#,##0_ ;_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_-;[Red]_-&quot;€&quot;\ * #,##0\-;_-&quot;€&quot;\ * &quot;-&quot;??_-;_-@_-"/>
    <numFmt numFmtId="168" formatCode="&quot;€&quot;\ #,##0_-"/>
    <numFmt numFmtId="169" formatCode="#,##0_ ;\-#,##0\ "/>
    <numFmt numFmtId="170" formatCode="#,##0.00_ ;\-#,##0.00\ "/>
    <numFmt numFmtId="171" formatCode="0.0000"/>
    <numFmt numFmtId="172" formatCode="d\ mmmm\ yyyy"/>
    <numFmt numFmtId="173" formatCode="dd/mm/yy"/>
    <numFmt numFmtId="174" formatCode="0.0%"/>
    <numFmt numFmtId="175" formatCode="#,##0.0_ ;\-#,##0.0\ "/>
    <numFmt numFmtId="176" formatCode="#,##0.0000_ ;\-#,##0.0000\ "/>
    <numFmt numFmtId="177" formatCode="d/mmm/yyyy"/>
    <numFmt numFmtId="178" formatCode="0.000000000"/>
    <numFmt numFmtId="179" formatCode="0.0000%"/>
    <numFmt numFmtId="180" formatCode="[$-413]d\ mmmm\ yyyy;@"/>
    <numFmt numFmtId="181" formatCode="#\ ###\ ###"/>
    <numFmt numFmtId="182" formatCode="#\ ###\ ##0.00"/>
    <numFmt numFmtId="183" formatCode="0.000%"/>
    <numFmt numFmtId="184" formatCode="0.0"/>
  </numFmts>
  <fonts count="106" x14ac:knownFonts="1">
    <font>
      <sz val="10"/>
      <name val="Arial"/>
    </font>
    <font>
      <sz val="10"/>
      <name val="Arial"/>
      <family val="2"/>
    </font>
    <font>
      <sz val="8"/>
      <color indexed="81"/>
      <name val="Tahoma"/>
      <family val="2"/>
    </font>
    <font>
      <u/>
      <sz val="10"/>
      <color indexed="12"/>
      <name val="Arial"/>
      <family val="2"/>
    </font>
    <font>
      <b/>
      <sz val="10"/>
      <name val="Arial"/>
      <family val="2"/>
    </font>
    <font>
      <b/>
      <sz val="14"/>
      <name val="Arial"/>
      <family val="2"/>
    </font>
    <font>
      <sz val="9"/>
      <color indexed="81"/>
      <name val="Tahoma"/>
      <family val="2"/>
    </font>
    <font>
      <sz val="10"/>
      <color indexed="81"/>
      <name val="Tahoma"/>
      <family val="2"/>
    </font>
    <font>
      <sz val="10"/>
      <name val="Calibri"/>
      <family val="2"/>
    </font>
    <font>
      <b/>
      <sz val="10"/>
      <name val="Calibri"/>
      <family val="2"/>
    </font>
    <font>
      <i/>
      <sz val="10"/>
      <name val="Calibri"/>
      <family val="2"/>
    </font>
    <font>
      <b/>
      <sz val="11"/>
      <name val="Calibri"/>
      <family val="2"/>
    </font>
    <font>
      <b/>
      <i/>
      <sz val="10"/>
      <color indexed="10"/>
      <name val="Calibri"/>
      <family val="2"/>
    </font>
    <font>
      <b/>
      <i/>
      <sz val="10"/>
      <name val="Calibri"/>
      <family val="2"/>
    </font>
    <font>
      <b/>
      <sz val="10"/>
      <color indexed="9"/>
      <name val="Calibri"/>
      <family val="2"/>
    </font>
    <font>
      <i/>
      <sz val="14"/>
      <name val="Calibri"/>
      <family val="2"/>
    </font>
    <font>
      <b/>
      <i/>
      <sz val="12"/>
      <name val="Calibri"/>
      <family val="2"/>
    </font>
    <font>
      <sz val="12"/>
      <name val="Calibri"/>
      <family val="2"/>
    </font>
    <font>
      <sz val="11"/>
      <name val="Calibri"/>
      <family val="2"/>
    </font>
    <font>
      <sz val="10"/>
      <color indexed="60"/>
      <name val="Calibri"/>
      <family val="2"/>
    </font>
    <font>
      <sz val="10"/>
      <color indexed="10"/>
      <name val="Calibri"/>
      <family val="2"/>
    </font>
    <font>
      <b/>
      <sz val="14"/>
      <color indexed="10"/>
      <name val="Calibri"/>
      <family val="2"/>
    </font>
    <font>
      <b/>
      <sz val="10"/>
      <color indexed="10"/>
      <name val="Calibri"/>
      <family val="2"/>
    </font>
    <font>
      <i/>
      <sz val="10"/>
      <color indexed="10"/>
      <name val="Calibri"/>
      <family val="2"/>
    </font>
    <font>
      <sz val="10"/>
      <color indexed="47"/>
      <name val="Calibri"/>
      <family val="2"/>
    </font>
    <font>
      <b/>
      <i/>
      <sz val="14"/>
      <color indexed="10"/>
      <name val="Calibri"/>
      <family val="2"/>
    </font>
    <font>
      <sz val="14"/>
      <name val="Calibri"/>
      <family val="2"/>
    </font>
    <font>
      <b/>
      <sz val="12"/>
      <name val="Calibri"/>
      <family val="2"/>
    </font>
    <font>
      <b/>
      <sz val="14"/>
      <name val="Calibri"/>
      <family val="2"/>
    </font>
    <font>
      <sz val="14"/>
      <color indexed="10"/>
      <name val="Calibri"/>
      <family val="2"/>
    </font>
    <font>
      <i/>
      <sz val="11"/>
      <name val="Calibri"/>
      <family val="2"/>
    </font>
    <font>
      <b/>
      <i/>
      <sz val="14"/>
      <name val="Calibri"/>
      <family val="2"/>
    </font>
    <font>
      <i/>
      <sz val="14"/>
      <color indexed="10"/>
      <name val="Calibri"/>
      <family val="2"/>
    </font>
    <font>
      <sz val="10"/>
      <color indexed="10"/>
      <name val="Arial"/>
      <family val="2"/>
    </font>
    <font>
      <sz val="10"/>
      <color indexed="8"/>
      <name val="Calibri"/>
      <family val="2"/>
    </font>
    <font>
      <b/>
      <i/>
      <sz val="10"/>
      <color indexed="47"/>
      <name val="Calibri"/>
      <family val="2"/>
    </font>
    <font>
      <b/>
      <sz val="10"/>
      <color indexed="47"/>
      <name val="Calibri"/>
      <family val="2"/>
    </font>
    <font>
      <sz val="8"/>
      <name val="Arial"/>
      <family val="2"/>
    </font>
    <font>
      <b/>
      <sz val="11"/>
      <color indexed="9"/>
      <name val="Calibri"/>
      <family val="2"/>
    </font>
    <font>
      <sz val="10"/>
      <color indexed="60"/>
      <name val="Calibri"/>
      <family val="2"/>
    </font>
    <font>
      <i/>
      <sz val="10"/>
      <color indexed="60"/>
      <name val="Calibri"/>
      <family val="2"/>
    </font>
    <font>
      <i/>
      <sz val="10"/>
      <color indexed="8"/>
      <name val="Calibri"/>
      <family val="2"/>
    </font>
    <font>
      <sz val="10"/>
      <color indexed="8"/>
      <name val="Calibri"/>
      <family val="2"/>
    </font>
    <font>
      <b/>
      <sz val="10"/>
      <color indexed="8"/>
      <name val="Calibri"/>
      <family val="2"/>
    </font>
    <font>
      <sz val="10"/>
      <color rgb="FFC00000"/>
      <name val="Calibri"/>
      <family val="2"/>
    </font>
    <font>
      <b/>
      <sz val="14"/>
      <color rgb="FFC00000"/>
      <name val="Calibri"/>
      <family val="2"/>
    </font>
    <font>
      <i/>
      <sz val="10"/>
      <color rgb="FFC00000"/>
      <name val="Calibri"/>
      <family val="2"/>
    </font>
    <font>
      <b/>
      <i/>
      <sz val="10"/>
      <color rgb="FFC00000"/>
      <name val="Calibri"/>
      <family val="2"/>
    </font>
    <font>
      <b/>
      <sz val="10"/>
      <color rgb="FFC00000"/>
      <name val="Calibri"/>
      <family val="2"/>
    </font>
    <font>
      <b/>
      <sz val="10"/>
      <color theme="0"/>
      <name val="Calibri"/>
      <family val="2"/>
    </font>
    <font>
      <sz val="10"/>
      <color theme="0"/>
      <name val="Calibri"/>
      <family val="2"/>
    </font>
    <font>
      <sz val="10"/>
      <color theme="0" tint="-4.9989318521683403E-2"/>
      <name val="Calibri"/>
      <family val="2"/>
    </font>
    <font>
      <b/>
      <i/>
      <sz val="14"/>
      <color rgb="FFC00000"/>
      <name val="Calibri"/>
      <family val="2"/>
    </font>
    <font>
      <b/>
      <sz val="10"/>
      <color rgb="FF0070C0"/>
      <name val="Calibri"/>
      <family val="2"/>
    </font>
    <font>
      <sz val="10"/>
      <color rgb="FF0070C0"/>
      <name val="Calibri"/>
      <family val="2"/>
    </font>
    <font>
      <i/>
      <sz val="14"/>
      <color rgb="FFC00000"/>
      <name val="Calibri"/>
      <family val="2"/>
    </font>
    <font>
      <sz val="10"/>
      <color rgb="FFFF0000"/>
      <name val="Calibri"/>
      <family val="2"/>
    </font>
    <font>
      <i/>
      <sz val="14"/>
      <color rgb="FFFF0000"/>
      <name val="Calibri"/>
      <family val="2"/>
    </font>
    <font>
      <sz val="10"/>
      <color theme="1"/>
      <name val="Calibri"/>
      <family val="2"/>
    </font>
    <font>
      <b/>
      <sz val="10"/>
      <color rgb="FFFF0000"/>
      <name val="Calibri"/>
      <family val="2"/>
    </font>
    <font>
      <i/>
      <sz val="14"/>
      <color theme="1"/>
      <name val="Calibri"/>
      <family val="2"/>
    </font>
    <font>
      <b/>
      <sz val="10"/>
      <color theme="1"/>
      <name val="Calibri"/>
      <family val="2"/>
    </font>
    <font>
      <i/>
      <sz val="10"/>
      <color theme="1"/>
      <name val="Calibri"/>
      <family val="2"/>
    </font>
    <font>
      <i/>
      <sz val="10"/>
      <color theme="1" tint="4.9989318521683403E-2"/>
      <name val="Calibri"/>
      <family val="2"/>
    </font>
    <font>
      <sz val="14"/>
      <color rgb="FFC00000"/>
      <name val="Calibri"/>
      <family val="2"/>
    </font>
    <font>
      <i/>
      <sz val="10"/>
      <color rgb="FFFF0000"/>
      <name val="Calibri"/>
      <family val="2"/>
    </font>
    <font>
      <sz val="10"/>
      <color indexed="8"/>
      <name val="Calibri"/>
      <family val="2"/>
      <scheme val="minor"/>
    </font>
    <font>
      <b/>
      <sz val="10"/>
      <color theme="1" tint="0.499984740745262"/>
      <name val="Calibri"/>
      <family val="2"/>
    </font>
    <font>
      <i/>
      <sz val="10"/>
      <color theme="1" tint="0.499984740745262"/>
      <name val="Calibri"/>
      <family val="2"/>
    </font>
    <font>
      <sz val="10"/>
      <color theme="1" tint="0.499984740745262"/>
      <name val="Calibri"/>
      <family val="2"/>
    </font>
    <font>
      <sz val="10"/>
      <color theme="1" tint="0.34998626667073579"/>
      <name val="Calibri"/>
      <family val="2"/>
    </font>
    <font>
      <b/>
      <i/>
      <sz val="10"/>
      <color theme="1" tint="0.34998626667073579"/>
      <name val="Calibri"/>
      <family val="2"/>
    </font>
    <font>
      <i/>
      <sz val="10"/>
      <color theme="1" tint="0.34998626667073579"/>
      <name val="Calibri"/>
      <family val="2"/>
    </font>
    <font>
      <b/>
      <sz val="10"/>
      <color theme="1" tint="0.34998626667073579"/>
      <name val="Calibri"/>
      <family val="2"/>
    </font>
    <font>
      <b/>
      <i/>
      <sz val="10"/>
      <color theme="1" tint="0.499984740745262"/>
      <name val="Calibri"/>
      <family val="2"/>
    </font>
    <font>
      <sz val="10"/>
      <color theme="1" tint="0.34998626667073579"/>
      <name val="Arial"/>
      <family val="2"/>
    </font>
    <font>
      <b/>
      <u/>
      <sz val="10"/>
      <color theme="1" tint="0.34998626667073579"/>
      <name val="Calibri"/>
      <family val="2"/>
    </font>
    <font>
      <sz val="14"/>
      <color theme="1" tint="0.34998626667073579"/>
      <name val="Calibri"/>
      <family val="2"/>
    </font>
    <font>
      <b/>
      <i/>
      <sz val="10"/>
      <color theme="1"/>
      <name val="Calibri"/>
      <family val="2"/>
    </font>
    <font>
      <sz val="10"/>
      <color theme="0" tint="-0.499984740745262"/>
      <name val="Calibri"/>
      <family val="2"/>
    </font>
    <font>
      <i/>
      <sz val="14"/>
      <color theme="0" tint="-0.499984740745262"/>
      <name val="Calibri"/>
      <family val="2"/>
    </font>
    <font>
      <sz val="12"/>
      <color theme="0" tint="-0.499984740745262"/>
      <name val="Calibri"/>
      <family val="2"/>
    </font>
    <font>
      <b/>
      <sz val="10"/>
      <color theme="0" tint="-0.499984740745262"/>
      <name val="Calibri"/>
      <family val="2"/>
    </font>
    <font>
      <i/>
      <sz val="10"/>
      <color theme="0" tint="-0.499984740745262"/>
      <name val="Calibri"/>
      <family val="2"/>
    </font>
    <font>
      <b/>
      <i/>
      <sz val="10"/>
      <color theme="0" tint="-0.499984740745262"/>
      <name val="Calibri"/>
      <family val="2"/>
    </font>
    <font>
      <i/>
      <sz val="14"/>
      <color theme="1" tint="0.499984740745262"/>
      <name val="Calibri"/>
      <family val="2"/>
    </font>
    <font>
      <sz val="12"/>
      <color theme="1" tint="0.499984740745262"/>
      <name val="Calibri"/>
      <family val="2"/>
    </font>
    <font>
      <sz val="10"/>
      <color theme="1" tint="0.499984740745262"/>
      <name val="Arial"/>
      <family val="2"/>
    </font>
    <font>
      <b/>
      <sz val="10"/>
      <color theme="1" tint="0.34998626667073579"/>
      <name val="Arial"/>
      <family val="2"/>
    </font>
    <font>
      <i/>
      <sz val="12"/>
      <color theme="1" tint="0.499984740745262"/>
      <name val="Calibri"/>
      <family val="2"/>
    </font>
    <font>
      <sz val="10"/>
      <name val="Calibri"/>
      <family val="2"/>
      <scheme val="minor"/>
    </font>
    <font>
      <b/>
      <sz val="10"/>
      <color theme="1" tint="0.34998626667073579"/>
      <name val="Calibri"/>
      <family val="2"/>
      <scheme val="minor"/>
    </font>
    <font>
      <sz val="10"/>
      <color rgb="FFFF0000"/>
      <name val="Calibri"/>
      <family val="2"/>
      <scheme val="minor"/>
    </font>
    <font>
      <sz val="10"/>
      <color theme="0" tint="-0.249977111117893"/>
      <name val="Calibri"/>
      <family val="2"/>
    </font>
    <font>
      <i/>
      <sz val="10"/>
      <color theme="0" tint="-0.249977111117893"/>
      <name val="Calibri"/>
      <family val="2"/>
    </font>
    <font>
      <sz val="10"/>
      <color rgb="FFFF0000"/>
      <name val="Arial"/>
      <family val="2"/>
    </font>
    <font>
      <b/>
      <sz val="12"/>
      <color rgb="FFFF0000"/>
      <name val="Calibri"/>
      <family val="2"/>
    </font>
    <font>
      <b/>
      <sz val="8"/>
      <color rgb="FF000000"/>
      <name val="Arial"/>
      <family val="2"/>
    </font>
    <font>
      <sz val="11"/>
      <color rgb="FF000000"/>
      <name val="Calibri"/>
      <family val="2"/>
      <scheme val="minor"/>
    </font>
    <font>
      <b/>
      <vertAlign val="superscript"/>
      <sz val="8"/>
      <name val="Arial"/>
      <family val="2"/>
    </font>
    <font>
      <b/>
      <sz val="8"/>
      <name val="Arial"/>
      <family val="2"/>
    </font>
    <font>
      <sz val="8"/>
      <color rgb="FF000000"/>
      <name val="Arial"/>
      <family val="2"/>
    </font>
    <font>
      <sz val="8"/>
      <color rgb="FF000000"/>
      <name val="Courier New"/>
      <family val="3"/>
    </font>
    <font>
      <b/>
      <sz val="12"/>
      <color rgb="FFC00000"/>
      <name val="Calibri"/>
      <family val="2"/>
    </font>
    <font>
      <sz val="10"/>
      <color theme="0" tint="-0.34998626667073579"/>
      <name val="Calibri"/>
      <family val="2"/>
    </font>
    <font>
      <i/>
      <sz val="10"/>
      <color theme="0" tint="-0.34998626667073579"/>
      <name val="Calibri"/>
      <family val="2"/>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style="thin">
        <color indexed="64"/>
      </bottom>
      <diagonal/>
    </border>
    <border>
      <left style="thin">
        <color theme="0" tint="-4.9989318521683403E-2"/>
      </left>
      <right/>
      <top style="thin">
        <color theme="0" tint="-4.9989318521683403E-2"/>
      </top>
      <bottom style="thin">
        <color indexed="64"/>
      </bottom>
      <diagonal/>
    </border>
    <border>
      <left/>
      <right/>
      <top style="thin">
        <color rgb="FF000000"/>
      </top>
      <bottom/>
      <diagonal/>
    </border>
  </borders>
  <cellStyleXfs count="5">
    <xf numFmtId="0" fontId="0" fillId="0" borderId="0"/>
    <xf numFmtId="165"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cellStyleXfs>
  <cellXfs count="1183">
    <xf numFmtId="0" fontId="0" fillId="0" borderId="0" xfId="0"/>
    <xf numFmtId="0" fontId="8" fillId="0" borderId="0" xfId="0" applyFont="1" applyAlignment="1" applyProtection="1">
      <alignment horizontal="left"/>
    </xf>
    <xf numFmtId="0" fontId="8" fillId="0" borderId="0" xfId="0" applyFont="1" applyFill="1" applyBorder="1" applyAlignment="1" applyProtection="1">
      <alignment horizontal="left"/>
    </xf>
    <xf numFmtId="0" fontId="10" fillId="0" borderId="0" xfId="0" applyFont="1" applyFill="1" applyBorder="1" applyAlignment="1" applyProtection="1">
      <alignment horizontal="left" indent="1"/>
    </xf>
    <xf numFmtId="0" fontId="39" fillId="0" borderId="0" xfId="0" applyFont="1" applyAlignment="1" applyProtection="1">
      <alignment horizontal="left"/>
    </xf>
    <xf numFmtId="0" fontId="39" fillId="0" borderId="0" xfId="0" applyFont="1" applyFill="1" applyAlignment="1" applyProtection="1">
      <alignment horizontal="left"/>
    </xf>
    <xf numFmtId="0" fontId="40" fillId="0" borderId="0" xfId="0" applyFont="1" applyFill="1" applyAlignment="1" applyProtection="1">
      <alignment horizontal="left" indent="1"/>
    </xf>
    <xf numFmtId="0" fontId="40" fillId="0" borderId="0" xfId="0" applyFont="1" applyAlignment="1" applyProtection="1">
      <alignment horizontal="left" indent="1"/>
    </xf>
    <xf numFmtId="0" fontId="13" fillId="3" borderId="0" xfId="0" applyFont="1" applyFill="1" applyBorder="1" applyProtection="1"/>
    <xf numFmtId="0" fontId="9" fillId="0" borderId="0" xfId="0" applyFont="1" applyFill="1" applyBorder="1" applyAlignment="1" applyProtection="1">
      <alignment horizontal="left"/>
    </xf>
    <xf numFmtId="0" fontId="8" fillId="0" borderId="0" xfId="0" applyFont="1" applyFill="1" applyAlignment="1" applyProtection="1">
      <alignment horizontal="left"/>
    </xf>
    <xf numFmtId="0" fontId="8" fillId="0" borderId="0" xfId="0" quotePrefix="1" applyFont="1" applyFill="1" applyBorder="1" applyAlignment="1" applyProtection="1">
      <alignment horizontal="left"/>
    </xf>
    <xf numFmtId="0" fontId="42" fillId="0" borderId="0" xfId="0" quotePrefix="1" applyFont="1" applyFill="1" applyBorder="1" applyAlignment="1" applyProtection="1">
      <alignment horizontal="left"/>
    </xf>
    <xf numFmtId="0" fontId="43" fillId="0" borderId="0" xfId="0" applyFont="1" applyFill="1" applyBorder="1" applyAlignment="1" applyProtection="1">
      <alignment horizontal="left"/>
    </xf>
    <xf numFmtId="0" fontId="42" fillId="0" borderId="0" xfId="0" applyFont="1" applyFill="1" applyAlignment="1" applyProtection="1">
      <alignment horizontal="left"/>
    </xf>
    <xf numFmtId="0" fontId="42" fillId="0" borderId="0" xfId="0" applyFont="1" applyAlignment="1" applyProtection="1">
      <alignment horizontal="left"/>
    </xf>
    <xf numFmtId="165" fontId="42" fillId="2" borderId="0" xfId="0" applyNumberFormat="1" applyFont="1" applyFill="1" applyBorder="1" applyAlignment="1" applyProtection="1">
      <alignment horizontal="left"/>
      <protection locked="0"/>
    </xf>
    <xf numFmtId="0" fontId="42" fillId="0" borderId="0" xfId="0" applyFont="1" applyFill="1" applyBorder="1" applyAlignment="1" applyProtection="1">
      <alignment horizontal="left"/>
    </xf>
    <xf numFmtId="165" fontId="42" fillId="0" borderId="0" xfId="0" applyNumberFormat="1" applyFont="1" applyFill="1" applyBorder="1" applyAlignment="1" applyProtection="1">
      <alignment horizontal="left"/>
    </xf>
    <xf numFmtId="0" fontId="42" fillId="0" borderId="0" xfId="0" applyFont="1" applyFill="1" applyBorder="1" applyAlignment="1" applyProtection="1"/>
    <xf numFmtId="10" fontId="42" fillId="2" borderId="0" xfId="3" applyNumberFormat="1" applyFont="1" applyFill="1" applyBorder="1" applyAlignment="1" applyProtection="1">
      <alignment horizontal="left"/>
      <protection locked="0"/>
    </xf>
    <xf numFmtId="0" fontId="41" fillId="0" borderId="0" xfId="0" applyFont="1" applyFill="1" applyAlignment="1" applyProtection="1">
      <alignment horizontal="left" indent="1"/>
    </xf>
    <xf numFmtId="0" fontId="42" fillId="0" borderId="0" xfId="0" applyNumberFormat="1" applyFont="1" applyFill="1" applyBorder="1" applyAlignment="1" applyProtection="1">
      <alignment horizontal="left"/>
    </xf>
    <xf numFmtId="166" fontId="42" fillId="0" borderId="0" xfId="0" applyNumberFormat="1" applyFont="1" applyFill="1" applyBorder="1" applyAlignment="1" applyProtection="1">
      <alignment horizontal="left"/>
    </xf>
    <xf numFmtId="9" fontId="42" fillId="0" borderId="0" xfId="0" applyNumberFormat="1" applyFont="1" applyFill="1" applyAlignment="1" applyProtection="1">
      <alignment horizontal="left"/>
    </xf>
    <xf numFmtId="0" fontId="43" fillId="0" borderId="0" xfId="0" applyFont="1" applyFill="1" applyAlignment="1" applyProtection="1">
      <alignment horizontal="left"/>
    </xf>
    <xf numFmtId="0" fontId="42" fillId="2" borderId="0" xfId="0" applyFont="1" applyFill="1" applyBorder="1" applyAlignment="1" applyProtection="1">
      <alignment horizontal="left"/>
      <protection locked="0"/>
    </xf>
    <xf numFmtId="0" fontId="8" fillId="0" borderId="0" xfId="0" applyNumberFormat="1" applyFont="1" applyFill="1" applyBorder="1" applyAlignment="1" applyProtection="1">
      <alignment horizontal="left"/>
    </xf>
    <xf numFmtId="0" fontId="10" fillId="0" borderId="0" xfId="0" applyFont="1" applyFill="1" applyAlignment="1" applyProtection="1">
      <alignment horizontal="left" indent="1"/>
    </xf>
    <xf numFmtId="0" fontId="8" fillId="0" borderId="0" xfId="0" applyFont="1" applyFill="1" applyBorder="1" applyAlignment="1" applyProtection="1">
      <alignment horizontal="left" vertical="top" wrapText="1"/>
    </xf>
    <xf numFmtId="0" fontId="10" fillId="0" borderId="0" xfId="0" applyFont="1" applyAlignment="1" applyProtection="1">
      <alignment horizontal="left" indent="1"/>
    </xf>
    <xf numFmtId="0" fontId="8" fillId="0" borderId="0" xfId="3" applyNumberFormat="1" applyFont="1" applyFill="1" applyAlignment="1" applyProtection="1">
      <alignment horizontal="left"/>
    </xf>
    <xf numFmtId="0" fontId="8" fillId="0" borderId="0" xfId="0" applyFont="1" applyFill="1" applyAlignment="1" applyProtection="1">
      <alignment horizontal="right"/>
    </xf>
    <xf numFmtId="0" fontId="9" fillId="0" borderId="0" xfId="0" applyFont="1" applyFill="1" applyAlignment="1" applyProtection="1">
      <alignment horizontal="left"/>
    </xf>
    <xf numFmtId="0" fontId="9"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171" fontId="9" fillId="0" borderId="0" xfId="0" applyNumberFormat="1" applyFont="1" applyFill="1" applyBorder="1" applyAlignment="1" applyProtection="1">
      <alignment horizontal="left"/>
    </xf>
    <xf numFmtId="178" fontId="8" fillId="0" borderId="0" xfId="0" applyNumberFormat="1" applyFont="1" applyFill="1" applyAlignment="1" applyProtection="1">
      <alignment horizontal="left"/>
    </xf>
    <xf numFmtId="4" fontId="8" fillId="0" borderId="0" xfId="0" applyNumberFormat="1" applyFont="1" applyFill="1" applyBorder="1" applyAlignment="1" applyProtection="1">
      <alignment horizontal="left"/>
    </xf>
    <xf numFmtId="0" fontId="8" fillId="0" borderId="0" xfId="0" applyFont="1" applyFill="1" applyBorder="1" applyAlignment="1" applyProtection="1">
      <alignment horizontal="left"/>
      <protection locked="0"/>
    </xf>
    <xf numFmtId="3" fontId="8" fillId="0" borderId="0" xfId="0" applyNumberFormat="1" applyFont="1" applyFill="1" applyBorder="1" applyAlignment="1" applyProtection="1">
      <alignment horizontal="left"/>
    </xf>
    <xf numFmtId="164" fontId="8" fillId="0" borderId="0" xfId="0" applyNumberFormat="1" applyFont="1" applyFill="1" applyBorder="1" applyAlignment="1" applyProtection="1">
      <alignment horizontal="left"/>
      <protection locked="0"/>
    </xf>
    <xf numFmtId="0" fontId="8" fillId="4" borderId="0" xfId="0" applyFont="1" applyFill="1" applyProtection="1"/>
    <xf numFmtId="0" fontId="8" fillId="5" borderId="2" xfId="0" applyFont="1" applyFill="1" applyBorder="1" applyProtection="1"/>
    <xf numFmtId="0" fontId="8" fillId="5" borderId="3" xfId="0" applyFont="1" applyFill="1" applyBorder="1" applyProtection="1"/>
    <xf numFmtId="0" fontId="10" fillId="5" borderId="3" xfId="0" applyFont="1" applyFill="1" applyBorder="1" applyAlignment="1" applyProtection="1">
      <alignment horizontal="right"/>
    </xf>
    <xf numFmtId="0" fontId="13" fillId="5" borderId="3" xfId="0" applyFont="1" applyFill="1" applyBorder="1" applyAlignment="1" applyProtection="1">
      <alignment horizontal="center"/>
    </xf>
    <xf numFmtId="0" fontId="8" fillId="5" borderId="4" xfId="0" applyFont="1" applyFill="1" applyBorder="1" applyProtection="1"/>
    <xf numFmtId="0" fontId="8" fillId="4" borderId="0" xfId="0" applyFont="1" applyFill="1" applyBorder="1" applyProtection="1"/>
    <xf numFmtId="0" fontId="8" fillId="5" borderId="5" xfId="0" applyFont="1" applyFill="1" applyBorder="1" applyProtection="1"/>
    <xf numFmtId="0" fontId="8" fillId="5" borderId="0" xfId="0" applyFont="1" applyFill="1" applyBorder="1" applyProtection="1"/>
    <xf numFmtId="0" fontId="10" fillId="5" borderId="0" xfId="0" applyFont="1" applyFill="1" applyBorder="1" applyAlignment="1" applyProtection="1">
      <alignment horizontal="right"/>
    </xf>
    <xf numFmtId="0" fontId="13" fillId="5" borderId="0" xfId="0" applyFont="1" applyFill="1" applyBorder="1" applyAlignment="1" applyProtection="1">
      <alignment horizontal="center"/>
    </xf>
    <xf numFmtId="0" fontId="8" fillId="5" borderId="6" xfId="0" applyFont="1" applyFill="1" applyBorder="1" applyProtection="1"/>
    <xf numFmtId="0" fontId="44" fillId="4" borderId="0" xfId="0" applyFont="1" applyFill="1" applyProtection="1"/>
    <xf numFmtId="0" fontId="45" fillId="5" borderId="5" xfId="0" applyFont="1" applyFill="1" applyBorder="1" applyProtection="1"/>
    <xf numFmtId="0" fontId="45" fillId="5" borderId="0" xfId="0" applyFont="1" applyFill="1" applyBorder="1" applyProtection="1"/>
    <xf numFmtId="0" fontId="44" fillId="5" borderId="0" xfId="0" applyFont="1" applyFill="1" applyBorder="1" applyProtection="1"/>
    <xf numFmtId="0" fontId="44" fillId="5" borderId="6" xfId="0" applyFont="1" applyFill="1" applyBorder="1" applyProtection="1"/>
    <xf numFmtId="0" fontId="20" fillId="4" borderId="0" xfId="0" applyFont="1" applyFill="1" applyProtection="1"/>
    <xf numFmtId="0" fontId="21" fillId="5" borderId="5" xfId="0" applyFont="1" applyFill="1" applyBorder="1" applyProtection="1"/>
    <xf numFmtId="0" fontId="26" fillId="5" borderId="0" xfId="0" applyFont="1" applyFill="1" applyBorder="1" applyProtection="1"/>
    <xf numFmtId="0" fontId="20" fillId="5" borderId="0" xfId="0" applyFont="1" applyFill="1" applyBorder="1" applyProtection="1"/>
    <xf numFmtId="0" fontId="20" fillId="5" borderId="5" xfId="0" applyFont="1" applyFill="1" applyBorder="1" applyProtection="1"/>
    <xf numFmtId="0" fontId="22" fillId="5" borderId="0" xfId="0" applyFont="1" applyFill="1" applyBorder="1" applyProtection="1"/>
    <xf numFmtId="0" fontId="12" fillId="5" borderId="0" xfId="0" applyFont="1" applyFill="1" applyBorder="1" applyAlignment="1" applyProtection="1">
      <alignment horizontal="left"/>
    </xf>
    <xf numFmtId="0" fontId="8" fillId="4" borderId="10" xfId="0" applyFont="1" applyFill="1" applyBorder="1" applyProtection="1"/>
    <xf numFmtId="0" fontId="8" fillId="4" borderId="11" xfId="0" applyFont="1" applyFill="1" applyBorder="1" applyProtection="1"/>
    <xf numFmtId="0" fontId="13" fillId="4" borderId="11" xfId="0" applyFont="1" applyFill="1" applyBorder="1" applyAlignment="1" applyProtection="1">
      <alignment horizontal="center"/>
    </xf>
    <xf numFmtId="0" fontId="8" fillId="4" borderId="13" xfId="0" applyFont="1" applyFill="1" applyBorder="1" applyProtection="1"/>
    <xf numFmtId="0" fontId="8" fillId="4" borderId="14" xfId="0" applyFont="1" applyFill="1" applyBorder="1" applyAlignment="1" applyProtection="1">
      <alignment horizontal="left"/>
    </xf>
    <xf numFmtId="0" fontId="8" fillId="4" borderId="14" xfId="0" applyFont="1" applyFill="1" applyBorder="1" applyProtection="1"/>
    <xf numFmtId="0" fontId="8" fillId="5" borderId="15" xfId="0" applyFont="1" applyFill="1" applyBorder="1" applyAlignment="1" applyProtection="1">
      <alignment horizontal="left"/>
      <protection locked="0"/>
    </xf>
    <xf numFmtId="0" fontId="8" fillId="4" borderId="14" xfId="0" applyFont="1" applyFill="1" applyBorder="1" applyAlignment="1" applyProtection="1">
      <alignment horizontal="center"/>
      <protection locked="0"/>
    </xf>
    <xf numFmtId="0" fontId="8" fillId="4" borderId="14" xfId="0" applyFont="1" applyFill="1" applyBorder="1" applyAlignment="1" applyProtection="1">
      <alignment horizontal="center"/>
    </xf>
    <xf numFmtId="0" fontId="8" fillId="5" borderId="14" xfId="0" applyFont="1" applyFill="1" applyBorder="1" applyAlignment="1" applyProtection="1">
      <alignment horizontal="left"/>
      <protection locked="0"/>
    </xf>
    <xf numFmtId="0" fontId="8" fillId="4" borderId="16" xfId="0" applyFont="1" applyFill="1" applyBorder="1" applyProtection="1"/>
    <xf numFmtId="0" fontId="8" fillId="4" borderId="17" xfId="0" applyFont="1" applyFill="1" applyBorder="1" applyProtection="1"/>
    <xf numFmtId="0" fontId="13" fillId="4" borderId="17" xfId="0" applyFont="1" applyFill="1" applyBorder="1" applyAlignment="1" applyProtection="1">
      <alignment horizontal="center"/>
    </xf>
    <xf numFmtId="0" fontId="44" fillId="5" borderId="5" xfId="0" applyFont="1" applyFill="1" applyBorder="1" applyProtection="1"/>
    <xf numFmtId="0" fontId="46" fillId="5" borderId="0" xfId="0" applyFont="1" applyFill="1" applyBorder="1" applyAlignment="1" applyProtection="1">
      <alignment horizontal="right"/>
    </xf>
    <xf numFmtId="0" fontId="44" fillId="4" borderId="0" xfId="0" applyFont="1" applyFill="1" applyBorder="1" applyProtection="1"/>
    <xf numFmtId="0" fontId="20" fillId="4" borderId="13" xfId="0" applyFont="1" applyFill="1" applyBorder="1" applyProtection="1"/>
    <xf numFmtId="0" fontId="48" fillId="4" borderId="14" xfId="0" applyFont="1" applyFill="1" applyBorder="1" applyProtection="1"/>
    <xf numFmtId="0" fontId="20" fillId="4" borderId="14" xfId="0" applyFont="1" applyFill="1" applyBorder="1" applyProtection="1"/>
    <xf numFmtId="0" fontId="12" fillId="4" borderId="14" xfId="0" applyFont="1" applyFill="1" applyBorder="1" applyAlignment="1" applyProtection="1">
      <alignment horizontal="center"/>
    </xf>
    <xf numFmtId="0" fontId="20" fillId="5" borderId="6" xfId="0" applyFont="1" applyFill="1" applyBorder="1" applyProtection="1"/>
    <xf numFmtId="0" fontId="13" fillId="4" borderId="14" xfId="0" applyFont="1" applyFill="1" applyBorder="1" applyAlignment="1" applyProtection="1">
      <alignment horizontal="center"/>
    </xf>
    <xf numFmtId="0" fontId="8" fillId="5" borderId="14" xfId="0" applyFont="1" applyFill="1" applyBorder="1" applyAlignment="1" applyProtection="1">
      <alignment horizontal="center"/>
      <protection locked="0"/>
    </xf>
    <xf numFmtId="0" fontId="9" fillId="4" borderId="14" xfId="0" applyFont="1" applyFill="1" applyBorder="1" applyAlignment="1" applyProtection="1">
      <alignment horizontal="left"/>
    </xf>
    <xf numFmtId="2" fontId="8" fillId="4" borderId="14" xfId="0" applyNumberFormat="1" applyFont="1" applyFill="1" applyBorder="1" applyAlignment="1" applyProtection="1">
      <alignment horizontal="left"/>
    </xf>
    <xf numFmtId="2" fontId="10" fillId="4" borderId="14" xfId="0" applyNumberFormat="1" applyFont="1" applyFill="1" applyBorder="1" applyAlignment="1" applyProtection="1">
      <alignment horizontal="center"/>
    </xf>
    <xf numFmtId="0" fontId="51" fillId="4" borderId="14" xfId="0" applyFont="1" applyFill="1" applyBorder="1" applyAlignment="1" applyProtection="1">
      <alignment horizontal="left"/>
    </xf>
    <xf numFmtId="1" fontId="8" fillId="4" borderId="14" xfId="0" applyNumberFormat="1" applyFont="1" applyFill="1" applyBorder="1" applyAlignment="1" applyProtection="1">
      <alignment horizontal="center"/>
    </xf>
    <xf numFmtId="0" fontId="10" fillId="5" borderId="5" xfId="0" applyFont="1" applyFill="1" applyBorder="1" applyProtection="1"/>
    <xf numFmtId="0" fontId="10" fillId="4" borderId="13" xfId="0" applyFont="1" applyFill="1" applyBorder="1" applyProtection="1"/>
    <xf numFmtId="0" fontId="9" fillId="4" borderId="14" xfId="0" applyFont="1" applyFill="1" applyBorder="1" applyProtection="1"/>
    <xf numFmtId="0" fontId="10" fillId="5" borderId="6" xfId="0" applyFont="1" applyFill="1" applyBorder="1" applyProtection="1"/>
    <xf numFmtId="0" fontId="9" fillId="4" borderId="14" xfId="0" applyFont="1" applyFill="1" applyBorder="1" applyAlignment="1" applyProtection="1">
      <alignment horizontal="center"/>
    </xf>
    <xf numFmtId="0" fontId="8" fillId="5" borderId="14" xfId="0" applyNumberFormat="1" applyFont="1" applyFill="1" applyBorder="1" applyAlignment="1" applyProtection="1">
      <alignment horizontal="center"/>
      <protection locked="0"/>
    </xf>
    <xf numFmtId="0" fontId="8" fillId="4" borderId="18" xfId="0" applyFont="1" applyFill="1" applyBorder="1" applyProtection="1"/>
    <xf numFmtId="0" fontId="44" fillId="5" borderId="0" xfId="0" applyFont="1" applyFill="1" applyBorder="1" applyAlignment="1" applyProtection="1">
      <alignment horizontal="left"/>
    </xf>
    <xf numFmtId="0" fontId="10" fillId="4" borderId="11" xfId="0" applyFont="1" applyFill="1" applyBorder="1" applyAlignment="1" applyProtection="1">
      <alignment horizontal="right"/>
    </xf>
    <xf numFmtId="0" fontId="8" fillId="4" borderId="11" xfId="0" applyFont="1" applyFill="1" applyBorder="1" applyAlignment="1" applyProtection="1">
      <alignment horizontal="left"/>
    </xf>
    <xf numFmtId="0" fontId="48" fillId="4" borderId="14" xfId="0" applyFont="1" applyFill="1" applyBorder="1" applyAlignment="1" applyProtection="1">
      <alignment horizontal="left"/>
    </xf>
    <xf numFmtId="0" fontId="10" fillId="4" borderId="14" xfId="0" applyFont="1" applyFill="1" applyBorder="1" applyAlignment="1" applyProtection="1">
      <alignment horizontal="right"/>
    </xf>
    <xf numFmtId="0" fontId="8" fillId="4" borderId="15" xfId="0" applyNumberFormat="1" applyFont="1" applyFill="1" applyBorder="1" applyAlignment="1" applyProtection="1">
      <alignment horizontal="center"/>
    </xf>
    <xf numFmtId="0" fontId="8" fillId="4" borderId="17" xfId="0" applyFont="1" applyFill="1" applyBorder="1" applyAlignment="1" applyProtection="1">
      <alignment horizontal="left"/>
    </xf>
    <xf numFmtId="0" fontId="10" fillId="5" borderId="0" xfId="0" applyFont="1" applyFill="1" applyBorder="1" applyProtection="1"/>
    <xf numFmtId="0" fontId="9" fillId="5" borderId="0" xfId="0" quotePrefix="1" applyFont="1" applyFill="1" applyBorder="1" applyAlignment="1" applyProtection="1">
      <alignment horizontal="left"/>
    </xf>
    <xf numFmtId="1" fontId="9" fillId="5" borderId="0" xfId="0" applyNumberFormat="1" applyFont="1" applyFill="1" applyBorder="1" applyAlignment="1" applyProtection="1">
      <alignment horizontal="center"/>
    </xf>
    <xf numFmtId="0" fontId="10" fillId="5" borderId="7" xfId="0" applyFont="1" applyFill="1" applyBorder="1" applyProtection="1"/>
    <xf numFmtId="0" fontId="10" fillId="5" borderId="8" xfId="0" applyFont="1" applyFill="1" applyBorder="1" applyProtection="1"/>
    <xf numFmtId="1" fontId="9" fillId="5" borderId="8" xfId="0" applyNumberFormat="1" applyFont="1" applyFill="1" applyBorder="1" applyAlignment="1" applyProtection="1">
      <alignment horizontal="center"/>
    </xf>
    <xf numFmtId="0" fontId="38" fillId="5" borderId="8" xfId="0" applyFont="1" applyFill="1" applyBorder="1" applyAlignment="1" applyProtection="1">
      <alignment horizontal="right"/>
    </xf>
    <xf numFmtId="0" fontId="10" fillId="5" borderId="9" xfId="0" applyFont="1" applyFill="1" applyBorder="1" applyProtection="1"/>
    <xf numFmtId="0" fontId="9" fillId="5" borderId="5" xfId="0" applyFont="1" applyFill="1" applyBorder="1" applyProtection="1"/>
    <xf numFmtId="0" fontId="9" fillId="4" borderId="10" xfId="0" applyFont="1" applyFill="1" applyBorder="1" applyProtection="1"/>
    <xf numFmtId="0" fontId="9" fillId="4" borderId="11" xfId="0" applyFont="1" applyFill="1" applyBorder="1" applyProtection="1"/>
    <xf numFmtId="0" fontId="8" fillId="4" borderId="12" xfId="0" applyFont="1" applyFill="1" applyBorder="1" applyProtection="1"/>
    <xf numFmtId="0" fontId="8" fillId="4" borderId="15" xfId="0" applyFont="1" applyFill="1" applyBorder="1" applyProtection="1"/>
    <xf numFmtId="0" fontId="9" fillId="4" borderId="13" xfId="0" applyFont="1" applyFill="1" applyBorder="1" applyProtection="1"/>
    <xf numFmtId="0" fontId="9" fillId="5" borderId="6" xfId="0" applyFont="1" applyFill="1" applyBorder="1" applyProtection="1"/>
    <xf numFmtId="0" fontId="8" fillId="5" borderId="6" xfId="0" applyFont="1" applyFill="1" applyBorder="1" applyAlignment="1" applyProtection="1">
      <alignment horizontal="center"/>
    </xf>
    <xf numFmtId="0" fontId="8" fillId="5" borderId="7" xfId="0" applyFont="1" applyFill="1" applyBorder="1" applyProtection="1"/>
    <xf numFmtId="0" fontId="8" fillId="5" borderId="8" xfId="0" applyFont="1" applyFill="1" applyBorder="1" applyProtection="1"/>
    <xf numFmtId="0" fontId="8" fillId="5" borderId="9" xfId="0" applyFont="1" applyFill="1" applyBorder="1" applyProtection="1"/>
    <xf numFmtId="0" fontId="8" fillId="4" borderId="0" xfId="0" applyFont="1" applyFill="1" applyBorder="1" applyAlignment="1" applyProtection="1">
      <alignment horizontal="center"/>
    </xf>
    <xf numFmtId="0" fontId="8" fillId="5" borderId="3" xfId="0" applyFont="1" applyFill="1" applyBorder="1" applyAlignment="1" applyProtection="1">
      <alignment horizontal="center"/>
    </xf>
    <xf numFmtId="0" fontId="8" fillId="5" borderId="0" xfId="0" applyFont="1" applyFill="1" applyBorder="1" applyAlignment="1" applyProtection="1">
      <alignment horizontal="center"/>
    </xf>
    <xf numFmtId="0" fontId="20" fillId="4" borderId="0" xfId="0" applyFont="1" applyFill="1" applyBorder="1" applyProtection="1"/>
    <xf numFmtId="0" fontId="20" fillId="5" borderId="0" xfId="0" applyFont="1" applyFill="1" applyBorder="1" applyAlignment="1" applyProtection="1">
      <alignment horizontal="center"/>
    </xf>
    <xf numFmtId="0" fontId="8" fillId="4" borderId="11" xfId="0" applyFont="1" applyFill="1" applyBorder="1" applyAlignment="1" applyProtection="1">
      <alignment horizontal="center"/>
    </xf>
    <xf numFmtId="0" fontId="9" fillId="4" borderId="11" xfId="0" applyFont="1" applyFill="1" applyBorder="1" applyAlignment="1" applyProtection="1">
      <alignment horizontal="center"/>
    </xf>
    <xf numFmtId="0" fontId="9" fillId="4" borderId="0" xfId="0" applyFont="1" applyFill="1" applyBorder="1" applyProtection="1"/>
    <xf numFmtId="0" fontId="44" fillId="4" borderId="13" xfId="0" applyFont="1" applyFill="1" applyBorder="1" applyProtection="1"/>
    <xf numFmtId="0" fontId="8" fillId="4" borderId="14" xfId="0" applyFont="1" applyFill="1" applyBorder="1" applyAlignment="1" applyProtection="1"/>
    <xf numFmtId="0" fontId="13" fillId="4" borderId="0" xfId="0" applyFont="1" applyFill="1" applyBorder="1" applyProtection="1"/>
    <xf numFmtId="0" fontId="13" fillId="5" borderId="5" xfId="0" applyFont="1" applyFill="1" applyBorder="1" applyProtection="1"/>
    <xf numFmtId="0" fontId="13" fillId="4" borderId="13" xfId="0" applyFont="1" applyFill="1" applyBorder="1" applyProtection="1"/>
    <xf numFmtId="0" fontId="13" fillId="4" borderId="14" xfId="0" applyFont="1" applyFill="1" applyBorder="1" applyProtection="1"/>
    <xf numFmtId="0" fontId="13" fillId="5" borderId="6" xfId="0" applyFont="1" applyFill="1" applyBorder="1" applyProtection="1"/>
    <xf numFmtId="0" fontId="9" fillId="4" borderId="17" xfId="0" applyFont="1" applyFill="1" applyBorder="1" applyProtection="1"/>
    <xf numFmtId="0" fontId="8" fillId="4" borderId="17" xfId="0" applyFont="1" applyFill="1" applyBorder="1" applyAlignment="1" applyProtection="1">
      <alignment horizontal="center"/>
    </xf>
    <xf numFmtId="0" fontId="9" fillId="5" borderId="0" xfId="0" applyFont="1" applyFill="1" applyBorder="1" applyProtection="1"/>
    <xf numFmtId="0" fontId="8" fillId="4" borderId="0" xfId="0" applyFont="1" applyFill="1" applyAlignment="1" applyProtection="1">
      <alignment horizontal="center"/>
    </xf>
    <xf numFmtId="0" fontId="44" fillId="5" borderId="0" xfId="0" applyFont="1" applyFill="1" applyBorder="1" applyAlignment="1" applyProtection="1">
      <alignment horizontal="center"/>
    </xf>
    <xf numFmtId="0" fontId="21" fillId="5" borderId="0" xfId="0" applyFont="1" applyFill="1" applyBorder="1" applyProtection="1"/>
    <xf numFmtId="0" fontId="10" fillId="5" borderId="0" xfId="0" applyFont="1" applyFill="1" applyBorder="1" applyAlignment="1" applyProtection="1">
      <alignment horizontal="center"/>
    </xf>
    <xf numFmtId="0" fontId="8" fillId="4" borderId="14" xfId="0" applyNumberFormat="1" applyFont="1" applyFill="1" applyBorder="1" applyProtection="1"/>
    <xf numFmtId="2" fontId="8" fillId="5" borderId="14" xfId="0" applyNumberFormat="1" applyFont="1" applyFill="1" applyBorder="1" applyAlignment="1" applyProtection="1">
      <alignment horizontal="center"/>
      <protection locked="0"/>
    </xf>
    <xf numFmtId="9" fontId="8" fillId="5" borderId="14" xfId="3" applyFont="1" applyFill="1" applyBorder="1" applyAlignment="1" applyProtection="1">
      <alignment horizontal="center"/>
      <protection locked="0"/>
    </xf>
    <xf numFmtId="0" fontId="13" fillId="4" borderId="0" xfId="0" applyFont="1" applyFill="1" applyProtection="1"/>
    <xf numFmtId="0" fontId="10" fillId="4" borderId="14" xfId="0" applyFont="1" applyFill="1" applyBorder="1" applyProtection="1"/>
    <xf numFmtId="0" fontId="34" fillId="4" borderId="14" xfId="0" applyFont="1" applyFill="1" applyBorder="1" applyAlignment="1" applyProtection="1">
      <alignment horizontal="left"/>
    </xf>
    <xf numFmtId="0" fontId="10" fillId="4" borderId="0" xfId="0" applyFont="1" applyFill="1" applyProtection="1"/>
    <xf numFmtId="0" fontId="12" fillId="4" borderId="14" xfId="0" applyFont="1" applyFill="1" applyBorder="1" applyProtection="1"/>
    <xf numFmtId="9" fontId="8" fillId="4" borderId="14" xfId="3" applyFont="1" applyFill="1" applyBorder="1" applyAlignment="1" applyProtection="1">
      <alignment horizontal="center"/>
    </xf>
    <xf numFmtId="0" fontId="13" fillId="4" borderId="13" xfId="0" applyFont="1" applyFill="1" applyBorder="1" applyAlignment="1" applyProtection="1">
      <alignment horizontal="center"/>
    </xf>
    <xf numFmtId="0" fontId="10" fillId="4" borderId="14" xfId="0" applyFont="1" applyFill="1" applyBorder="1" applyAlignment="1" applyProtection="1">
      <alignment horizontal="left"/>
    </xf>
    <xf numFmtId="164" fontId="35" fillId="4" borderId="14" xfId="0" applyNumberFormat="1" applyFont="1" applyFill="1" applyBorder="1" applyAlignment="1" applyProtection="1">
      <alignment horizontal="center"/>
    </xf>
    <xf numFmtId="0" fontId="8" fillId="4" borderId="14" xfId="0" quotePrefix="1" applyFont="1" applyFill="1" applyBorder="1" applyAlignment="1" applyProtection="1">
      <alignment horizontal="left"/>
    </xf>
    <xf numFmtId="166" fontId="13" fillId="4" borderId="14" xfId="0" applyNumberFormat="1" applyFont="1" applyFill="1" applyBorder="1" applyAlignment="1" applyProtection="1">
      <alignment horizontal="center"/>
    </xf>
    <xf numFmtId="164" fontId="8" fillId="5" borderId="14" xfId="0" applyNumberFormat="1" applyFont="1" applyFill="1" applyBorder="1" applyAlignment="1" applyProtection="1">
      <protection locked="0"/>
    </xf>
    <xf numFmtId="0" fontId="8" fillId="5" borderId="14" xfId="0" applyFont="1" applyFill="1" applyBorder="1" applyProtection="1">
      <protection locked="0"/>
    </xf>
    <xf numFmtId="164" fontId="8" fillId="5" borderId="14" xfId="0" applyNumberFormat="1" applyFont="1" applyFill="1" applyBorder="1" applyAlignment="1" applyProtection="1">
      <alignment horizontal="center"/>
      <protection locked="0"/>
    </xf>
    <xf numFmtId="174" fontId="8" fillId="4" borderId="14" xfId="0" applyNumberFormat="1" applyFont="1" applyFill="1" applyBorder="1" applyAlignment="1" applyProtection="1">
      <alignment horizontal="center"/>
    </xf>
    <xf numFmtId="164" fontId="8" fillId="4" borderId="14" xfId="0" applyNumberFormat="1" applyFont="1" applyFill="1" applyBorder="1" applyAlignment="1" applyProtection="1">
      <alignment horizontal="center"/>
    </xf>
    <xf numFmtId="0" fontId="8" fillId="4" borderId="14" xfId="0" quotePrefix="1" applyFont="1" applyFill="1" applyBorder="1" applyProtection="1"/>
    <xf numFmtId="10" fontId="8" fillId="4" borderId="14" xfId="0" applyNumberFormat="1" applyFont="1" applyFill="1" applyBorder="1" applyAlignment="1" applyProtection="1">
      <alignment horizontal="center"/>
    </xf>
    <xf numFmtId="171" fontId="8" fillId="4" borderId="14" xfId="0" applyNumberFormat="1" applyFont="1" applyFill="1" applyBorder="1" applyAlignment="1" applyProtection="1">
      <alignment horizontal="center"/>
    </xf>
    <xf numFmtId="0" fontId="9" fillId="4" borderId="16" xfId="0" applyFont="1" applyFill="1" applyBorder="1" applyProtection="1"/>
    <xf numFmtId="0" fontId="9" fillId="4" borderId="17" xfId="0" applyFont="1" applyFill="1" applyBorder="1" applyAlignment="1" applyProtection="1">
      <alignment horizontal="left"/>
    </xf>
    <xf numFmtId="166" fontId="13" fillId="4" borderId="17" xfId="0" applyNumberFormat="1" applyFont="1" applyFill="1" applyBorder="1" applyAlignment="1" applyProtection="1">
      <alignment horizontal="center"/>
    </xf>
    <xf numFmtId="0" fontId="9" fillId="4" borderId="11" xfId="0" applyFont="1" applyFill="1" applyBorder="1" applyAlignment="1" applyProtection="1">
      <alignment horizontal="left"/>
    </xf>
    <xf numFmtId="166" fontId="14" fillId="4" borderId="11" xfId="0" applyNumberFormat="1" applyFont="1" applyFill="1" applyBorder="1" applyAlignment="1" applyProtection="1">
      <alignment horizontal="center"/>
    </xf>
    <xf numFmtId="0" fontId="8" fillId="5" borderId="0" xfId="0" applyFont="1" applyFill="1" applyBorder="1" applyAlignment="1" applyProtection="1">
      <alignment horizontal="left"/>
    </xf>
    <xf numFmtId="0" fontId="10" fillId="4" borderId="16" xfId="0" applyFont="1" applyFill="1" applyBorder="1" applyProtection="1"/>
    <xf numFmtId="1" fontId="9" fillId="4" borderId="17" xfId="0" applyNumberFormat="1" applyFont="1" applyFill="1" applyBorder="1" applyAlignment="1" applyProtection="1">
      <alignment horizontal="center"/>
    </xf>
    <xf numFmtId="164" fontId="10" fillId="4" borderId="17" xfId="0" applyNumberFormat="1" applyFont="1" applyFill="1" applyBorder="1" applyAlignment="1" applyProtection="1">
      <alignment horizontal="center"/>
    </xf>
    <xf numFmtId="164" fontId="10" fillId="5" borderId="0" xfId="0" applyNumberFormat="1" applyFont="1" applyFill="1" applyBorder="1" applyAlignment="1" applyProtection="1">
      <alignment horizontal="center"/>
    </xf>
    <xf numFmtId="0" fontId="10" fillId="4" borderId="10" xfId="0" applyFont="1" applyFill="1" applyBorder="1" applyProtection="1"/>
    <xf numFmtId="1" fontId="9" fillId="4" borderId="11" xfId="0" applyNumberFormat="1" applyFont="1" applyFill="1" applyBorder="1" applyAlignment="1" applyProtection="1">
      <alignment horizontal="center"/>
    </xf>
    <xf numFmtId="164" fontId="10" fillId="4" borderId="11" xfId="0" applyNumberFormat="1" applyFont="1" applyFill="1" applyBorder="1" applyAlignment="1" applyProtection="1">
      <alignment horizontal="center"/>
    </xf>
    <xf numFmtId="167" fontId="9" fillId="4" borderId="17" xfId="0" applyNumberFormat="1" applyFont="1" applyFill="1" applyBorder="1" applyAlignment="1" applyProtection="1">
      <alignment horizontal="center"/>
    </xf>
    <xf numFmtId="0" fontId="9" fillId="5" borderId="0" xfId="0" quotePrefix="1" applyFont="1" applyFill="1" applyBorder="1" applyAlignment="1" applyProtection="1">
      <alignment horizontal="right"/>
    </xf>
    <xf numFmtId="167" fontId="14" fillId="5" borderId="0" xfId="0" applyNumberFormat="1" applyFont="1" applyFill="1" applyBorder="1" applyAlignment="1" applyProtection="1">
      <alignment horizontal="center"/>
    </xf>
    <xf numFmtId="0" fontId="9" fillId="5" borderId="8" xfId="0" quotePrefix="1" applyFont="1" applyFill="1" applyBorder="1" applyAlignment="1" applyProtection="1">
      <alignment horizontal="right"/>
    </xf>
    <xf numFmtId="167" fontId="14" fillId="5" borderId="8" xfId="0" applyNumberFormat="1" applyFont="1" applyFill="1" applyBorder="1" applyAlignment="1" applyProtection="1">
      <alignment horizontal="center"/>
    </xf>
    <xf numFmtId="0" fontId="10" fillId="5" borderId="2" xfId="0" applyFont="1" applyFill="1" applyBorder="1" applyProtection="1"/>
    <xf numFmtId="0" fontId="10" fillId="5" borderId="3" xfId="0" applyFont="1" applyFill="1" applyBorder="1" applyProtection="1"/>
    <xf numFmtId="0" fontId="9" fillId="5" borderId="3" xfId="0" quotePrefix="1" applyFont="1" applyFill="1" applyBorder="1" applyAlignment="1" applyProtection="1">
      <alignment horizontal="right"/>
    </xf>
    <xf numFmtId="167" fontId="14" fillId="5" borderId="3" xfId="0" applyNumberFormat="1" applyFont="1" applyFill="1" applyBorder="1" applyAlignment="1" applyProtection="1">
      <alignment horizontal="center"/>
    </xf>
    <xf numFmtId="0" fontId="10" fillId="5" borderId="4" xfId="0" applyFont="1" applyFill="1" applyBorder="1" applyProtection="1"/>
    <xf numFmtId="0" fontId="44" fillId="4" borderId="14" xfId="0" applyFont="1" applyFill="1" applyBorder="1" applyProtection="1"/>
    <xf numFmtId="0" fontId="44" fillId="4" borderId="14" xfId="0" applyFont="1" applyFill="1" applyBorder="1" applyAlignment="1" applyProtection="1">
      <alignment horizontal="center"/>
    </xf>
    <xf numFmtId="0" fontId="8" fillId="4" borderId="14" xfId="0" applyNumberFormat="1" applyFont="1" applyFill="1" applyBorder="1" applyAlignment="1" applyProtection="1">
      <alignment horizontal="left"/>
    </xf>
    <xf numFmtId="0" fontId="10" fillId="4" borderId="14" xfId="0" applyNumberFormat="1" applyFont="1" applyFill="1" applyBorder="1" applyAlignment="1" applyProtection="1">
      <alignment horizontal="left" indent="1"/>
    </xf>
    <xf numFmtId="49" fontId="8" fillId="5" borderId="14" xfId="0" applyNumberFormat="1" applyFont="1" applyFill="1" applyBorder="1" applyAlignment="1" applyProtection="1">
      <alignment horizontal="center"/>
      <protection locked="0"/>
    </xf>
    <xf numFmtId="0" fontId="9" fillId="4" borderId="14" xfId="0" applyNumberFormat="1" applyFont="1" applyFill="1" applyBorder="1" applyAlignment="1" applyProtection="1">
      <alignment horizontal="left"/>
    </xf>
    <xf numFmtId="0" fontId="10" fillId="4" borderId="14" xfId="0" applyFont="1" applyFill="1" applyBorder="1" applyAlignment="1" applyProtection="1">
      <alignment horizontal="center"/>
    </xf>
    <xf numFmtId="166" fontId="8" fillId="5" borderId="6" xfId="0" applyNumberFormat="1" applyFont="1" applyFill="1" applyBorder="1" applyProtection="1"/>
    <xf numFmtId="166" fontId="8" fillId="5" borderId="14" xfId="0" applyNumberFormat="1" applyFont="1" applyFill="1" applyBorder="1" applyAlignment="1" applyProtection="1">
      <alignment horizontal="center"/>
      <protection locked="0"/>
    </xf>
    <xf numFmtId="164" fontId="8" fillId="5" borderId="14" xfId="4" applyNumberFormat="1" applyFont="1" applyFill="1" applyBorder="1" applyAlignment="1" applyProtection="1">
      <alignment horizontal="center"/>
      <protection locked="0"/>
    </xf>
    <xf numFmtId="0" fontId="10" fillId="4" borderId="0" xfId="0" applyFont="1" applyFill="1" applyBorder="1" applyProtection="1"/>
    <xf numFmtId="0" fontId="54" fillId="4" borderId="0" xfId="0" applyFont="1" applyFill="1" applyBorder="1" applyAlignment="1" applyProtection="1">
      <alignment horizontal="left"/>
    </xf>
    <xf numFmtId="0" fontId="19" fillId="4" borderId="0" xfId="0" applyFont="1" applyFill="1" applyProtection="1"/>
    <xf numFmtId="0" fontId="19" fillId="4" borderId="0" xfId="0" applyFont="1" applyFill="1" applyAlignment="1" applyProtection="1">
      <alignment horizontal="center"/>
    </xf>
    <xf numFmtId="0" fontId="8" fillId="4" borderId="0" xfId="0" applyFont="1" applyFill="1" applyBorder="1" applyAlignment="1" applyProtection="1"/>
    <xf numFmtId="0" fontId="8" fillId="4" borderId="0" xfId="0" applyFont="1" applyFill="1" applyBorder="1" applyAlignment="1" applyProtection="1">
      <alignment horizontal="left"/>
    </xf>
    <xf numFmtId="173" fontId="8" fillId="4" borderId="0" xfId="0" applyNumberFormat="1" applyFont="1" applyFill="1" applyBorder="1" applyAlignment="1" applyProtection="1">
      <alignment horizontal="center"/>
    </xf>
    <xf numFmtId="0" fontId="8" fillId="4" borderId="0" xfId="0" applyNumberFormat="1" applyFont="1" applyFill="1" applyBorder="1" applyAlignment="1" applyProtection="1">
      <alignment horizontal="center"/>
    </xf>
    <xf numFmtId="171" fontId="8" fillId="4" borderId="0" xfId="0" applyNumberFormat="1" applyFont="1" applyFill="1" applyBorder="1" applyAlignment="1" applyProtection="1">
      <alignment horizontal="center"/>
    </xf>
    <xf numFmtId="171" fontId="8" fillId="4" borderId="0" xfId="0" applyNumberFormat="1" applyFont="1" applyFill="1" applyBorder="1" applyProtection="1"/>
    <xf numFmtId="166" fontId="8" fillId="4" borderId="0" xfId="0" applyNumberFormat="1" applyFont="1" applyFill="1" applyBorder="1" applyProtection="1"/>
    <xf numFmtId="164" fontId="8" fillId="4" borderId="0" xfId="0" applyNumberFormat="1" applyFont="1" applyFill="1" applyBorder="1" applyProtection="1"/>
    <xf numFmtId="168" fontId="8" fillId="4" borderId="0" xfId="0" applyNumberFormat="1" applyFont="1" applyFill="1" applyBorder="1" applyProtection="1"/>
    <xf numFmtId="0" fontId="8" fillId="5" borderId="3" xfId="0" applyFont="1" applyFill="1" applyBorder="1" applyAlignment="1" applyProtection="1"/>
    <xf numFmtId="0" fontId="8" fillId="5" borderId="3" xfId="0" applyFont="1" applyFill="1" applyBorder="1" applyAlignment="1" applyProtection="1">
      <alignment horizontal="left"/>
    </xf>
    <xf numFmtId="173" fontId="8" fillId="5" borderId="3" xfId="0" applyNumberFormat="1" applyFont="1" applyFill="1" applyBorder="1" applyAlignment="1" applyProtection="1">
      <alignment horizontal="center"/>
    </xf>
    <xf numFmtId="0" fontId="8" fillId="5" borderId="3" xfId="0" applyNumberFormat="1" applyFont="1" applyFill="1" applyBorder="1" applyAlignment="1" applyProtection="1">
      <alignment horizontal="center"/>
    </xf>
    <xf numFmtId="171" fontId="8" fillId="5" borderId="3" xfId="0" applyNumberFormat="1" applyFont="1" applyFill="1" applyBorder="1" applyAlignment="1" applyProtection="1">
      <alignment horizontal="center"/>
    </xf>
    <xf numFmtId="166" fontId="8" fillId="5" borderId="3" xfId="0" applyNumberFormat="1" applyFont="1" applyFill="1" applyBorder="1" applyProtection="1"/>
    <xf numFmtId="0" fontId="8" fillId="5" borderId="0" xfId="0" applyFont="1" applyFill="1" applyBorder="1" applyAlignment="1" applyProtection="1"/>
    <xf numFmtId="173" fontId="8" fillId="5" borderId="0" xfId="0" applyNumberFormat="1" applyFont="1" applyFill="1" applyBorder="1" applyAlignment="1" applyProtection="1">
      <alignment horizontal="center"/>
    </xf>
    <xf numFmtId="0" fontId="8" fillId="5" borderId="0" xfId="0" applyNumberFormat="1" applyFont="1" applyFill="1" applyBorder="1" applyAlignment="1" applyProtection="1">
      <alignment horizontal="center"/>
    </xf>
    <xf numFmtId="171" fontId="8" fillId="5" borderId="0" xfId="0" applyNumberFormat="1" applyFont="1" applyFill="1" applyBorder="1" applyAlignment="1" applyProtection="1">
      <alignment horizontal="center"/>
    </xf>
    <xf numFmtId="166" fontId="8" fillId="5" borderId="0" xfId="0" applyNumberFormat="1" applyFont="1" applyFill="1" applyBorder="1" applyProtection="1"/>
    <xf numFmtId="164" fontId="8" fillId="5" borderId="0" xfId="0" applyNumberFormat="1" applyFont="1" applyFill="1" applyBorder="1" applyProtection="1"/>
    <xf numFmtId="0" fontId="55" fillId="4" borderId="0" xfId="0" applyFont="1" applyFill="1" applyBorder="1" applyProtection="1"/>
    <xf numFmtId="0" fontId="52" fillId="5" borderId="5" xfId="0" applyFont="1" applyFill="1" applyBorder="1" applyAlignment="1" applyProtection="1">
      <alignment horizontal="left"/>
    </xf>
    <xf numFmtId="0" fontId="55" fillId="5" borderId="0" xfId="0" applyFont="1" applyFill="1" applyBorder="1" applyAlignment="1" applyProtection="1"/>
    <xf numFmtId="0" fontId="55" fillId="5" borderId="0" xfId="0" applyFont="1" applyFill="1" applyBorder="1" applyAlignment="1" applyProtection="1">
      <alignment horizontal="left"/>
    </xf>
    <xf numFmtId="0" fontId="55" fillId="5" borderId="0" xfId="0" applyFont="1" applyFill="1" applyBorder="1" applyAlignment="1" applyProtection="1">
      <alignment horizontal="center"/>
    </xf>
    <xf numFmtId="173" fontId="55" fillId="5" borderId="0" xfId="0" applyNumberFormat="1" applyFont="1" applyFill="1" applyBorder="1" applyAlignment="1" applyProtection="1">
      <alignment horizontal="center"/>
    </xf>
    <xf numFmtId="0" fontId="55" fillId="5" borderId="0" xfId="0" applyNumberFormat="1" applyFont="1" applyFill="1" applyBorder="1" applyAlignment="1" applyProtection="1">
      <alignment horizontal="center"/>
    </xf>
    <xf numFmtId="171" fontId="55" fillId="5" borderId="0" xfId="0" applyNumberFormat="1" applyFont="1" applyFill="1" applyBorder="1" applyAlignment="1" applyProtection="1">
      <alignment horizontal="center"/>
    </xf>
    <xf numFmtId="0" fontId="55" fillId="5" borderId="0" xfId="0" applyFont="1" applyFill="1" applyBorder="1" applyProtection="1"/>
    <xf numFmtId="0" fontId="55" fillId="5" borderId="6" xfId="0" applyFont="1" applyFill="1" applyBorder="1" applyProtection="1"/>
    <xf numFmtId="0" fontId="55" fillId="4" borderId="0" xfId="0" applyNumberFormat="1" applyFont="1" applyFill="1" applyBorder="1" applyProtection="1"/>
    <xf numFmtId="171" fontId="55" fillId="4" borderId="0" xfId="0" applyNumberFormat="1" applyFont="1" applyFill="1" applyBorder="1" applyAlignment="1" applyProtection="1">
      <alignment horizontal="center"/>
    </xf>
    <xf numFmtId="0" fontId="55" fillId="4" borderId="0" xfId="0" applyNumberFormat="1" applyFont="1" applyFill="1" applyBorder="1" applyAlignment="1" applyProtection="1">
      <alignment horizontal="center"/>
    </xf>
    <xf numFmtId="171" fontId="55" fillId="4" borderId="0" xfId="0" applyNumberFormat="1" applyFont="1" applyFill="1" applyBorder="1" applyProtection="1"/>
    <xf numFmtId="1" fontId="55" fillId="4" borderId="0" xfId="0" applyNumberFormat="1" applyFont="1" applyFill="1" applyBorder="1" applyProtection="1"/>
    <xf numFmtId="0" fontId="15" fillId="4" borderId="0" xfId="0" applyFont="1" applyFill="1" applyBorder="1" applyProtection="1"/>
    <xf numFmtId="0" fontId="31" fillId="5" borderId="5" xfId="0" applyFont="1" applyFill="1" applyBorder="1" applyAlignment="1" applyProtection="1">
      <alignment horizontal="left"/>
    </xf>
    <xf numFmtId="0" fontId="26" fillId="5" borderId="0" xfId="0" applyFont="1" applyFill="1" applyBorder="1" applyAlignment="1" applyProtection="1">
      <alignment horizontal="left"/>
    </xf>
    <xf numFmtId="0" fontId="15" fillId="5" borderId="0" xfId="0" applyFont="1" applyFill="1" applyBorder="1" applyAlignment="1" applyProtection="1"/>
    <xf numFmtId="0" fontId="15" fillId="5" borderId="0" xfId="0" applyFont="1" applyFill="1" applyBorder="1" applyAlignment="1" applyProtection="1">
      <alignment horizontal="left"/>
    </xf>
    <xf numFmtId="0" fontId="15" fillId="5" borderId="0" xfId="0" applyFont="1" applyFill="1" applyBorder="1" applyAlignment="1" applyProtection="1">
      <alignment horizontal="center"/>
    </xf>
    <xf numFmtId="173" fontId="15" fillId="5" borderId="0" xfId="0" applyNumberFormat="1" applyFont="1" applyFill="1" applyBorder="1" applyAlignment="1" applyProtection="1">
      <alignment horizontal="center"/>
    </xf>
    <xf numFmtId="0" fontId="15" fillId="5" borderId="0" xfId="0" applyNumberFormat="1" applyFont="1" applyFill="1" applyBorder="1" applyAlignment="1" applyProtection="1">
      <alignment horizontal="center"/>
    </xf>
    <xf numFmtId="171" fontId="15" fillId="5" borderId="0" xfId="0" applyNumberFormat="1" applyFont="1" applyFill="1" applyBorder="1" applyAlignment="1" applyProtection="1">
      <alignment horizontal="center"/>
    </xf>
    <xf numFmtId="0" fontId="15" fillId="5" borderId="0" xfId="0" applyFont="1" applyFill="1" applyBorder="1" applyProtection="1"/>
    <xf numFmtId="0" fontId="15" fillId="5" borderId="6" xfId="0" applyFont="1" applyFill="1" applyBorder="1" applyProtection="1"/>
    <xf numFmtId="0" fontId="15" fillId="4" borderId="0" xfId="0" applyNumberFormat="1" applyFont="1" applyFill="1" applyBorder="1" applyProtection="1"/>
    <xf numFmtId="171" fontId="15" fillId="4" borderId="0" xfId="0" applyNumberFormat="1" applyFont="1" applyFill="1" applyBorder="1" applyAlignment="1" applyProtection="1">
      <alignment horizontal="center"/>
    </xf>
    <xf numFmtId="0" fontId="15" fillId="4" borderId="0" xfId="0" applyNumberFormat="1" applyFont="1" applyFill="1" applyBorder="1" applyAlignment="1" applyProtection="1">
      <alignment horizontal="center"/>
    </xf>
    <xf numFmtId="171" fontId="15" fillId="4" borderId="0" xfId="0" applyNumberFormat="1" applyFont="1" applyFill="1" applyBorder="1" applyProtection="1"/>
    <xf numFmtId="1" fontId="15" fillId="4" borderId="0" xfId="0" applyNumberFormat="1" applyFont="1" applyFill="1" applyBorder="1" applyProtection="1"/>
    <xf numFmtId="0" fontId="8" fillId="4" borderId="0" xfId="0" applyNumberFormat="1" applyFont="1" applyFill="1" applyBorder="1" applyProtection="1"/>
    <xf numFmtId="1" fontId="8" fillId="4" borderId="0" xfId="0" applyNumberFormat="1" applyFont="1" applyFill="1" applyBorder="1" applyProtection="1"/>
    <xf numFmtId="0" fontId="17" fillId="4" borderId="0" xfId="0" applyFont="1" applyFill="1" applyBorder="1" applyProtection="1"/>
    <xf numFmtId="0" fontId="17" fillId="5" borderId="5" xfId="0" applyFont="1" applyFill="1" applyBorder="1" applyProtection="1"/>
    <xf numFmtId="0" fontId="17" fillId="5" borderId="0" xfId="0" applyFont="1" applyFill="1" applyBorder="1" applyProtection="1"/>
    <xf numFmtId="0" fontId="18" fillId="5" borderId="0" xfId="0" applyFont="1" applyFill="1" applyBorder="1" applyAlignment="1" applyProtection="1"/>
    <xf numFmtId="172" fontId="11" fillId="5" borderId="0" xfId="0" applyNumberFormat="1" applyFont="1" applyFill="1" applyBorder="1" applyAlignment="1" applyProtection="1">
      <alignment horizontal="left"/>
    </xf>
    <xf numFmtId="173" fontId="16" fillId="5" borderId="0" xfId="0" applyNumberFormat="1" applyFont="1" applyFill="1" applyBorder="1" applyAlignment="1" applyProtection="1">
      <alignment horizontal="center"/>
    </xf>
    <xf numFmtId="0" fontId="17" fillId="5" borderId="0" xfId="0" applyNumberFormat="1" applyFont="1" applyFill="1" applyBorder="1" applyAlignment="1" applyProtection="1">
      <alignment horizontal="center"/>
    </xf>
    <xf numFmtId="0" fontId="17" fillId="5" borderId="6" xfId="0" applyFont="1" applyFill="1" applyBorder="1" applyProtection="1"/>
    <xf numFmtId="172" fontId="9" fillId="5" borderId="0" xfId="0" applyNumberFormat="1" applyFont="1" applyFill="1" applyBorder="1" applyAlignment="1" applyProtection="1">
      <alignment horizontal="left"/>
    </xf>
    <xf numFmtId="0" fontId="13" fillId="5" borderId="0" xfId="0" applyFont="1" applyFill="1" applyBorder="1" applyAlignment="1" applyProtection="1">
      <alignment horizontal="left"/>
    </xf>
    <xf numFmtId="0" fontId="8" fillId="4" borderId="11" xfId="0" applyFont="1" applyFill="1" applyBorder="1" applyAlignment="1" applyProtection="1"/>
    <xf numFmtId="166" fontId="8" fillId="4" borderId="11" xfId="0" applyNumberFormat="1" applyFont="1" applyFill="1" applyBorder="1" applyProtection="1"/>
    <xf numFmtId="164" fontId="8" fillId="4" borderId="11" xfId="0" applyNumberFormat="1" applyFont="1" applyFill="1" applyBorder="1" applyProtection="1"/>
    <xf numFmtId="0" fontId="44" fillId="4" borderId="0" xfId="0" applyFont="1" applyFill="1" applyBorder="1" applyAlignment="1" applyProtection="1">
      <alignment horizontal="center"/>
    </xf>
    <xf numFmtId="0" fontId="44" fillId="5" borderId="5" xfId="0" applyFont="1" applyFill="1" applyBorder="1" applyAlignment="1" applyProtection="1">
      <alignment horizontal="center"/>
    </xf>
    <xf numFmtId="0" fontId="44" fillId="4" borderId="13" xfId="0" applyFont="1" applyFill="1" applyBorder="1" applyAlignment="1" applyProtection="1">
      <alignment horizontal="center"/>
    </xf>
    <xf numFmtId="166" fontId="44" fillId="5" borderId="6" xfId="0" applyNumberFormat="1" applyFont="1" applyFill="1" applyBorder="1" applyAlignment="1" applyProtection="1">
      <alignment horizontal="center"/>
    </xf>
    <xf numFmtId="166" fontId="44" fillId="4" borderId="0" xfId="0" applyNumberFormat="1" applyFont="1" applyFill="1" applyBorder="1" applyAlignment="1" applyProtection="1">
      <alignment horizontal="center"/>
    </xf>
    <xf numFmtId="0" fontId="46" fillId="4" borderId="0" xfId="0" applyFont="1" applyFill="1" applyBorder="1" applyAlignment="1" applyProtection="1">
      <alignment horizontal="center"/>
    </xf>
    <xf numFmtId="166" fontId="46" fillId="5" borderId="6" xfId="0" applyNumberFormat="1" applyFont="1" applyFill="1" applyBorder="1" applyAlignment="1" applyProtection="1">
      <alignment horizontal="center"/>
    </xf>
    <xf numFmtId="166" fontId="46" fillId="4" borderId="0" xfId="0" applyNumberFormat="1" applyFont="1" applyFill="1" applyBorder="1" applyAlignment="1" applyProtection="1">
      <alignment horizontal="center"/>
    </xf>
    <xf numFmtId="1" fontId="10" fillId="4" borderId="14" xfId="0" applyNumberFormat="1" applyFont="1" applyFill="1" applyBorder="1" applyAlignment="1" applyProtection="1">
      <alignment horizontal="center"/>
    </xf>
    <xf numFmtId="173" fontId="8" fillId="4" borderId="14" xfId="0" applyNumberFormat="1" applyFont="1" applyFill="1" applyBorder="1" applyAlignment="1" applyProtection="1">
      <alignment horizontal="center"/>
    </xf>
    <xf numFmtId="0" fontId="10" fillId="4" borderId="14" xfId="0" applyNumberFormat="1" applyFont="1" applyFill="1" applyBorder="1" applyAlignment="1" applyProtection="1">
      <alignment horizontal="center"/>
    </xf>
    <xf numFmtId="171" fontId="10" fillId="4" borderId="14" xfId="0" applyNumberFormat="1" applyFont="1" applyFill="1" applyBorder="1" applyAlignment="1" applyProtection="1">
      <alignment horizontal="center"/>
    </xf>
    <xf numFmtId="166" fontId="8" fillId="4" borderId="14" xfId="0" applyNumberFormat="1" applyFont="1" applyFill="1" applyBorder="1" applyAlignment="1" applyProtection="1">
      <alignment horizontal="center"/>
    </xf>
    <xf numFmtId="166" fontId="8" fillId="4" borderId="0" xfId="4" applyNumberFormat="1" applyFont="1" applyFill="1" applyBorder="1" applyProtection="1"/>
    <xf numFmtId="0" fontId="8" fillId="5" borderId="14" xfId="0" applyFont="1" applyFill="1" applyBorder="1" applyAlignment="1" applyProtection="1">
      <protection locked="0"/>
    </xf>
    <xf numFmtId="173" fontId="8" fillId="5" borderId="14" xfId="0" applyNumberFormat="1" applyFont="1" applyFill="1" applyBorder="1" applyAlignment="1" applyProtection="1">
      <alignment horizontal="center"/>
      <protection locked="0"/>
    </xf>
    <xf numFmtId="171" fontId="8" fillId="5" borderId="14" xfId="4" applyNumberFormat="1" applyFont="1" applyFill="1" applyBorder="1" applyAlignment="1" applyProtection="1">
      <alignment horizontal="center"/>
      <protection locked="0"/>
    </xf>
    <xf numFmtId="0" fontId="8" fillId="4" borderId="14" xfId="0" applyNumberFormat="1" applyFont="1" applyFill="1" applyBorder="1" applyAlignment="1" applyProtection="1">
      <alignment horizontal="center"/>
    </xf>
    <xf numFmtId="166" fontId="8" fillId="5" borderId="6" xfId="4" applyNumberFormat="1" applyFont="1" applyFill="1" applyBorder="1" applyProtection="1"/>
    <xf numFmtId="171" fontId="8" fillId="4" borderId="0" xfId="4" applyNumberFormat="1" applyFont="1" applyFill="1" applyBorder="1" applyAlignment="1" applyProtection="1">
      <alignment horizontal="center"/>
    </xf>
    <xf numFmtId="0" fontId="8" fillId="4" borderId="15" xfId="0" applyNumberFormat="1" applyFont="1" applyFill="1" applyBorder="1" applyProtection="1"/>
    <xf numFmtId="0" fontId="9" fillId="4" borderId="0" xfId="0" applyNumberFormat="1" applyFont="1" applyFill="1" applyBorder="1" applyProtection="1"/>
    <xf numFmtId="0" fontId="9" fillId="4" borderId="14" xfId="0" applyFont="1" applyFill="1" applyBorder="1" applyAlignment="1" applyProtection="1"/>
    <xf numFmtId="171" fontId="9" fillId="4" borderId="14" xfId="0" applyNumberFormat="1" applyFont="1" applyFill="1" applyBorder="1" applyAlignment="1" applyProtection="1">
      <alignment horizontal="center"/>
    </xf>
    <xf numFmtId="173" fontId="9" fillId="4" borderId="14" xfId="0" applyNumberFormat="1" applyFont="1" applyFill="1" applyBorder="1" applyAlignment="1" applyProtection="1">
      <alignment horizontal="center"/>
    </xf>
    <xf numFmtId="166" fontId="9" fillId="4" borderId="17" xfId="0" applyNumberFormat="1" applyFont="1" applyFill="1" applyBorder="1" applyProtection="1"/>
    <xf numFmtId="0" fontId="22" fillId="5" borderId="6" xfId="0" applyNumberFormat="1" applyFont="1" applyFill="1" applyBorder="1" applyProtection="1"/>
    <xf numFmtId="0" fontId="8" fillId="4" borderId="17" xfId="0" applyFont="1" applyFill="1" applyBorder="1" applyAlignment="1" applyProtection="1"/>
    <xf numFmtId="173" fontId="8" fillId="4" borderId="17" xfId="0" applyNumberFormat="1" applyFont="1" applyFill="1" applyBorder="1" applyAlignment="1" applyProtection="1">
      <alignment horizontal="center"/>
    </xf>
    <xf numFmtId="0" fontId="8" fillId="4" borderId="17" xfId="0" applyNumberFormat="1" applyFont="1" applyFill="1" applyBorder="1" applyAlignment="1" applyProtection="1">
      <alignment horizontal="center"/>
    </xf>
    <xf numFmtId="171" fontId="8" fillId="4" borderId="17" xfId="0" applyNumberFormat="1" applyFont="1" applyFill="1" applyBorder="1" applyAlignment="1" applyProtection="1">
      <alignment horizontal="center"/>
    </xf>
    <xf numFmtId="0" fontId="8" fillId="4" borderId="17" xfId="0" applyNumberFormat="1" applyFont="1" applyFill="1" applyBorder="1" applyProtection="1"/>
    <xf numFmtId="0" fontId="8" fillId="4" borderId="18" xfId="0" applyNumberFormat="1" applyFont="1" applyFill="1" applyBorder="1" applyProtection="1"/>
    <xf numFmtId="166" fontId="9" fillId="5" borderId="0" xfId="0" applyNumberFormat="1" applyFont="1" applyFill="1" applyBorder="1" applyProtection="1"/>
    <xf numFmtId="0" fontId="8" fillId="5" borderId="0" xfId="0" applyNumberFormat="1" applyFont="1" applyFill="1" applyBorder="1" applyProtection="1"/>
    <xf numFmtId="0" fontId="9" fillId="5" borderId="0" xfId="0" applyFont="1" applyFill="1" applyBorder="1" applyAlignment="1" applyProtection="1">
      <alignment horizontal="left"/>
    </xf>
    <xf numFmtId="0" fontId="9" fillId="5" borderId="6" xfId="0" applyNumberFormat="1" applyFont="1" applyFill="1" applyBorder="1" applyProtection="1"/>
    <xf numFmtId="0" fontId="19" fillId="4" borderId="0" xfId="0" applyFont="1" applyFill="1" applyBorder="1" applyProtection="1"/>
    <xf numFmtId="0" fontId="19" fillId="5" borderId="5" xfId="0" applyFont="1" applyFill="1" applyBorder="1" applyProtection="1"/>
    <xf numFmtId="0" fontId="19" fillId="5" borderId="6" xfId="0" applyFont="1" applyFill="1" applyBorder="1" applyProtection="1"/>
    <xf numFmtId="0" fontId="9" fillId="4" borderId="0" xfId="0" quotePrefix="1" applyFont="1" applyFill="1" applyBorder="1" applyAlignment="1" applyProtection="1">
      <alignment horizontal="right"/>
    </xf>
    <xf numFmtId="0" fontId="8" fillId="5" borderId="8" xfId="0" applyFont="1" applyFill="1" applyBorder="1" applyAlignment="1" applyProtection="1"/>
    <xf numFmtId="0" fontId="8" fillId="5" borderId="8" xfId="0" applyFont="1" applyFill="1" applyBorder="1" applyAlignment="1" applyProtection="1">
      <alignment horizontal="left"/>
    </xf>
    <xf numFmtId="0" fontId="8" fillId="5" borderId="8" xfId="0" applyFont="1" applyFill="1" applyBorder="1" applyAlignment="1" applyProtection="1">
      <alignment horizontal="center"/>
    </xf>
    <xf numFmtId="173" fontId="8" fillId="5" borderId="8" xfId="0" applyNumberFormat="1" applyFont="1" applyFill="1" applyBorder="1" applyAlignment="1" applyProtection="1">
      <alignment horizontal="center"/>
    </xf>
    <xf numFmtId="0" fontId="8" fillId="5" borderId="8" xfId="0" applyNumberFormat="1" applyFont="1" applyFill="1" applyBorder="1" applyAlignment="1" applyProtection="1">
      <alignment horizontal="center"/>
    </xf>
    <xf numFmtId="171" fontId="8" fillId="5" borderId="8" xfId="4" applyNumberFormat="1" applyFont="1" applyFill="1" applyBorder="1" applyAlignment="1" applyProtection="1">
      <alignment horizontal="center"/>
    </xf>
    <xf numFmtId="171" fontId="8" fillId="5" borderId="8" xfId="0" applyNumberFormat="1" applyFont="1" applyFill="1" applyBorder="1" applyAlignment="1" applyProtection="1">
      <alignment horizontal="center"/>
    </xf>
    <xf numFmtId="166" fontId="8" fillId="5" borderId="8" xfId="4" applyNumberFormat="1" applyFont="1" applyFill="1" applyBorder="1" applyProtection="1"/>
    <xf numFmtId="164" fontId="8" fillId="5" borderId="8" xfId="0" applyNumberFormat="1" applyFont="1" applyFill="1" applyBorder="1" applyAlignment="1" applyProtection="1">
      <alignment horizontal="center"/>
    </xf>
    <xf numFmtId="164" fontId="8" fillId="4" borderId="0" xfId="0" applyNumberFormat="1" applyFont="1" applyFill="1" applyBorder="1" applyAlignment="1" applyProtection="1">
      <alignment horizontal="center"/>
    </xf>
    <xf numFmtId="0" fontId="9" fillId="4" borderId="0" xfId="0" applyFont="1" applyFill="1" applyBorder="1" applyAlignment="1" applyProtection="1">
      <alignment horizontal="left"/>
    </xf>
    <xf numFmtId="172" fontId="9" fillId="4" borderId="0" xfId="0" applyNumberFormat="1" applyFont="1" applyFill="1" applyBorder="1" applyAlignment="1" applyProtection="1">
      <alignment horizontal="left"/>
    </xf>
    <xf numFmtId="166" fontId="9" fillId="4" borderId="0" xfId="0" applyNumberFormat="1" applyFont="1" applyFill="1" applyBorder="1" applyProtection="1"/>
    <xf numFmtId="0" fontId="56" fillId="4" borderId="0" xfId="0" applyFont="1" applyFill="1" applyBorder="1" applyProtection="1"/>
    <xf numFmtId="0" fontId="56" fillId="5" borderId="3" xfId="0" applyFont="1" applyFill="1" applyBorder="1" applyProtection="1"/>
    <xf numFmtId="0" fontId="56" fillId="5" borderId="0" xfId="0" applyFont="1" applyFill="1" applyBorder="1" applyProtection="1"/>
    <xf numFmtId="0" fontId="32" fillId="4" borderId="0" xfId="0" applyFont="1" applyFill="1" applyBorder="1" applyProtection="1"/>
    <xf numFmtId="0" fontId="25" fillId="5" borderId="5" xfId="0" applyFont="1" applyFill="1" applyBorder="1" applyAlignment="1" applyProtection="1">
      <alignment horizontal="left"/>
    </xf>
    <xf numFmtId="0" fontId="32" fillId="5" borderId="0" xfId="0" applyFont="1" applyFill="1" applyBorder="1" applyProtection="1"/>
    <xf numFmtId="0" fontId="32" fillId="5" borderId="0" xfId="0" applyFont="1" applyFill="1" applyBorder="1" applyAlignment="1" applyProtection="1">
      <alignment horizontal="center"/>
    </xf>
    <xf numFmtId="173" fontId="32" fillId="5" borderId="0" xfId="0" applyNumberFormat="1" applyFont="1" applyFill="1" applyBorder="1" applyAlignment="1" applyProtection="1">
      <alignment horizontal="center"/>
    </xf>
    <xf numFmtId="0" fontId="32" fillId="5" borderId="0" xfId="0" applyNumberFormat="1" applyFont="1" applyFill="1" applyBorder="1" applyAlignment="1" applyProtection="1">
      <alignment horizontal="center"/>
    </xf>
    <xf numFmtId="171" fontId="32" fillId="5" borderId="0" xfId="0" applyNumberFormat="1" applyFont="1" applyFill="1" applyBorder="1" applyAlignment="1" applyProtection="1">
      <alignment horizontal="center"/>
    </xf>
    <xf numFmtId="0" fontId="57" fillId="5" borderId="0" xfId="0" applyFont="1" applyFill="1" applyBorder="1" applyProtection="1"/>
    <xf numFmtId="0" fontId="32" fillId="5" borderId="6" xfId="0" applyFont="1" applyFill="1" applyBorder="1" applyProtection="1"/>
    <xf numFmtId="0" fontId="20" fillId="4" borderId="10" xfId="0" applyFont="1" applyFill="1" applyBorder="1" applyProtection="1"/>
    <xf numFmtId="0" fontId="44" fillId="4" borderId="14" xfId="0" applyFont="1" applyFill="1" applyBorder="1" applyAlignment="1" applyProtection="1">
      <alignment horizontal="left"/>
    </xf>
    <xf numFmtId="166" fontId="44" fillId="4" borderId="0" xfId="4" applyNumberFormat="1" applyFont="1" applyFill="1" applyBorder="1" applyProtection="1"/>
    <xf numFmtId="166" fontId="10" fillId="4" borderId="15" xfId="0" applyNumberFormat="1" applyFont="1" applyFill="1" applyBorder="1" applyAlignment="1" applyProtection="1">
      <alignment horizontal="center"/>
    </xf>
    <xf numFmtId="0" fontId="9" fillId="4" borderId="17" xfId="0" applyFont="1" applyFill="1" applyBorder="1" applyAlignment="1" applyProtection="1">
      <alignment horizontal="center"/>
    </xf>
    <xf numFmtId="173" fontId="9" fillId="4" borderId="17" xfId="0" applyNumberFormat="1" applyFont="1" applyFill="1" applyBorder="1" applyAlignment="1" applyProtection="1">
      <alignment horizontal="center"/>
    </xf>
    <xf numFmtId="0" fontId="9" fillId="4" borderId="17" xfId="0" applyNumberFormat="1" applyFont="1" applyFill="1" applyBorder="1" applyAlignment="1" applyProtection="1">
      <alignment horizontal="center"/>
    </xf>
    <xf numFmtId="166" fontId="59" fillId="4" borderId="0" xfId="0" applyNumberFormat="1" applyFont="1" applyFill="1" applyBorder="1" applyProtection="1"/>
    <xf numFmtId="166" fontId="8" fillId="5" borderId="3" xfId="4" applyNumberFormat="1" applyFont="1" applyFill="1" applyBorder="1" applyProtection="1"/>
    <xf numFmtId="164" fontId="8" fillId="5" borderId="3" xfId="0" applyNumberFormat="1" applyFont="1" applyFill="1" applyBorder="1" applyAlignment="1" applyProtection="1">
      <alignment horizontal="center"/>
    </xf>
    <xf numFmtId="171" fontId="8" fillId="5" borderId="0" xfId="4" applyNumberFormat="1" applyFont="1" applyFill="1" applyBorder="1" applyAlignment="1" applyProtection="1">
      <alignment horizontal="center"/>
    </xf>
    <xf numFmtId="166" fontId="8" fillId="5" borderId="0" xfId="4" applyNumberFormat="1" applyFont="1" applyFill="1" applyBorder="1" applyProtection="1"/>
    <xf numFmtId="166" fontId="56" fillId="5" borderId="0" xfId="4" applyNumberFormat="1" applyFont="1" applyFill="1" applyBorder="1" applyProtection="1"/>
    <xf numFmtId="164" fontId="8" fillId="5" borderId="0" xfId="0" applyNumberFormat="1" applyFont="1" applyFill="1" applyBorder="1" applyAlignment="1" applyProtection="1">
      <alignment horizontal="center"/>
    </xf>
    <xf numFmtId="166" fontId="9" fillId="5" borderId="8" xfId="0" applyNumberFormat="1" applyFont="1" applyFill="1" applyBorder="1" applyProtection="1"/>
    <xf numFmtId="166" fontId="59" fillId="5" borderId="8" xfId="0" applyNumberFormat="1" applyFont="1" applyFill="1" applyBorder="1" applyProtection="1"/>
    <xf numFmtId="0" fontId="14" fillId="4" borderId="0" xfId="0" applyFont="1" applyFill="1" applyBorder="1" applyAlignment="1" applyProtection="1">
      <alignment horizontal="center"/>
    </xf>
    <xf numFmtId="0" fontId="58" fillId="4" borderId="0" xfId="0" applyFont="1" applyFill="1" applyBorder="1" applyProtection="1"/>
    <xf numFmtId="0" fontId="58" fillId="5" borderId="3" xfId="0" applyFont="1" applyFill="1" applyBorder="1" applyProtection="1"/>
    <xf numFmtId="0" fontId="58" fillId="5" borderId="0" xfId="0" applyFont="1" applyFill="1" applyBorder="1" applyProtection="1"/>
    <xf numFmtId="0" fontId="60" fillId="5" borderId="0" xfId="0" applyFont="1" applyFill="1" applyBorder="1" applyProtection="1"/>
    <xf numFmtId="0" fontId="9" fillId="4" borderId="14" xfId="0" applyNumberFormat="1" applyFont="1" applyFill="1" applyBorder="1" applyAlignment="1" applyProtection="1">
      <alignment horizontal="center"/>
    </xf>
    <xf numFmtId="166" fontId="9" fillId="4" borderId="14" xfId="0" applyNumberFormat="1" applyFont="1" applyFill="1" applyBorder="1" applyAlignment="1" applyProtection="1">
      <alignment horizontal="center"/>
    </xf>
    <xf numFmtId="166" fontId="61" fillId="4" borderId="17" xfId="0" applyNumberFormat="1" applyFont="1" applyFill="1" applyBorder="1" applyProtection="1"/>
    <xf numFmtId="0" fontId="8" fillId="4" borderId="18" xfId="0" applyNumberFormat="1" applyFont="1" applyFill="1" applyBorder="1" applyAlignment="1" applyProtection="1">
      <alignment horizontal="center"/>
    </xf>
    <xf numFmtId="166" fontId="58" fillId="5" borderId="0" xfId="4" applyNumberFormat="1" applyFont="1" applyFill="1" applyBorder="1" applyProtection="1"/>
    <xf numFmtId="166" fontId="8" fillId="4" borderId="0" xfId="0" applyNumberFormat="1" applyFont="1" applyFill="1" applyBorder="1" applyAlignment="1" applyProtection="1">
      <alignment horizontal="center"/>
    </xf>
    <xf numFmtId="1" fontId="8" fillId="4" borderId="0" xfId="0" applyNumberFormat="1" applyFont="1" applyFill="1" applyBorder="1" applyAlignment="1" applyProtection="1">
      <alignment horizontal="center"/>
    </xf>
    <xf numFmtId="166" fontId="10" fillId="4" borderId="0" xfId="0" applyNumberFormat="1" applyFont="1" applyFill="1" applyBorder="1" applyAlignment="1" applyProtection="1">
      <alignment horizontal="center"/>
    </xf>
    <xf numFmtId="166" fontId="58" fillId="5" borderId="8" xfId="4" applyNumberFormat="1" applyFont="1" applyFill="1" applyBorder="1" applyProtection="1"/>
    <xf numFmtId="166" fontId="8" fillId="4" borderId="0" xfId="4" applyNumberFormat="1" applyFont="1" applyFill="1" applyBorder="1" applyAlignment="1" applyProtection="1">
      <alignment horizontal="center"/>
    </xf>
    <xf numFmtId="166" fontId="20" fillId="5" borderId="0" xfId="0" applyNumberFormat="1" applyFont="1" applyFill="1" applyBorder="1" applyProtection="1"/>
    <xf numFmtId="0" fontId="21" fillId="4" borderId="0" xfId="0" applyFont="1" applyFill="1" applyBorder="1" applyProtection="1"/>
    <xf numFmtId="0" fontId="46" fillId="5" borderId="0" xfId="0" applyNumberFormat="1" applyFont="1" applyFill="1" applyBorder="1" applyAlignment="1" applyProtection="1">
      <alignment horizontal="right"/>
    </xf>
    <xf numFmtId="0" fontId="47" fillId="5" borderId="0" xfId="0" applyNumberFormat="1" applyFont="1" applyFill="1" applyBorder="1" applyProtection="1"/>
    <xf numFmtId="0" fontId="13" fillId="5" borderId="0" xfId="0" applyFont="1" applyFill="1" applyBorder="1" applyProtection="1"/>
    <xf numFmtId="166" fontId="13" fillId="5" borderId="0" xfId="0" quotePrefix="1" applyNumberFormat="1" applyFont="1" applyFill="1" applyBorder="1" applyAlignment="1" applyProtection="1">
      <alignment horizontal="center"/>
    </xf>
    <xf numFmtId="0" fontId="13" fillId="5" borderId="0" xfId="0" quotePrefix="1" applyNumberFormat="1" applyFont="1" applyFill="1" applyBorder="1" applyAlignment="1" applyProtection="1">
      <alignment horizontal="center"/>
    </xf>
    <xf numFmtId="0" fontId="13" fillId="5" borderId="6" xfId="0" quotePrefix="1" applyNumberFormat="1" applyFont="1" applyFill="1" applyBorder="1" applyAlignment="1" applyProtection="1">
      <alignment horizontal="center"/>
    </xf>
    <xf numFmtId="0" fontId="8" fillId="4" borderId="11" xfId="0" applyFont="1" applyFill="1" applyBorder="1" applyAlignment="1" applyProtection="1">
      <alignment horizontal="right"/>
    </xf>
    <xf numFmtId="166" fontId="13" fillId="4" borderId="11" xfId="0" quotePrefix="1" applyNumberFormat="1" applyFont="1" applyFill="1" applyBorder="1" applyAlignment="1" applyProtection="1">
      <alignment horizontal="right"/>
    </xf>
    <xf numFmtId="0" fontId="48" fillId="5" borderId="5" xfId="0" applyFont="1" applyFill="1" applyBorder="1" applyProtection="1"/>
    <xf numFmtId="0" fontId="48" fillId="4" borderId="13" xfId="0" applyFont="1" applyFill="1" applyBorder="1" applyProtection="1"/>
    <xf numFmtId="166" fontId="44" fillId="4" borderId="14" xfId="0" applyNumberFormat="1" applyFont="1" applyFill="1" applyBorder="1" applyProtection="1"/>
    <xf numFmtId="166" fontId="47" fillId="4" borderId="14" xfId="0" quotePrefix="1" applyNumberFormat="1" applyFont="1" applyFill="1" applyBorder="1" applyAlignment="1" applyProtection="1">
      <alignment horizontal="right"/>
    </xf>
    <xf numFmtId="0" fontId="48" fillId="4" borderId="0" xfId="0" applyFont="1" applyFill="1" applyBorder="1" applyProtection="1"/>
    <xf numFmtId="166" fontId="8" fillId="4" borderId="14" xfId="0" applyNumberFormat="1" applyFont="1" applyFill="1" applyBorder="1" applyProtection="1"/>
    <xf numFmtId="166" fontId="13" fillId="4" borderId="14" xfId="0" quotePrefix="1" applyNumberFormat="1" applyFont="1" applyFill="1" applyBorder="1" applyAlignment="1" applyProtection="1">
      <alignment horizontal="right"/>
    </xf>
    <xf numFmtId="164" fontId="13" fillId="5" borderId="6" xfId="4" applyNumberFormat="1" applyFont="1" applyFill="1" applyBorder="1" applyAlignment="1" applyProtection="1">
      <alignment horizontal="left"/>
    </xf>
    <xf numFmtId="164" fontId="8" fillId="5" borderId="6" xfId="4" applyNumberFormat="1" applyFont="1" applyFill="1" applyBorder="1" applyAlignment="1" applyProtection="1">
      <alignment horizontal="left"/>
    </xf>
    <xf numFmtId="164" fontId="10" fillId="5" borderId="6" xfId="4" applyNumberFormat="1" applyFont="1" applyFill="1" applyBorder="1" applyAlignment="1" applyProtection="1">
      <alignment horizontal="left"/>
    </xf>
    <xf numFmtId="166" fontId="24" fillId="4" borderId="14" xfId="4" applyNumberFormat="1" applyFont="1" applyFill="1" applyBorder="1" applyAlignment="1" applyProtection="1">
      <alignment horizontal="left"/>
    </xf>
    <xf numFmtId="164" fontId="10" fillId="4" borderId="14" xfId="4" applyNumberFormat="1" applyFont="1" applyFill="1" applyBorder="1" applyAlignment="1" applyProtection="1">
      <alignment horizontal="left"/>
    </xf>
    <xf numFmtId="166" fontId="8" fillId="5" borderId="14" xfId="4" applyNumberFormat="1" applyFont="1" applyFill="1" applyBorder="1" applyAlignment="1" applyProtection="1">
      <alignment horizontal="left"/>
      <protection locked="0"/>
    </xf>
    <xf numFmtId="164" fontId="9" fillId="4" borderId="14" xfId="4" applyNumberFormat="1" applyFont="1" applyFill="1" applyBorder="1" applyAlignment="1" applyProtection="1">
      <alignment horizontal="left"/>
    </xf>
    <xf numFmtId="164" fontId="8" fillId="4" borderId="14" xfId="0" applyNumberFormat="1" applyFont="1" applyFill="1" applyBorder="1" applyAlignment="1" applyProtection="1">
      <alignment horizontal="left"/>
    </xf>
    <xf numFmtId="0" fontId="36" fillId="4" borderId="14" xfId="0" applyFont="1" applyFill="1" applyBorder="1" applyProtection="1"/>
    <xf numFmtId="164" fontId="13" fillId="4" borderId="14" xfId="4" applyNumberFormat="1" applyFont="1" applyFill="1" applyBorder="1" applyAlignment="1" applyProtection="1">
      <alignment horizontal="left"/>
    </xf>
    <xf numFmtId="0" fontId="62" fillId="4" borderId="14" xfId="0" applyFont="1" applyFill="1" applyBorder="1" applyProtection="1"/>
    <xf numFmtId="166" fontId="10" fillId="4" borderId="14" xfId="4" applyNumberFormat="1" applyFont="1" applyFill="1" applyBorder="1" applyAlignment="1" applyProtection="1">
      <alignment horizontal="left"/>
    </xf>
    <xf numFmtId="164" fontId="9" fillId="5" borderId="6" xfId="4" applyNumberFormat="1" applyFont="1" applyFill="1" applyBorder="1" applyAlignment="1" applyProtection="1">
      <alignment horizontal="left"/>
    </xf>
    <xf numFmtId="164" fontId="9" fillId="4" borderId="17" xfId="4" applyNumberFormat="1" applyFont="1" applyFill="1" applyBorder="1" applyAlignment="1" applyProtection="1">
      <alignment horizontal="left"/>
    </xf>
    <xf numFmtId="0" fontId="49" fillId="5" borderId="0" xfId="0" applyFont="1" applyFill="1" applyBorder="1" applyProtection="1"/>
    <xf numFmtId="0" fontId="49" fillId="5" borderId="0" xfId="0" applyFont="1" applyFill="1" applyBorder="1" applyAlignment="1" applyProtection="1">
      <alignment horizontal="left"/>
    </xf>
    <xf numFmtId="0" fontId="49" fillId="5" borderId="0" xfId="0" applyFont="1" applyFill="1" applyBorder="1" applyAlignment="1" applyProtection="1">
      <alignment horizontal="center"/>
    </xf>
    <xf numFmtId="164" fontId="49" fillId="5" borderId="0" xfId="4" applyNumberFormat="1" applyFont="1" applyFill="1" applyBorder="1" applyAlignment="1" applyProtection="1">
      <alignment horizontal="left"/>
    </xf>
    <xf numFmtId="164" fontId="9" fillId="4" borderId="11" xfId="4" applyNumberFormat="1" applyFont="1" applyFill="1" applyBorder="1" applyAlignment="1" applyProtection="1">
      <alignment horizontal="left"/>
    </xf>
    <xf numFmtId="0" fontId="22" fillId="4" borderId="0" xfId="0" applyFont="1" applyFill="1" applyBorder="1" applyProtection="1"/>
    <xf numFmtId="0" fontId="22" fillId="5" borderId="5" xfId="0" applyFont="1" applyFill="1" applyBorder="1" applyProtection="1"/>
    <xf numFmtId="0" fontId="22" fillId="4" borderId="13" xfId="0" applyFont="1" applyFill="1" applyBorder="1" applyProtection="1"/>
    <xf numFmtId="0" fontId="22" fillId="4" borderId="14" xfId="0" applyFont="1" applyFill="1" applyBorder="1" applyProtection="1"/>
    <xf numFmtId="0" fontId="22" fillId="4" borderId="14" xfId="0" applyFont="1" applyFill="1" applyBorder="1" applyAlignment="1" applyProtection="1">
      <alignment horizontal="center"/>
    </xf>
    <xf numFmtId="0" fontId="22" fillId="4" borderId="14" xfId="0" applyFont="1" applyFill="1" applyBorder="1" applyAlignment="1" applyProtection="1">
      <alignment horizontal="left"/>
    </xf>
    <xf numFmtId="164" fontId="22" fillId="4" borderId="14" xfId="4" applyNumberFormat="1" applyFont="1" applyFill="1" applyBorder="1" applyAlignment="1" applyProtection="1">
      <alignment horizontal="left"/>
    </xf>
    <xf numFmtId="164" fontId="22" fillId="5" borderId="6" xfId="4" applyNumberFormat="1" applyFont="1" applyFill="1" applyBorder="1" applyAlignment="1" applyProtection="1">
      <alignment horizontal="left"/>
    </xf>
    <xf numFmtId="166" fontId="8" fillId="4" borderId="14" xfId="4" applyNumberFormat="1" applyFont="1" applyFill="1" applyBorder="1" applyAlignment="1" applyProtection="1">
      <alignment horizontal="left"/>
    </xf>
    <xf numFmtId="0" fontId="9" fillId="5" borderId="0" xfId="0" applyFont="1" applyFill="1" applyBorder="1" applyAlignment="1" applyProtection="1">
      <alignment horizontal="center"/>
    </xf>
    <xf numFmtId="164" fontId="9" fillId="5" borderId="0" xfId="4" applyNumberFormat="1" applyFont="1" applyFill="1" applyBorder="1" applyAlignment="1" applyProtection="1">
      <alignment horizontal="left"/>
    </xf>
    <xf numFmtId="0" fontId="20" fillId="4" borderId="14" xfId="0" applyFont="1" applyFill="1" applyBorder="1" applyAlignment="1" applyProtection="1">
      <alignment horizontal="left"/>
    </xf>
    <xf numFmtId="166" fontId="10" fillId="4" borderId="17" xfId="4" applyNumberFormat="1" applyFont="1" applyFill="1" applyBorder="1" applyAlignment="1" applyProtection="1">
      <alignment horizontal="left"/>
    </xf>
    <xf numFmtId="164" fontId="10" fillId="4" borderId="17" xfId="4" applyNumberFormat="1" applyFont="1" applyFill="1" applyBorder="1" applyAlignment="1" applyProtection="1">
      <alignment horizontal="left"/>
    </xf>
    <xf numFmtId="166" fontId="10" fillId="5" borderId="0" xfId="4" applyNumberFormat="1" applyFont="1" applyFill="1" applyBorder="1" applyAlignment="1" applyProtection="1">
      <alignment horizontal="left"/>
    </xf>
    <xf numFmtId="164" fontId="10" fillId="5" borderId="0" xfId="4" applyNumberFormat="1" applyFont="1" applyFill="1" applyBorder="1" applyAlignment="1" applyProtection="1">
      <alignment horizontal="left"/>
    </xf>
    <xf numFmtId="166" fontId="10" fillId="4" borderId="11" xfId="4" applyNumberFormat="1" applyFont="1" applyFill="1" applyBorder="1" applyAlignment="1" applyProtection="1">
      <alignment horizontal="left"/>
    </xf>
    <xf numFmtId="164" fontId="10" fillId="4" borderId="11" xfId="4" applyNumberFormat="1" applyFont="1" applyFill="1" applyBorder="1" applyAlignment="1" applyProtection="1">
      <alignment horizontal="left"/>
    </xf>
    <xf numFmtId="1" fontId="9" fillId="5" borderId="0" xfId="0" applyNumberFormat="1" applyFont="1" applyFill="1" applyBorder="1" applyProtection="1"/>
    <xf numFmtId="166" fontId="13" fillId="5" borderId="0" xfId="0" applyNumberFormat="1" applyFont="1" applyFill="1" applyBorder="1" applyAlignment="1" applyProtection="1">
      <alignment horizontal="left"/>
    </xf>
    <xf numFmtId="164" fontId="9" fillId="5" borderId="0" xfId="0" applyNumberFormat="1" applyFont="1" applyFill="1" applyBorder="1" applyAlignment="1" applyProtection="1">
      <alignment horizontal="left"/>
    </xf>
    <xf numFmtId="164" fontId="9" fillId="5" borderId="6" xfId="0" applyNumberFormat="1" applyFont="1" applyFill="1" applyBorder="1" applyAlignment="1" applyProtection="1">
      <alignment horizontal="left"/>
    </xf>
    <xf numFmtId="166" fontId="8" fillId="5" borderId="8" xfId="0" applyNumberFormat="1" applyFont="1" applyFill="1" applyBorder="1" applyProtection="1"/>
    <xf numFmtId="1" fontId="8" fillId="4" borderId="11" xfId="0" applyNumberFormat="1" applyFont="1" applyFill="1" applyBorder="1" applyProtection="1"/>
    <xf numFmtId="1" fontId="8" fillId="4" borderId="11" xfId="0" applyNumberFormat="1" applyFont="1" applyFill="1" applyBorder="1" applyAlignment="1" applyProtection="1">
      <alignment horizontal="center"/>
    </xf>
    <xf numFmtId="166" fontId="8" fillId="4" borderId="11" xfId="4" applyNumberFormat="1" applyFont="1" applyFill="1" applyBorder="1" applyProtection="1"/>
    <xf numFmtId="165" fontId="8" fillId="4" borderId="11" xfId="4" applyNumberFormat="1" applyFont="1" applyFill="1" applyBorder="1" applyProtection="1"/>
    <xf numFmtId="166" fontId="8" fillId="4" borderId="14" xfId="4" applyNumberFormat="1" applyFont="1" applyFill="1" applyBorder="1" applyProtection="1"/>
    <xf numFmtId="0" fontId="13" fillId="4" borderId="14" xfId="0" quotePrefix="1" applyFont="1" applyFill="1" applyBorder="1" applyAlignment="1" applyProtection="1">
      <alignment horizontal="center"/>
    </xf>
    <xf numFmtId="1" fontId="8" fillId="4" borderId="14" xfId="0" applyNumberFormat="1" applyFont="1" applyFill="1" applyBorder="1" applyProtection="1"/>
    <xf numFmtId="0" fontId="10" fillId="4" borderId="17" xfId="0" applyFont="1" applyFill="1" applyBorder="1" applyAlignment="1" applyProtection="1">
      <alignment horizontal="right"/>
    </xf>
    <xf numFmtId="0" fontId="13" fillId="4" borderId="17" xfId="0" applyFont="1" applyFill="1" applyBorder="1" applyProtection="1"/>
    <xf numFmtId="166" fontId="13" fillId="4" borderId="17" xfId="0" quotePrefix="1" applyNumberFormat="1" applyFont="1" applyFill="1" applyBorder="1" applyAlignment="1" applyProtection="1">
      <alignment horizontal="center"/>
    </xf>
    <xf numFmtId="0" fontId="13" fillId="4" borderId="17" xfId="0" quotePrefix="1" applyNumberFormat="1" applyFont="1" applyFill="1" applyBorder="1" applyAlignment="1" applyProtection="1">
      <alignment horizontal="center"/>
    </xf>
    <xf numFmtId="0" fontId="13" fillId="4" borderId="11" xfId="0" quotePrefix="1" applyNumberFormat="1" applyFont="1" applyFill="1" applyBorder="1" applyAlignment="1" applyProtection="1">
      <alignment horizontal="center"/>
    </xf>
    <xf numFmtId="0" fontId="13" fillId="4" borderId="11" xfId="0" quotePrefix="1" applyFont="1" applyFill="1" applyBorder="1" applyAlignment="1" applyProtection="1">
      <alignment horizontal="center"/>
    </xf>
    <xf numFmtId="0" fontId="13" fillId="5" borderId="6" xfId="0" quotePrefix="1" applyFont="1" applyFill="1" applyBorder="1" applyAlignment="1" applyProtection="1">
      <alignment horizontal="center"/>
    </xf>
    <xf numFmtId="166" fontId="10" fillId="4" borderId="14" xfId="4" applyNumberFormat="1" applyFont="1" applyFill="1" applyBorder="1" applyAlignment="1" applyProtection="1">
      <alignment horizontal="right"/>
    </xf>
    <xf numFmtId="1" fontId="10" fillId="4" borderId="14" xfId="4" applyNumberFormat="1" applyFont="1" applyFill="1" applyBorder="1" applyAlignment="1" applyProtection="1">
      <alignment horizontal="right"/>
    </xf>
    <xf numFmtId="1" fontId="10" fillId="5" borderId="6" xfId="4" applyNumberFormat="1" applyFont="1" applyFill="1" applyBorder="1" applyAlignment="1" applyProtection="1">
      <alignment horizontal="right"/>
    </xf>
    <xf numFmtId="49" fontId="8" fillId="4" borderId="14" xfId="0" applyNumberFormat="1" applyFont="1" applyFill="1" applyBorder="1" applyAlignment="1" applyProtection="1">
      <alignment horizontal="center"/>
      <protection locked="0"/>
    </xf>
    <xf numFmtId="165" fontId="8" fillId="5" borderId="6" xfId="4" applyNumberFormat="1" applyFont="1" applyFill="1" applyBorder="1" applyProtection="1"/>
    <xf numFmtId="1" fontId="8" fillId="5" borderId="14" xfId="0" applyNumberFormat="1" applyFont="1" applyFill="1" applyBorder="1" applyProtection="1">
      <protection locked="0"/>
    </xf>
    <xf numFmtId="165" fontId="8" fillId="5" borderId="6" xfId="4" applyNumberFormat="1" applyFont="1" applyFill="1" applyBorder="1" applyAlignment="1" applyProtection="1">
      <alignment horizontal="left"/>
    </xf>
    <xf numFmtId="165" fontId="9" fillId="5" borderId="6" xfId="4" applyNumberFormat="1" applyFont="1" applyFill="1" applyBorder="1" applyProtection="1"/>
    <xf numFmtId="166" fontId="8" fillId="4" borderId="17" xfId="4" applyNumberFormat="1" applyFont="1" applyFill="1" applyBorder="1" applyProtection="1"/>
    <xf numFmtId="1" fontId="9" fillId="4" borderId="14" xfId="0" applyNumberFormat="1" applyFont="1" applyFill="1" applyBorder="1" applyProtection="1"/>
    <xf numFmtId="166" fontId="9" fillId="4" borderId="14" xfId="4" applyNumberFormat="1" applyFont="1" applyFill="1" applyBorder="1" applyProtection="1"/>
    <xf numFmtId="1" fontId="13" fillId="4" borderId="14" xfId="0" applyNumberFormat="1" applyFont="1" applyFill="1" applyBorder="1" applyProtection="1"/>
    <xf numFmtId="1" fontId="9" fillId="4" borderId="14" xfId="0" applyNumberFormat="1" applyFont="1" applyFill="1" applyBorder="1" applyAlignment="1" applyProtection="1">
      <alignment horizontal="center"/>
    </xf>
    <xf numFmtId="1" fontId="8" fillId="5" borderId="14" xfId="0" applyNumberFormat="1" applyFont="1" applyFill="1" applyBorder="1" applyAlignment="1" applyProtection="1">
      <alignment horizontal="left"/>
      <protection locked="0"/>
    </xf>
    <xf numFmtId="1" fontId="8" fillId="4" borderId="17" xfId="0" applyNumberFormat="1" applyFont="1" applyFill="1" applyBorder="1" applyProtection="1"/>
    <xf numFmtId="1" fontId="8" fillId="4" borderId="17" xfId="0" applyNumberFormat="1" applyFont="1" applyFill="1" applyBorder="1" applyAlignment="1" applyProtection="1">
      <alignment horizontal="center"/>
    </xf>
    <xf numFmtId="165" fontId="8" fillId="4" borderId="17" xfId="4" applyNumberFormat="1" applyFont="1" applyFill="1" applyBorder="1" applyProtection="1"/>
    <xf numFmtId="1" fontId="8" fillId="5" borderId="0" xfId="0" applyNumberFormat="1" applyFont="1" applyFill="1" applyBorder="1" applyProtection="1"/>
    <xf numFmtId="1" fontId="8" fillId="5" borderId="0" xfId="0" applyNumberFormat="1" applyFont="1" applyFill="1" applyBorder="1" applyAlignment="1" applyProtection="1">
      <alignment horizontal="center"/>
    </xf>
    <xf numFmtId="165" fontId="8" fillId="5" borderId="0" xfId="4" applyNumberFormat="1" applyFont="1" applyFill="1" applyBorder="1" applyProtection="1"/>
    <xf numFmtId="1" fontId="9" fillId="4" borderId="11" xfId="0" applyNumberFormat="1" applyFont="1" applyFill="1" applyBorder="1" applyProtection="1"/>
    <xf numFmtId="0" fontId="9" fillId="4" borderId="17" xfId="0" applyFont="1" applyFill="1" applyBorder="1" applyAlignment="1" applyProtection="1">
      <alignment horizontal="right"/>
    </xf>
    <xf numFmtId="166" fontId="14" fillId="4" borderId="17" xfId="4" applyNumberFormat="1" applyFont="1" applyFill="1" applyBorder="1" applyProtection="1"/>
    <xf numFmtId="165" fontId="9" fillId="4" borderId="17" xfId="4" applyNumberFormat="1" applyFont="1" applyFill="1" applyBorder="1" applyProtection="1"/>
    <xf numFmtId="0" fontId="9" fillId="5" borderId="0" xfId="0" applyFont="1" applyFill="1" applyBorder="1" applyAlignment="1" applyProtection="1">
      <alignment horizontal="right"/>
    </xf>
    <xf numFmtId="166" fontId="14" fillId="5" borderId="0" xfId="4" applyNumberFormat="1" applyFont="1" applyFill="1" applyBorder="1" applyProtection="1"/>
    <xf numFmtId="165" fontId="9" fillId="5" borderId="0" xfId="4" applyNumberFormat="1" applyFont="1" applyFill="1" applyBorder="1" applyProtection="1"/>
    <xf numFmtId="0" fontId="9" fillId="4" borderId="11" xfId="0" applyFont="1" applyFill="1" applyBorder="1" applyAlignment="1" applyProtection="1">
      <alignment horizontal="right"/>
    </xf>
    <xf numFmtId="166" fontId="14" fillId="4" borderId="11" xfId="4" applyNumberFormat="1" applyFont="1" applyFill="1" applyBorder="1" applyProtection="1"/>
    <xf numFmtId="165" fontId="9" fillId="4" borderId="11" xfId="4" applyNumberFormat="1" applyFont="1" applyFill="1" applyBorder="1" applyProtection="1"/>
    <xf numFmtId="0" fontId="9" fillId="4" borderId="0" xfId="0" applyFont="1" applyFill="1" applyBorder="1" applyAlignment="1" applyProtection="1">
      <alignment horizontal="right"/>
    </xf>
    <xf numFmtId="0" fontId="19" fillId="4" borderId="0" xfId="0" applyFont="1" applyFill="1" applyBorder="1" applyAlignment="1" applyProtection="1">
      <alignment horizontal="center"/>
    </xf>
    <xf numFmtId="166" fontId="19" fillId="4" borderId="0" xfId="0" applyNumberFormat="1" applyFont="1" applyFill="1" applyBorder="1" applyProtection="1"/>
    <xf numFmtId="0" fontId="8" fillId="5" borderId="3" xfId="0" applyNumberFormat="1" applyFont="1" applyFill="1" applyBorder="1" applyProtection="1"/>
    <xf numFmtId="0" fontId="29" fillId="4" borderId="0" xfId="0" applyFont="1" applyFill="1" applyBorder="1" applyProtection="1"/>
    <xf numFmtId="0" fontId="29" fillId="5" borderId="0" xfId="0" applyFont="1" applyFill="1" applyBorder="1" applyProtection="1"/>
    <xf numFmtId="0" fontId="29" fillId="5" borderId="6" xfId="0" applyFont="1" applyFill="1" applyBorder="1" applyProtection="1"/>
    <xf numFmtId="0" fontId="26" fillId="4" borderId="0" xfId="0" applyFont="1" applyFill="1" applyBorder="1" applyProtection="1"/>
    <xf numFmtId="0" fontId="28" fillId="5" borderId="5" xfId="0" applyFont="1" applyFill="1" applyBorder="1" applyProtection="1"/>
    <xf numFmtId="0" fontId="13" fillId="5" borderId="0" xfId="0" applyFont="1" applyFill="1" applyBorder="1" applyAlignment="1" applyProtection="1">
      <alignment horizontal="right"/>
    </xf>
    <xf numFmtId="0" fontId="26" fillId="5" borderId="6" xfId="0" applyFont="1" applyFill="1" applyBorder="1" applyProtection="1"/>
    <xf numFmtId="0" fontId="47" fillId="5" borderId="0" xfId="0" applyFont="1" applyFill="1" applyBorder="1" applyAlignment="1" applyProtection="1">
      <alignment horizontal="right"/>
    </xf>
    <xf numFmtId="0" fontId="28" fillId="5" borderId="0" xfId="0" applyFont="1" applyFill="1" applyBorder="1" applyProtection="1"/>
    <xf numFmtId="0" fontId="10" fillId="5" borderId="5" xfId="0" applyFont="1" applyFill="1" applyBorder="1" applyAlignment="1" applyProtection="1">
      <alignment horizontal="right"/>
    </xf>
    <xf numFmtId="0" fontId="23" fillId="5" borderId="0" xfId="0" applyNumberFormat="1" applyFont="1" applyFill="1" applyBorder="1" applyAlignment="1" applyProtection="1">
      <alignment horizontal="right"/>
    </xf>
    <xf numFmtId="0" fontId="10" fillId="4" borderId="0" xfId="0" applyFont="1" applyFill="1" applyBorder="1" applyAlignment="1" applyProtection="1">
      <alignment horizontal="right"/>
    </xf>
    <xf numFmtId="0" fontId="13" fillId="4" borderId="0" xfId="0" applyFont="1" applyFill="1" applyBorder="1" applyAlignment="1" applyProtection="1">
      <alignment horizontal="left"/>
    </xf>
    <xf numFmtId="0" fontId="8" fillId="4" borderId="0" xfId="0" applyFont="1" applyFill="1" applyBorder="1" applyAlignment="1" applyProtection="1">
      <alignment horizontal="left" indent="2"/>
    </xf>
    <xf numFmtId="0" fontId="8" fillId="4" borderId="0" xfId="0" applyFont="1" applyFill="1" applyBorder="1" applyAlignment="1" applyProtection="1">
      <alignment horizontal="right"/>
    </xf>
    <xf numFmtId="164" fontId="8" fillId="5" borderId="13" xfId="0" applyNumberFormat="1" applyFont="1" applyFill="1" applyBorder="1" applyProtection="1">
      <protection locked="0"/>
    </xf>
    <xf numFmtId="164" fontId="8" fillId="5" borderId="14" xfId="0" applyNumberFormat="1" applyFont="1" applyFill="1" applyBorder="1" applyProtection="1">
      <protection locked="0"/>
    </xf>
    <xf numFmtId="0" fontId="9" fillId="4" borderId="0" xfId="0" applyFont="1" applyFill="1" applyBorder="1" applyAlignment="1" applyProtection="1">
      <alignment horizontal="left" indent="2"/>
    </xf>
    <xf numFmtId="0" fontId="23" fillId="5" borderId="5" xfId="0" applyFont="1" applyFill="1" applyBorder="1" applyAlignment="1" applyProtection="1">
      <alignment horizontal="right"/>
    </xf>
    <xf numFmtId="0" fontId="12" fillId="5" borderId="0" xfId="0" applyFont="1" applyFill="1" applyBorder="1" applyAlignment="1" applyProtection="1">
      <alignment horizontal="center"/>
    </xf>
    <xf numFmtId="0" fontId="21" fillId="5" borderId="0" xfId="0" applyFont="1" applyFill="1" applyBorder="1" applyAlignment="1" applyProtection="1">
      <alignment horizontal="left"/>
    </xf>
    <xf numFmtId="0" fontId="21" fillId="5" borderId="0" xfId="0" applyFont="1" applyFill="1" applyBorder="1" applyAlignment="1" applyProtection="1">
      <alignment horizontal="center"/>
    </xf>
    <xf numFmtId="0" fontId="30" fillId="5" borderId="0" xfId="0" applyFont="1" applyFill="1" applyBorder="1" applyProtection="1"/>
    <xf numFmtId="0" fontId="46" fillId="5" borderId="0" xfId="0" applyFont="1" applyFill="1" applyBorder="1" applyAlignment="1" applyProtection="1">
      <alignment horizontal="center"/>
    </xf>
    <xf numFmtId="0" fontId="10" fillId="4" borderId="0" xfId="0" applyFont="1" applyFill="1" applyBorder="1" applyAlignment="1" applyProtection="1">
      <alignment horizontal="center"/>
    </xf>
    <xf numFmtId="0" fontId="10" fillId="5" borderId="0" xfId="0" applyFont="1" applyFill="1" applyBorder="1" applyAlignment="1" applyProtection="1">
      <alignment horizontal="left"/>
    </xf>
    <xf numFmtId="0" fontId="10" fillId="5" borderId="0" xfId="0" applyNumberFormat="1" applyFont="1" applyFill="1" applyBorder="1" applyAlignment="1" applyProtection="1">
      <alignment horizontal="center"/>
    </xf>
    <xf numFmtId="0" fontId="10" fillId="4" borderId="10" xfId="0" applyFont="1" applyFill="1" applyBorder="1" applyAlignment="1" applyProtection="1">
      <alignment horizontal="center"/>
    </xf>
    <xf numFmtId="0" fontId="10" fillId="4" borderId="11" xfId="0" applyFont="1" applyFill="1" applyBorder="1" applyAlignment="1" applyProtection="1">
      <alignment horizontal="left"/>
    </xf>
    <xf numFmtId="0" fontId="10" fillId="4" borderId="11" xfId="0" applyFont="1" applyFill="1" applyBorder="1" applyAlignment="1" applyProtection="1">
      <alignment horizontal="center"/>
    </xf>
    <xf numFmtId="0" fontId="10" fillId="4" borderId="11" xfId="0" applyNumberFormat="1" applyFont="1" applyFill="1" applyBorder="1" applyAlignment="1" applyProtection="1">
      <alignment horizontal="center"/>
    </xf>
    <xf numFmtId="0" fontId="10" fillId="4" borderId="12" xfId="0" applyFont="1" applyFill="1" applyBorder="1" applyAlignment="1" applyProtection="1">
      <alignment horizontal="center"/>
    </xf>
    <xf numFmtId="0" fontId="50" fillId="4" borderId="0" xfId="0" applyFont="1" applyFill="1" applyBorder="1" applyProtection="1"/>
    <xf numFmtId="0" fontId="50" fillId="5" borderId="0" xfId="0" applyFont="1" applyFill="1" applyBorder="1" applyProtection="1"/>
    <xf numFmtId="0" fontId="50" fillId="4" borderId="13" xfId="0" applyFont="1" applyFill="1" applyBorder="1" applyProtection="1"/>
    <xf numFmtId="0" fontId="50" fillId="4" borderId="14" xfId="0" applyFont="1" applyFill="1" applyBorder="1" applyAlignment="1" applyProtection="1">
      <alignment horizontal="left"/>
    </xf>
    <xf numFmtId="0" fontId="50" fillId="4" borderId="14" xfId="0" applyFont="1" applyFill="1" applyBorder="1" applyAlignment="1" applyProtection="1">
      <alignment horizontal="center"/>
    </xf>
    <xf numFmtId="0" fontId="50" fillId="4" borderId="14" xfId="0" applyFont="1" applyFill="1" applyBorder="1" applyProtection="1"/>
    <xf numFmtId="0" fontId="50" fillId="4" borderId="15" xfId="0" applyFont="1" applyFill="1" applyBorder="1" applyProtection="1"/>
    <xf numFmtId="0" fontId="10" fillId="4" borderId="13" xfId="0" applyFont="1" applyFill="1" applyBorder="1" applyAlignment="1" applyProtection="1">
      <alignment horizontal="center"/>
    </xf>
    <xf numFmtId="0" fontId="10" fillId="4" borderId="15" xfId="0" applyFont="1" applyFill="1" applyBorder="1" applyAlignment="1" applyProtection="1">
      <alignment horizontal="center"/>
    </xf>
    <xf numFmtId="0" fontId="20" fillId="5" borderId="5" xfId="0" applyFont="1" applyFill="1" applyBorder="1" applyAlignment="1" applyProtection="1">
      <alignment horizontal="right"/>
    </xf>
    <xf numFmtId="0" fontId="20" fillId="5" borderId="0" xfId="0" applyFont="1" applyFill="1" applyBorder="1" applyAlignment="1" applyProtection="1">
      <alignment horizontal="right"/>
    </xf>
    <xf numFmtId="0" fontId="22" fillId="5" borderId="0" xfId="0" applyFont="1" applyFill="1" applyBorder="1" applyAlignment="1" applyProtection="1">
      <alignment horizontal="right"/>
    </xf>
    <xf numFmtId="0" fontId="12" fillId="5" borderId="5" xfId="0" applyFont="1" applyFill="1" applyBorder="1" applyProtection="1"/>
    <xf numFmtId="0" fontId="12" fillId="5" borderId="0" xfId="0" applyFont="1" applyFill="1" applyBorder="1" applyProtection="1"/>
    <xf numFmtId="0" fontId="23" fillId="5" borderId="0" xfId="0" applyFont="1" applyFill="1" applyBorder="1" applyProtection="1"/>
    <xf numFmtId="0" fontId="23" fillId="5" borderId="6" xfId="0" applyFont="1" applyFill="1" applyBorder="1" applyProtection="1"/>
    <xf numFmtId="0" fontId="22" fillId="5" borderId="0" xfId="0" applyFont="1" applyFill="1" applyBorder="1" applyAlignment="1" applyProtection="1">
      <alignment horizontal="left"/>
    </xf>
    <xf numFmtId="0" fontId="8" fillId="5" borderId="5" xfId="0" applyFont="1" applyFill="1" applyBorder="1" applyAlignment="1" applyProtection="1">
      <alignment horizontal="right"/>
    </xf>
    <xf numFmtId="0" fontId="8" fillId="4" borderId="10" xfId="0" applyFont="1" applyFill="1" applyBorder="1" applyAlignment="1" applyProtection="1">
      <alignment horizontal="right"/>
    </xf>
    <xf numFmtId="0" fontId="8" fillId="4" borderId="13" xfId="0" applyFont="1" applyFill="1" applyBorder="1" applyAlignment="1" applyProtection="1">
      <alignment horizontal="right"/>
    </xf>
    <xf numFmtId="0" fontId="8" fillId="4" borderId="16" xfId="0" applyFont="1" applyFill="1" applyBorder="1" applyAlignment="1" applyProtection="1">
      <alignment horizontal="right"/>
    </xf>
    <xf numFmtId="0" fontId="8" fillId="4" borderId="11" xfId="0" applyNumberFormat="1" applyFont="1" applyFill="1" applyBorder="1" applyProtection="1"/>
    <xf numFmtId="0" fontId="10" fillId="4" borderId="13" xfId="0" applyFont="1" applyFill="1" applyBorder="1" applyAlignment="1" applyProtection="1">
      <alignment horizontal="right"/>
    </xf>
    <xf numFmtId="0" fontId="13" fillId="4" borderId="14" xfId="0" applyFont="1" applyFill="1" applyBorder="1" applyAlignment="1" applyProtection="1">
      <alignment horizontal="left"/>
    </xf>
    <xf numFmtId="0" fontId="9" fillId="5" borderId="5" xfId="0" applyFont="1" applyFill="1" applyBorder="1" applyAlignment="1" applyProtection="1">
      <alignment horizontal="right"/>
    </xf>
    <xf numFmtId="0" fontId="9" fillId="4" borderId="13" xfId="0" applyFont="1" applyFill="1" applyBorder="1" applyAlignment="1" applyProtection="1">
      <alignment horizontal="right"/>
    </xf>
    <xf numFmtId="0" fontId="44" fillId="5" borderId="0" xfId="0" applyFont="1" applyFill="1" applyBorder="1" applyAlignment="1" applyProtection="1">
      <alignment horizontal="right"/>
    </xf>
    <xf numFmtId="0" fontId="8" fillId="5" borderId="0" xfId="0" applyFont="1" applyFill="1" applyBorder="1" applyAlignment="1" applyProtection="1">
      <alignment horizontal="right"/>
    </xf>
    <xf numFmtId="165" fontId="46" fillId="5" borderId="6" xfId="4" applyNumberFormat="1" applyFont="1" applyFill="1" applyBorder="1" applyProtection="1"/>
    <xf numFmtId="165" fontId="46" fillId="4" borderId="0" xfId="4" applyNumberFormat="1" applyFont="1" applyFill="1" applyBorder="1" applyProtection="1"/>
    <xf numFmtId="165" fontId="10" fillId="5" borderId="0" xfId="4" applyNumberFormat="1" applyFont="1" applyFill="1" applyBorder="1" applyProtection="1"/>
    <xf numFmtId="165" fontId="10" fillId="5" borderId="6" xfId="4" applyNumberFormat="1" applyFont="1" applyFill="1" applyBorder="1" applyProtection="1"/>
    <xf numFmtId="165" fontId="10" fillId="4" borderId="0" xfId="4" applyNumberFormat="1" applyFont="1" applyFill="1" applyBorder="1" applyProtection="1"/>
    <xf numFmtId="0" fontId="13" fillId="4" borderId="11" xfId="0" applyFont="1" applyFill="1" applyBorder="1" applyAlignment="1" applyProtection="1">
      <alignment horizontal="right"/>
    </xf>
    <xf numFmtId="165" fontId="10" fillId="4" borderId="12" xfId="4" applyNumberFormat="1" applyFont="1" applyFill="1" applyBorder="1" applyProtection="1"/>
    <xf numFmtId="0" fontId="13" fillId="4" borderId="14" xfId="0" applyFont="1" applyFill="1" applyBorder="1" applyAlignment="1" applyProtection="1">
      <alignment horizontal="right"/>
    </xf>
    <xf numFmtId="0" fontId="9" fillId="5" borderId="5" xfId="0" applyFont="1" applyFill="1" applyBorder="1" applyAlignment="1" applyProtection="1">
      <alignment horizontal="left"/>
    </xf>
    <xf numFmtId="0" fontId="9" fillId="4" borderId="13" xfId="0" applyFont="1" applyFill="1" applyBorder="1" applyAlignment="1" applyProtection="1">
      <alignment horizontal="left"/>
    </xf>
    <xf numFmtId="164" fontId="9" fillId="4" borderId="14" xfId="0" applyNumberFormat="1" applyFont="1" applyFill="1" applyBorder="1" applyAlignment="1" applyProtection="1">
      <alignment horizontal="left"/>
    </xf>
    <xf numFmtId="0" fontId="10" fillId="4" borderId="14" xfId="0" applyNumberFormat="1" applyFont="1" applyFill="1" applyBorder="1" applyAlignment="1" applyProtection="1">
      <alignment horizontal="left"/>
    </xf>
    <xf numFmtId="164" fontId="10" fillId="4" borderId="14" xfId="0" applyNumberFormat="1" applyFont="1" applyFill="1" applyBorder="1" applyAlignment="1" applyProtection="1">
      <alignment horizontal="left"/>
    </xf>
    <xf numFmtId="0" fontId="10" fillId="4" borderId="17" xfId="0" applyFont="1" applyFill="1" applyBorder="1" applyAlignment="1" applyProtection="1">
      <alignment horizontal="left"/>
    </xf>
    <xf numFmtId="0" fontId="10" fillId="4" borderId="17" xfId="0" applyFont="1" applyFill="1" applyBorder="1" applyProtection="1"/>
    <xf numFmtId="164" fontId="8" fillId="4" borderId="17" xfId="0" applyNumberFormat="1" applyFont="1" applyFill="1" applyBorder="1" applyAlignment="1" applyProtection="1">
      <alignment horizontal="left"/>
    </xf>
    <xf numFmtId="164" fontId="8" fillId="5" borderId="0" xfId="0" applyNumberFormat="1" applyFont="1" applyFill="1" applyBorder="1" applyAlignment="1" applyProtection="1">
      <alignment horizontal="left"/>
    </xf>
    <xf numFmtId="0" fontId="10" fillId="4" borderId="11" xfId="0" applyFont="1" applyFill="1" applyBorder="1" applyProtection="1"/>
    <xf numFmtId="164" fontId="8" fillId="4" borderId="11" xfId="0" applyNumberFormat="1" applyFont="1" applyFill="1" applyBorder="1" applyAlignment="1" applyProtection="1">
      <alignment horizontal="left"/>
    </xf>
    <xf numFmtId="164" fontId="8" fillId="5" borderId="14" xfId="0" applyNumberFormat="1" applyFont="1" applyFill="1" applyBorder="1" applyAlignment="1" applyProtection="1">
      <alignment horizontal="left"/>
      <protection locked="0"/>
    </xf>
    <xf numFmtId="0" fontId="8" fillId="4" borderId="14" xfId="0" applyFont="1" applyFill="1" applyBorder="1" applyAlignment="1" applyProtection="1">
      <alignment horizontal="right"/>
    </xf>
    <xf numFmtId="0" fontId="44" fillId="4" borderId="14" xfId="0" applyFont="1" applyFill="1" applyBorder="1" applyAlignment="1" applyProtection="1">
      <alignment horizontal="right"/>
    </xf>
    <xf numFmtId="0" fontId="8" fillId="4" borderId="17" xfId="0" applyFont="1" applyFill="1" applyBorder="1" applyAlignment="1" applyProtection="1">
      <alignment horizontal="right"/>
    </xf>
    <xf numFmtId="0" fontId="9" fillId="5" borderId="8" xfId="0" applyFont="1" applyFill="1" applyBorder="1" applyAlignment="1" applyProtection="1">
      <alignment horizontal="right"/>
    </xf>
    <xf numFmtId="0" fontId="25" fillId="5" borderId="5" xfId="0" applyFont="1" applyFill="1" applyBorder="1" applyProtection="1"/>
    <xf numFmtId="164" fontId="20" fillId="4" borderId="0" xfId="0" applyNumberFormat="1" applyFont="1" applyFill="1" applyBorder="1" applyProtection="1"/>
    <xf numFmtId="164" fontId="9" fillId="4" borderId="17" xfId="0" applyNumberFormat="1" applyFont="1" applyFill="1" applyBorder="1" applyAlignment="1" applyProtection="1">
      <alignment horizontal="center"/>
    </xf>
    <xf numFmtId="164" fontId="9" fillId="5" borderId="0" xfId="0" applyNumberFormat="1" applyFont="1" applyFill="1" applyBorder="1" applyAlignment="1" applyProtection="1">
      <alignment horizontal="center"/>
    </xf>
    <xf numFmtId="0" fontId="9" fillId="5" borderId="8" xfId="0" applyFont="1" applyFill="1" applyBorder="1" applyProtection="1"/>
    <xf numFmtId="169" fontId="9" fillId="5" borderId="8" xfId="0" applyNumberFormat="1" applyFont="1" applyFill="1" applyBorder="1" applyAlignment="1" applyProtection="1">
      <alignment horizontal="center"/>
    </xf>
    <xf numFmtId="0" fontId="1" fillId="4" borderId="0" xfId="0" applyFont="1" applyFill="1" applyBorder="1" applyProtection="1"/>
    <xf numFmtId="0" fontId="1" fillId="4" borderId="0" xfId="0" applyFont="1" applyFill="1" applyBorder="1" applyAlignment="1" applyProtection="1">
      <alignment horizontal="center"/>
    </xf>
    <xf numFmtId="164" fontId="1" fillId="4" borderId="0" xfId="0" applyNumberFormat="1" applyFont="1" applyFill="1" applyBorder="1" applyProtection="1"/>
    <xf numFmtId="0" fontId="33" fillId="4" borderId="0" xfId="0" applyFont="1" applyFill="1" applyBorder="1" applyProtection="1"/>
    <xf numFmtId="164" fontId="33" fillId="4" borderId="0" xfId="0" applyNumberFormat="1" applyFont="1" applyFill="1" applyBorder="1" applyProtection="1"/>
    <xf numFmtId="0" fontId="5" fillId="4" borderId="0" xfId="0" applyFont="1" applyFill="1" applyBorder="1" applyProtection="1"/>
    <xf numFmtId="0" fontId="31" fillId="5" borderId="5" xfId="0" applyFont="1" applyFill="1" applyBorder="1" applyProtection="1"/>
    <xf numFmtId="0" fontId="28" fillId="5" borderId="0" xfId="0" applyFont="1" applyFill="1" applyBorder="1" applyAlignment="1" applyProtection="1">
      <alignment horizontal="center"/>
    </xf>
    <xf numFmtId="0" fontId="28" fillId="5" borderId="0" xfId="0" applyFont="1" applyFill="1" applyBorder="1" applyAlignment="1" applyProtection="1">
      <alignment horizontal="left"/>
    </xf>
    <xf numFmtId="0" fontId="28" fillId="5" borderId="6" xfId="0" applyFont="1" applyFill="1" applyBorder="1" applyProtection="1"/>
    <xf numFmtId="164" fontId="5" fillId="4" borderId="0" xfId="0" applyNumberFormat="1" applyFont="1" applyFill="1" applyBorder="1" applyProtection="1"/>
    <xf numFmtId="0" fontId="4" fillId="4" borderId="0" xfId="0" applyFont="1" applyFill="1" applyBorder="1" applyProtection="1"/>
    <xf numFmtId="164" fontId="4" fillId="4" borderId="0" xfId="0" applyNumberFormat="1" applyFont="1" applyFill="1" applyBorder="1" applyProtection="1"/>
    <xf numFmtId="0" fontId="44" fillId="4" borderId="17" xfId="0" applyFont="1" applyFill="1" applyBorder="1" applyProtection="1"/>
    <xf numFmtId="0" fontId="63" fillId="4" borderId="14" xfId="0" applyFont="1" applyFill="1" applyBorder="1" applyProtection="1"/>
    <xf numFmtId="0" fontId="53" fillId="4" borderId="14" xfId="0" applyFont="1" applyFill="1" applyBorder="1" applyAlignment="1" applyProtection="1">
      <alignment horizontal="center"/>
    </xf>
    <xf numFmtId="164" fontId="8" fillId="4" borderId="17" xfId="0" applyNumberFormat="1" applyFont="1" applyFill="1" applyBorder="1" applyAlignment="1" applyProtection="1">
      <alignment horizontal="center"/>
    </xf>
    <xf numFmtId="0" fontId="64" fillId="5" borderId="0" xfId="0" applyFont="1" applyFill="1" applyBorder="1" applyAlignment="1" applyProtection="1"/>
    <xf numFmtId="0" fontId="29" fillId="5" borderId="0" xfId="0" applyFont="1" applyFill="1" applyBorder="1" applyAlignment="1" applyProtection="1">
      <alignment horizontal="center"/>
    </xf>
    <xf numFmtId="164" fontId="29" fillId="5" borderId="0" xfId="0" applyNumberFormat="1" applyFont="1" applyFill="1" applyBorder="1" applyAlignment="1" applyProtection="1">
      <alignment horizontal="center"/>
    </xf>
    <xf numFmtId="0" fontId="26" fillId="5" borderId="5" xfId="0" applyFont="1" applyFill="1" applyBorder="1" applyProtection="1"/>
    <xf numFmtId="0" fontId="26" fillId="5" borderId="0" xfId="0" applyFont="1" applyFill="1" applyBorder="1" applyAlignment="1" applyProtection="1"/>
    <xf numFmtId="0" fontId="26" fillId="5" borderId="0" xfId="0" applyFont="1" applyFill="1" applyBorder="1" applyAlignment="1" applyProtection="1">
      <alignment horizontal="center"/>
    </xf>
    <xf numFmtId="164" fontId="26" fillId="5" borderId="0" xfId="0" applyNumberFormat="1" applyFont="1" applyFill="1" applyBorder="1" applyAlignment="1" applyProtection="1">
      <alignment horizontal="center"/>
    </xf>
    <xf numFmtId="0" fontId="12" fillId="5" borderId="0" xfId="0" applyFont="1" applyFill="1" applyBorder="1" applyAlignment="1" applyProtection="1"/>
    <xf numFmtId="164" fontId="20" fillId="5" borderId="0" xfId="0" applyNumberFormat="1" applyFont="1" applyFill="1" applyBorder="1" applyAlignment="1" applyProtection="1">
      <alignment horizontal="center"/>
    </xf>
    <xf numFmtId="0" fontId="20" fillId="5" borderId="0" xfId="0" applyFont="1" applyFill="1" applyBorder="1" applyAlignment="1" applyProtection="1"/>
    <xf numFmtId="164" fontId="8" fillId="4" borderId="11" xfId="0" applyNumberFormat="1" applyFont="1" applyFill="1" applyBorder="1" applyAlignment="1" applyProtection="1">
      <alignment horizontal="center"/>
    </xf>
    <xf numFmtId="0" fontId="13" fillId="4" borderId="10" xfId="0" applyFont="1" applyFill="1" applyBorder="1" applyProtection="1"/>
    <xf numFmtId="0" fontId="8" fillId="4" borderId="13" xfId="0" applyFont="1" applyFill="1" applyBorder="1" applyAlignment="1" applyProtection="1">
      <alignment horizontal="center"/>
    </xf>
    <xf numFmtId="164" fontId="8" fillId="5" borderId="5" xfId="0" applyNumberFormat="1" applyFont="1" applyFill="1" applyBorder="1" applyProtection="1"/>
    <xf numFmtId="164" fontId="8" fillId="5" borderId="6" xfId="0" applyNumberFormat="1" applyFont="1" applyFill="1" applyBorder="1" applyProtection="1"/>
    <xf numFmtId="164" fontId="8" fillId="5" borderId="0" xfId="0" applyNumberFormat="1" applyFont="1" applyFill="1" applyBorder="1" applyAlignment="1" applyProtection="1"/>
    <xf numFmtId="164" fontId="8" fillId="4" borderId="10" xfId="0" applyNumberFormat="1" applyFont="1" applyFill="1" applyBorder="1" applyProtection="1"/>
    <xf numFmtId="0" fontId="8" fillId="4" borderId="0" xfId="0" applyFont="1" applyFill="1" applyBorder="1"/>
    <xf numFmtId="0" fontId="8" fillId="5" borderId="2" xfId="0" applyFont="1" applyFill="1" applyBorder="1"/>
    <xf numFmtId="0" fontId="8" fillId="5" borderId="3" xfId="0" applyFont="1" applyFill="1" applyBorder="1"/>
    <xf numFmtId="0" fontId="8" fillId="5" borderId="4" xfId="0" applyFont="1" applyFill="1" applyBorder="1"/>
    <xf numFmtId="0" fontId="8" fillId="5" borderId="5" xfId="0" applyFont="1" applyFill="1" applyBorder="1"/>
    <xf numFmtId="0" fontId="8" fillId="5" borderId="0" xfId="0" applyFont="1" applyFill="1" applyBorder="1"/>
    <xf numFmtId="0" fontId="8" fillId="5" borderId="6" xfId="0" applyFont="1" applyFill="1" applyBorder="1"/>
    <xf numFmtId="0" fontId="20" fillId="4" borderId="0" xfId="0" applyFont="1" applyFill="1" applyBorder="1"/>
    <xf numFmtId="0" fontId="21" fillId="5" borderId="5" xfId="0" applyFont="1" applyFill="1" applyBorder="1"/>
    <xf numFmtId="0" fontId="20" fillId="5" borderId="0" xfId="0" applyFont="1" applyFill="1" applyBorder="1"/>
    <xf numFmtId="0" fontId="20" fillId="5" borderId="6" xfId="0" applyFont="1" applyFill="1" applyBorder="1"/>
    <xf numFmtId="0" fontId="28" fillId="5" borderId="5" xfId="0" applyFont="1" applyFill="1" applyBorder="1"/>
    <xf numFmtId="0" fontId="26" fillId="5" borderId="0" xfId="0" applyFont="1" applyFill="1" applyBorder="1"/>
    <xf numFmtId="0" fontId="31" fillId="4" borderId="0" xfId="0" applyFont="1" applyFill="1" applyBorder="1"/>
    <xf numFmtId="165" fontId="23" fillId="5" borderId="6" xfId="4" applyNumberFormat="1" applyFont="1" applyFill="1" applyBorder="1" applyProtection="1"/>
    <xf numFmtId="177" fontId="8" fillId="4" borderId="14" xfId="0" applyNumberFormat="1" applyFont="1" applyFill="1" applyBorder="1" applyAlignment="1" applyProtection="1">
      <alignment horizontal="left"/>
    </xf>
    <xf numFmtId="168" fontId="8" fillId="4" borderId="17" xfId="0" applyNumberFormat="1" applyFont="1" applyFill="1" applyBorder="1" applyProtection="1"/>
    <xf numFmtId="168" fontId="8" fillId="5" borderId="0" xfId="0" applyNumberFormat="1" applyFont="1" applyFill="1" applyBorder="1" applyProtection="1"/>
    <xf numFmtId="168" fontId="8" fillId="5" borderId="8" xfId="0" applyNumberFormat="1" applyFont="1" applyFill="1" applyBorder="1" applyProtection="1"/>
    <xf numFmtId="166" fontId="9" fillId="5" borderId="3" xfId="0" applyNumberFormat="1" applyFont="1" applyFill="1" applyBorder="1" applyProtection="1"/>
    <xf numFmtId="166" fontId="52" fillId="5" borderId="0" xfId="0" applyNumberFormat="1" applyFont="1" applyFill="1" applyBorder="1" applyProtection="1"/>
    <xf numFmtId="166" fontId="31" fillId="5" borderId="0" xfId="0" applyNumberFormat="1" applyFont="1" applyFill="1" applyBorder="1" applyProtection="1"/>
    <xf numFmtId="166" fontId="27" fillId="5" borderId="0" xfId="0" applyNumberFormat="1" applyFont="1" applyFill="1" applyBorder="1" applyProtection="1"/>
    <xf numFmtId="166" fontId="9" fillId="4" borderId="11" xfId="0" applyNumberFormat="1" applyFont="1" applyFill="1" applyBorder="1" applyProtection="1"/>
    <xf numFmtId="166" fontId="9" fillId="5" borderId="8" xfId="4" applyNumberFormat="1" applyFont="1" applyFill="1" applyBorder="1" applyAlignment="1" applyProtection="1">
      <alignment horizontal="left"/>
    </xf>
    <xf numFmtId="166" fontId="9" fillId="4" borderId="0" xfId="4" applyNumberFormat="1" applyFont="1" applyFill="1" applyBorder="1" applyAlignment="1" applyProtection="1">
      <alignment horizontal="left"/>
    </xf>
    <xf numFmtId="166" fontId="9" fillId="5" borderId="0" xfId="4" applyNumberFormat="1" applyFont="1" applyFill="1" applyBorder="1" applyAlignment="1" applyProtection="1">
      <alignment horizontal="left"/>
    </xf>
    <xf numFmtId="166" fontId="25" fillId="5" borderId="0" xfId="0" applyNumberFormat="1" applyFont="1" applyFill="1" applyBorder="1" applyProtection="1"/>
    <xf numFmtId="0" fontId="56" fillId="4" borderId="17" xfId="0" applyNumberFormat="1" applyFont="1" applyFill="1" applyBorder="1" applyAlignment="1" applyProtection="1">
      <alignment horizontal="center"/>
    </xf>
    <xf numFmtId="0" fontId="56" fillId="3" borderId="0" xfId="0" applyNumberFormat="1" applyFont="1" applyFill="1" applyBorder="1" applyAlignment="1" applyProtection="1">
      <alignment horizontal="center"/>
    </xf>
    <xf numFmtId="0" fontId="8" fillId="5" borderId="14" xfId="0" applyFont="1" applyFill="1" applyBorder="1" applyAlignment="1" applyProtection="1">
      <alignment horizontal="left" vertical="top" wrapText="1"/>
      <protection locked="0"/>
    </xf>
    <xf numFmtId="0" fontId="8" fillId="5" borderId="15" xfId="0" applyFont="1" applyFill="1" applyBorder="1" applyAlignment="1" applyProtection="1">
      <alignment horizontal="left" vertical="top" wrapText="1"/>
      <protection locked="0"/>
    </xf>
    <xf numFmtId="0" fontId="8" fillId="5" borderId="18"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34" fillId="0" borderId="0" xfId="0" applyFont="1" applyFill="1" applyAlignment="1" applyProtection="1">
      <alignment horizontal="left"/>
    </xf>
    <xf numFmtId="166" fontId="8" fillId="0" borderId="0" xfId="0" applyNumberFormat="1" applyFont="1" applyFill="1" applyBorder="1" applyAlignment="1" applyProtection="1">
      <alignment horizontal="left"/>
      <protection locked="0"/>
    </xf>
    <xf numFmtId="0" fontId="8" fillId="4" borderId="0" xfId="0" applyFont="1" applyFill="1" applyBorder="1" applyProtection="1">
      <protection locked="0"/>
    </xf>
    <xf numFmtId="0" fontId="8" fillId="4" borderId="0" xfId="0" applyFont="1" applyFill="1" applyBorder="1" applyAlignment="1" applyProtection="1">
      <alignment horizontal="right"/>
      <protection locked="0"/>
    </xf>
    <xf numFmtId="0" fontId="8" fillId="0" borderId="0" xfId="0" applyFont="1" applyFill="1"/>
    <xf numFmtId="0" fontId="10" fillId="0" borderId="0" xfId="0" applyFont="1" applyFill="1"/>
    <xf numFmtId="0" fontId="8" fillId="0" borderId="0" xfId="0" applyFont="1" applyFill="1" applyAlignment="1"/>
    <xf numFmtId="0" fontId="9" fillId="0" borderId="0" xfId="0" applyFont="1" applyFill="1"/>
    <xf numFmtId="0" fontId="44" fillId="0" borderId="0" xfId="0" applyFont="1" applyFill="1" applyAlignment="1" applyProtection="1">
      <alignment horizontal="left"/>
    </xf>
    <xf numFmtId="165" fontId="8" fillId="4" borderId="0" xfId="4" applyFont="1" applyFill="1" applyBorder="1" applyProtection="1"/>
    <xf numFmtId="165" fontId="8" fillId="5" borderId="3" xfId="4" applyFont="1" applyFill="1" applyBorder="1" applyProtection="1"/>
    <xf numFmtId="165" fontId="8" fillId="5" borderId="0" xfId="4" applyFont="1" applyFill="1" applyBorder="1" applyProtection="1"/>
    <xf numFmtId="165" fontId="44" fillId="5" borderId="0" xfId="4" applyFont="1" applyFill="1" applyBorder="1" applyProtection="1"/>
    <xf numFmtId="165" fontId="8" fillId="4" borderId="11" xfId="4" applyFont="1" applyFill="1" applyBorder="1" applyProtection="1"/>
    <xf numFmtId="165" fontId="8" fillId="4" borderId="0" xfId="4" applyFont="1" applyFill="1" applyBorder="1" applyAlignment="1" applyProtection="1">
      <alignment horizontal="right"/>
    </xf>
    <xf numFmtId="165" fontId="8" fillId="5" borderId="0" xfId="4" applyFont="1" applyFill="1" applyBorder="1" applyAlignment="1" applyProtection="1">
      <alignment horizontal="right"/>
    </xf>
    <xf numFmtId="165" fontId="9" fillId="5" borderId="0" xfId="4" applyFont="1" applyFill="1" applyBorder="1" applyAlignment="1" applyProtection="1">
      <alignment horizontal="left"/>
    </xf>
    <xf numFmtId="165" fontId="9" fillId="5" borderId="8" xfId="4" applyFont="1" applyFill="1" applyBorder="1" applyProtection="1"/>
    <xf numFmtId="165" fontId="9" fillId="4" borderId="0" xfId="4" applyFont="1" applyFill="1" applyBorder="1" applyProtection="1"/>
    <xf numFmtId="166" fontId="44" fillId="5" borderId="0" xfId="4" applyNumberFormat="1" applyFont="1" applyFill="1" applyBorder="1" applyProtection="1"/>
    <xf numFmtId="166" fontId="8" fillId="5" borderId="14" xfId="4" applyNumberFormat="1" applyFont="1" applyFill="1" applyBorder="1" applyAlignment="1" applyProtection="1">
      <alignment horizontal="left" vertical="top" wrapText="1"/>
      <protection locked="0"/>
    </xf>
    <xf numFmtId="166" fontId="8" fillId="4" borderId="0" xfId="4" applyNumberFormat="1" applyFont="1" applyFill="1" applyBorder="1" applyAlignment="1" applyProtection="1">
      <alignment horizontal="right"/>
    </xf>
    <xf numFmtId="166" fontId="8" fillId="5" borderId="0" xfId="4" applyNumberFormat="1" applyFont="1" applyFill="1" applyBorder="1" applyAlignment="1" applyProtection="1">
      <alignment horizontal="right"/>
    </xf>
    <xf numFmtId="166" fontId="9" fillId="5" borderId="8" xfId="4" applyNumberFormat="1" applyFont="1" applyFill="1" applyBorder="1" applyProtection="1"/>
    <xf numFmtId="166" fontId="9" fillId="4" borderId="0" xfId="4" applyNumberFormat="1" applyFont="1" applyFill="1" applyBorder="1" applyProtection="1"/>
    <xf numFmtId="49" fontId="54" fillId="4" borderId="0" xfId="0" applyNumberFormat="1" applyFont="1" applyFill="1" applyBorder="1" applyAlignment="1" applyProtection="1">
      <alignment horizontal="left"/>
    </xf>
    <xf numFmtId="0" fontId="54" fillId="4" borderId="0" xfId="0" applyFont="1" applyFill="1" applyAlignment="1" applyProtection="1">
      <alignment horizontal="left"/>
    </xf>
    <xf numFmtId="0" fontId="56" fillId="0" borderId="0" xfId="0" applyFont="1" applyFill="1" applyAlignment="1" applyProtection="1">
      <alignment horizontal="left"/>
    </xf>
    <xf numFmtId="44" fontId="56" fillId="0" borderId="0" xfId="0" applyNumberFormat="1" applyFont="1" applyFill="1" applyAlignment="1" applyProtection="1">
      <alignment horizontal="left"/>
    </xf>
    <xf numFmtId="164" fontId="8" fillId="5" borderId="14" xfId="0" applyNumberFormat="1" applyFont="1" applyFill="1" applyBorder="1" applyAlignment="1" applyProtection="1">
      <alignment horizontal="left"/>
    </xf>
    <xf numFmtId="164" fontId="8" fillId="5" borderId="14" xfId="4" applyNumberFormat="1" applyFont="1" applyFill="1" applyBorder="1" applyAlignment="1" applyProtection="1">
      <alignment horizontal="left"/>
    </xf>
    <xf numFmtId="0" fontId="8" fillId="0" borderId="14" xfId="0" applyFont="1" applyFill="1" applyBorder="1" applyProtection="1"/>
    <xf numFmtId="0" fontId="9" fillId="0" borderId="1" xfId="0" quotePrefix="1" applyFont="1" applyFill="1" applyBorder="1" applyAlignment="1">
      <alignment horizontal="center"/>
    </xf>
    <xf numFmtId="0" fontId="8" fillId="0" borderId="0" xfId="0" applyNumberFormat="1" applyFont="1" applyFill="1"/>
    <xf numFmtId="0" fontId="10" fillId="0" borderId="0" xfId="0" applyFont="1" applyFill="1" applyAlignment="1"/>
    <xf numFmtId="0" fontId="9" fillId="0" borderId="0" xfId="0" applyFont="1" applyFill="1" applyAlignment="1"/>
    <xf numFmtId="0" fontId="64" fillId="5" borderId="0" xfId="0" applyFont="1" applyFill="1" applyBorder="1" applyProtection="1"/>
    <xf numFmtId="0" fontId="64" fillId="5" borderId="0" xfId="0" applyFont="1" applyFill="1" applyBorder="1" applyAlignment="1" applyProtection="1">
      <alignment horizontal="left"/>
    </xf>
    <xf numFmtId="3" fontId="8" fillId="2" borderId="0" xfId="0" applyNumberFormat="1" applyFont="1" applyFill="1" applyBorder="1" applyAlignment="1" applyProtection="1">
      <alignment horizontal="left"/>
      <protection locked="0"/>
    </xf>
    <xf numFmtId="0" fontId="64" fillId="5" borderId="0" xfId="0" applyFont="1" applyFill="1" applyBorder="1"/>
    <xf numFmtId="164" fontId="8" fillId="6" borderId="14" xfId="0" applyNumberFormat="1" applyFont="1" applyFill="1" applyBorder="1" applyAlignment="1" applyProtection="1">
      <alignment horizontal="left"/>
    </xf>
    <xf numFmtId="0" fontId="8" fillId="6" borderId="14" xfId="0" applyFont="1" applyFill="1" applyBorder="1" applyAlignment="1" applyProtection="1">
      <alignment horizontal="left"/>
    </xf>
    <xf numFmtId="164" fontId="8" fillId="6" borderId="14" xfId="0" applyNumberFormat="1" applyFont="1" applyFill="1" applyBorder="1" applyProtection="1"/>
    <xf numFmtId="0" fontId="8" fillId="6" borderId="14" xfId="0" applyFont="1" applyFill="1" applyBorder="1" applyProtection="1"/>
    <xf numFmtId="172" fontId="8" fillId="6" borderId="14" xfId="0" applyNumberFormat="1" applyFont="1" applyFill="1" applyBorder="1" applyAlignment="1" applyProtection="1">
      <alignment horizontal="left"/>
    </xf>
    <xf numFmtId="164" fontId="8" fillId="6" borderId="14" xfId="0" applyNumberFormat="1" applyFont="1" applyFill="1" applyBorder="1" applyAlignment="1" applyProtection="1"/>
    <xf numFmtId="0" fontId="8" fillId="6" borderId="14" xfId="0" applyFont="1" applyFill="1" applyBorder="1" applyAlignment="1" applyProtection="1">
      <alignment horizontal="center"/>
    </xf>
    <xf numFmtId="1" fontId="8" fillId="6" borderId="14" xfId="0" applyNumberFormat="1" applyFont="1" applyFill="1" applyBorder="1" applyAlignment="1" applyProtection="1">
      <alignment horizontal="center"/>
    </xf>
    <xf numFmtId="171" fontId="8" fillId="6" borderId="14" xfId="0" applyNumberFormat="1" applyFont="1" applyFill="1" applyBorder="1" applyAlignment="1" applyProtection="1">
      <alignment horizontal="center"/>
    </xf>
    <xf numFmtId="164" fontId="8" fillId="6" borderId="14" xfId="0" applyNumberFormat="1" applyFont="1" applyFill="1" applyBorder="1" applyAlignment="1" applyProtection="1">
      <alignment horizontal="center"/>
    </xf>
    <xf numFmtId="0" fontId="70" fillId="5" borderId="0" xfId="0" applyFont="1" applyFill="1" applyBorder="1" applyProtection="1"/>
    <xf numFmtId="0" fontId="71" fillId="5" borderId="0" xfId="0" applyFont="1" applyFill="1" applyBorder="1" applyAlignment="1" applyProtection="1">
      <alignment horizontal="center"/>
    </xf>
    <xf numFmtId="0" fontId="72" fillId="5" borderId="0" xfId="0" applyFont="1" applyFill="1" applyBorder="1" applyAlignment="1" applyProtection="1">
      <alignment horizontal="right"/>
    </xf>
    <xf numFmtId="0" fontId="73" fillId="4" borderId="14" xfId="0" applyFont="1" applyFill="1" applyBorder="1" applyProtection="1"/>
    <xf numFmtId="0" fontId="70" fillId="5" borderId="0" xfId="0" applyFont="1" applyFill="1" applyBorder="1" applyAlignment="1" applyProtection="1">
      <alignment horizontal="left"/>
    </xf>
    <xf numFmtId="0" fontId="73" fillId="4" borderId="14" xfId="0" applyFont="1" applyFill="1" applyBorder="1" applyAlignment="1" applyProtection="1">
      <alignment horizontal="left"/>
    </xf>
    <xf numFmtId="0" fontId="72" fillId="4" borderId="14" xfId="0" applyFont="1" applyFill="1" applyBorder="1" applyAlignment="1" applyProtection="1">
      <alignment horizontal="left"/>
    </xf>
    <xf numFmtId="0" fontId="67" fillId="4" borderId="14" xfId="0" applyFont="1" applyFill="1" applyBorder="1" applyProtection="1"/>
    <xf numFmtId="0" fontId="9" fillId="7" borderId="14" xfId="0" applyFont="1" applyFill="1" applyBorder="1" applyAlignment="1" applyProtection="1">
      <alignment horizontal="center"/>
    </xf>
    <xf numFmtId="1" fontId="8" fillId="7" borderId="14" xfId="0" applyNumberFormat="1" applyFont="1" applyFill="1" applyBorder="1" applyAlignment="1" applyProtection="1">
      <alignment horizontal="center"/>
    </xf>
    <xf numFmtId="0" fontId="8" fillId="6" borderId="14" xfId="0" applyNumberFormat="1" applyFont="1" applyFill="1" applyBorder="1" applyAlignment="1" applyProtection="1">
      <alignment horizontal="center"/>
    </xf>
    <xf numFmtId="0" fontId="8" fillId="6" borderId="14" xfId="0" quotePrefix="1" applyNumberFormat="1" applyFont="1" applyFill="1" applyBorder="1" applyAlignment="1" applyProtection="1">
      <alignment horizontal="center"/>
    </xf>
    <xf numFmtId="0" fontId="69" fillId="4" borderId="14" xfId="0" applyFont="1" applyFill="1" applyBorder="1" applyAlignment="1" applyProtection="1">
      <alignment horizontal="center"/>
    </xf>
    <xf numFmtId="0" fontId="72" fillId="4" borderId="14" xfId="0" applyFont="1" applyFill="1" applyBorder="1" applyProtection="1"/>
    <xf numFmtId="0" fontId="70" fillId="4" borderId="14" xfId="0" applyFont="1" applyFill="1" applyBorder="1" applyProtection="1"/>
    <xf numFmtId="0" fontId="72" fillId="4" borderId="14" xfId="0" applyFont="1" applyFill="1" applyBorder="1" applyAlignment="1" applyProtection="1">
      <alignment horizontal="center"/>
    </xf>
    <xf numFmtId="0" fontId="70" fillId="4" borderId="14" xfId="0" applyFont="1" applyFill="1" applyBorder="1" applyAlignment="1" applyProtection="1">
      <alignment horizontal="center"/>
    </xf>
    <xf numFmtId="0" fontId="70" fillId="4" borderId="11" xfId="0" applyFont="1" applyFill="1" applyBorder="1" applyAlignment="1" applyProtection="1">
      <alignment horizontal="center"/>
    </xf>
    <xf numFmtId="0" fontId="73" fillId="4" borderId="0" xfId="0" applyFont="1" applyFill="1" applyBorder="1" applyProtection="1"/>
    <xf numFmtId="0" fontId="72" fillId="4" borderId="0" xfId="0" applyFont="1" applyFill="1" applyBorder="1" applyAlignment="1" applyProtection="1">
      <alignment horizontal="center"/>
    </xf>
    <xf numFmtId="0" fontId="71" fillId="4" borderId="0" xfId="0" applyFont="1" applyFill="1" applyBorder="1" applyAlignment="1" applyProtection="1">
      <alignment horizontal="center"/>
    </xf>
    <xf numFmtId="0" fontId="72" fillId="4" borderId="0" xfId="0" applyFont="1" applyFill="1" applyBorder="1" applyProtection="1"/>
    <xf numFmtId="0" fontId="70" fillId="4" borderId="0" xfId="0" applyFont="1" applyFill="1" applyBorder="1" applyAlignment="1" applyProtection="1">
      <alignment horizontal="center"/>
    </xf>
    <xf numFmtId="0" fontId="70" fillId="4" borderId="0" xfId="0" applyFont="1" applyFill="1" applyBorder="1" applyProtection="1"/>
    <xf numFmtId="164" fontId="70" fillId="4" borderId="0" xfId="0" applyNumberFormat="1" applyFont="1" applyFill="1" applyBorder="1" applyAlignment="1" applyProtection="1">
      <alignment horizontal="center"/>
    </xf>
    <xf numFmtId="164" fontId="70" fillId="4" borderId="0" xfId="0" quotePrefix="1" applyNumberFormat="1" applyFont="1" applyFill="1" applyBorder="1" applyAlignment="1" applyProtection="1">
      <alignment horizontal="center"/>
    </xf>
    <xf numFmtId="0" fontId="70" fillId="4" borderId="0" xfId="0" applyFont="1" applyFill="1" applyBorder="1" applyAlignment="1" applyProtection="1">
      <alignment horizontal="left"/>
    </xf>
    <xf numFmtId="0" fontId="70" fillId="4" borderId="0" xfId="0" applyFont="1" applyFill="1" applyProtection="1"/>
    <xf numFmtId="0" fontId="70" fillId="4" borderId="0" xfId="0" applyFont="1" applyFill="1" applyAlignment="1" applyProtection="1">
      <alignment horizontal="center"/>
    </xf>
    <xf numFmtId="166" fontId="61" fillId="7" borderId="14" xfId="0" applyNumberFormat="1" applyFont="1" applyFill="1" applyBorder="1" applyAlignment="1" applyProtection="1">
      <alignment horizontal="center"/>
    </xf>
    <xf numFmtId="164" fontId="58" fillId="7" borderId="14" xfId="0" applyNumberFormat="1" applyFont="1" applyFill="1" applyBorder="1" applyAlignment="1" applyProtection="1">
      <alignment horizontal="center"/>
    </xf>
    <xf numFmtId="167" fontId="61" fillId="7" borderId="14" xfId="0" applyNumberFormat="1" applyFont="1" applyFill="1" applyBorder="1" applyAlignment="1" applyProtection="1">
      <alignment horizontal="center"/>
    </xf>
    <xf numFmtId="164" fontId="62" fillId="7" borderId="14" xfId="0" applyNumberFormat="1" applyFont="1" applyFill="1" applyBorder="1" applyAlignment="1" applyProtection="1">
      <alignment horizontal="center"/>
    </xf>
    <xf numFmtId="164" fontId="8" fillId="6" borderId="14" xfId="4" applyNumberFormat="1" applyFont="1" applyFill="1" applyBorder="1" applyAlignment="1" applyProtection="1">
      <alignment horizontal="center"/>
    </xf>
    <xf numFmtId="0" fontId="3" fillId="0" borderId="0" xfId="2" applyFill="1" applyAlignment="1" applyProtection="1">
      <alignment horizontal="left"/>
    </xf>
    <xf numFmtId="0" fontId="70" fillId="4" borderId="11" xfId="0" applyFont="1" applyFill="1" applyBorder="1" applyAlignment="1" applyProtection="1"/>
    <xf numFmtId="0" fontId="71" fillId="4" borderId="11" xfId="0" applyFont="1" applyFill="1" applyBorder="1" applyAlignment="1" applyProtection="1">
      <alignment horizontal="left"/>
    </xf>
    <xf numFmtId="0" fontId="70" fillId="4" borderId="11" xfId="0" applyFont="1" applyFill="1" applyBorder="1" applyAlignment="1" applyProtection="1">
      <alignment horizontal="left"/>
    </xf>
    <xf numFmtId="173" fontId="70" fillId="4" borderId="11" xfId="0" applyNumberFormat="1" applyFont="1" applyFill="1" applyBorder="1" applyAlignment="1" applyProtection="1">
      <alignment horizontal="center"/>
    </xf>
    <xf numFmtId="0" fontId="70" fillId="4" borderId="11" xfId="0" applyNumberFormat="1" applyFont="1" applyFill="1" applyBorder="1" applyAlignment="1" applyProtection="1">
      <alignment horizontal="center"/>
    </xf>
    <xf numFmtId="171" fontId="70" fillId="4" borderId="11" xfId="0" applyNumberFormat="1" applyFont="1" applyFill="1" applyBorder="1" applyAlignment="1" applyProtection="1">
      <alignment horizontal="center"/>
    </xf>
    <xf numFmtId="0" fontId="70" fillId="4" borderId="11" xfId="0" applyFont="1" applyFill="1" applyBorder="1" applyProtection="1"/>
    <xf numFmtId="166" fontId="73" fillId="4" borderId="11" xfId="0" applyNumberFormat="1" applyFont="1" applyFill="1" applyBorder="1" applyProtection="1"/>
    <xf numFmtId="0" fontId="76" fillId="4" borderId="14" xfId="0" applyFont="1" applyFill="1" applyBorder="1" applyAlignment="1" applyProtection="1">
      <alignment horizontal="left"/>
    </xf>
    <xf numFmtId="0" fontId="71" fillId="4" borderId="14" xfId="0" applyFont="1" applyFill="1" applyBorder="1" applyAlignment="1" applyProtection="1">
      <alignment horizontal="center"/>
    </xf>
    <xf numFmtId="0" fontId="72" fillId="4" borderId="14" xfId="0" applyNumberFormat="1" applyFont="1" applyFill="1" applyBorder="1" applyAlignment="1" applyProtection="1">
      <alignment horizontal="center"/>
    </xf>
    <xf numFmtId="173" fontId="72" fillId="4" borderId="14" xfId="0" applyNumberFormat="1" applyFont="1" applyFill="1" applyBorder="1" applyAlignment="1" applyProtection="1">
      <alignment horizontal="center"/>
    </xf>
    <xf numFmtId="171" fontId="72" fillId="4" borderId="14" xfId="0" applyNumberFormat="1" applyFont="1" applyFill="1" applyBorder="1" applyAlignment="1" applyProtection="1">
      <alignment horizontal="center"/>
    </xf>
    <xf numFmtId="1" fontId="72" fillId="4" borderId="14" xfId="0" applyNumberFormat="1" applyFont="1" applyFill="1" applyBorder="1" applyAlignment="1" applyProtection="1">
      <alignment horizontal="center"/>
    </xf>
    <xf numFmtId="166" fontId="72" fillId="4" borderId="14" xfId="0" applyNumberFormat="1" applyFont="1" applyFill="1" applyBorder="1" applyAlignment="1" applyProtection="1">
      <alignment horizontal="center"/>
    </xf>
    <xf numFmtId="164" fontId="72" fillId="4" borderId="14" xfId="0" applyNumberFormat="1" applyFont="1" applyFill="1" applyBorder="1" applyAlignment="1" applyProtection="1">
      <alignment horizontal="center"/>
    </xf>
    <xf numFmtId="166" fontId="71" fillId="4" borderId="14" xfId="0" applyNumberFormat="1" applyFont="1" applyFill="1" applyBorder="1" applyAlignment="1" applyProtection="1">
      <alignment horizontal="center"/>
    </xf>
    <xf numFmtId="166" fontId="8" fillId="6" borderId="14" xfId="4" applyNumberFormat="1" applyFont="1" applyFill="1" applyBorder="1" applyProtection="1"/>
    <xf numFmtId="166" fontId="9" fillId="6" borderId="14" xfId="4" applyNumberFormat="1" applyFont="1" applyFill="1" applyBorder="1" applyAlignment="1" applyProtection="1">
      <alignment horizontal="left"/>
    </xf>
    <xf numFmtId="2" fontId="8" fillId="6" borderId="14" xfId="0" applyNumberFormat="1" applyFont="1" applyFill="1" applyBorder="1" applyAlignment="1" applyProtection="1">
      <alignment horizontal="center"/>
    </xf>
    <xf numFmtId="171" fontId="9" fillId="7" borderId="14" xfId="0" applyNumberFormat="1" applyFont="1" applyFill="1" applyBorder="1" applyAlignment="1" applyProtection="1">
      <alignment horizontal="center"/>
    </xf>
    <xf numFmtId="166" fontId="9" fillId="7" borderId="14" xfId="0" applyNumberFormat="1" applyFont="1" applyFill="1" applyBorder="1" applyProtection="1"/>
    <xf numFmtId="0" fontId="69" fillId="4" borderId="14" xfId="0" applyFont="1" applyFill="1" applyBorder="1" applyAlignment="1" applyProtection="1">
      <alignment horizontal="left"/>
    </xf>
    <xf numFmtId="0" fontId="70" fillId="4" borderId="14" xfId="0" applyFont="1" applyFill="1" applyBorder="1" applyAlignment="1" applyProtection="1">
      <alignment horizontal="left"/>
    </xf>
    <xf numFmtId="0" fontId="70" fillId="4" borderId="0" xfId="0" applyNumberFormat="1" applyFont="1" applyFill="1" applyBorder="1" applyAlignment="1" applyProtection="1">
      <alignment horizontal="center"/>
    </xf>
    <xf numFmtId="0" fontId="72" fillId="4" borderId="0" xfId="0" applyNumberFormat="1" applyFont="1" applyFill="1" applyBorder="1" applyAlignment="1" applyProtection="1">
      <alignment horizontal="center"/>
    </xf>
    <xf numFmtId="173" fontId="70" fillId="4" borderId="14" xfId="0" applyNumberFormat="1" applyFont="1" applyFill="1" applyBorder="1" applyAlignment="1" applyProtection="1">
      <alignment horizontal="center"/>
    </xf>
    <xf numFmtId="166" fontId="70" fillId="4" borderId="14" xfId="0" applyNumberFormat="1" applyFont="1" applyFill="1" applyBorder="1" applyAlignment="1" applyProtection="1">
      <alignment horizontal="center"/>
    </xf>
    <xf numFmtId="166" fontId="73" fillId="4" borderId="14" xfId="0" applyNumberFormat="1" applyFont="1" applyFill="1" applyBorder="1" applyAlignment="1" applyProtection="1">
      <alignment horizontal="center"/>
    </xf>
    <xf numFmtId="0" fontId="73" fillId="4" borderId="0" xfId="0" applyFont="1" applyFill="1" applyBorder="1" applyAlignment="1" applyProtection="1">
      <alignment horizontal="center"/>
    </xf>
    <xf numFmtId="0" fontId="71" fillId="4" borderId="0" xfId="0" applyNumberFormat="1" applyFont="1" applyFill="1" applyBorder="1" applyAlignment="1" applyProtection="1">
      <alignment horizontal="left"/>
    </xf>
    <xf numFmtId="164" fontId="71" fillId="4" borderId="0" xfId="0" applyNumberFormat="1" applyFont="1" applyFill="1" applyBorder="1" applyAlignment="1" applyProtection="1">
      <alignment horizontal="center"/>
    </xf>
    <xf numFmtId="171" fontId="71" fillId="4" borderId="0" xfId="0" applyNumberFormat="1" applyFont="1" applyFill="1" applyBorder="1" applyAlignment="1" applyProtection="1">
      <alignment horizontal="center"/>
    </xf>
    <xf numFmtId="171" fontId="9" fillId="7" borderId="17" xfId="0" applyNumberFormat="1" applyFont="1" applyFill="1" applyBorder="1" applyAlignment="1" applyProtection="1">
      <alignment horizontal="center"/>
    </xf>
    <xf numFmtId="166" fontId="9" fillId="7" borderId="17" xfId="0" applyNumberFormat="1" applyFont="1" applyFill="1" applyBorder="1" applyProtection="1"/>
    <xf numFmtId="0" fontId="70" fillId="4" borderId="10" xfId="0" applyFont="1" applyFill="1" applyBorder="1" applyProtection="1"/>
    <xf numFmtId="0" fontId="70" fillId="4" borderId="13" xfId="0" applyFont="1" applyFill="1" applyBorder="1" applyProtection="1"/>
    <xf numFmtId="0" fontId="69" fillId="5" borderId="6" xfId="0" applyFont="1" applyFill="1" applyBorder="1" applyProtection="1"/>
    <xf numFmtId="0" fontId="74" fillId="5" borderId="6" xfId="0" quotePrefix="1" applyNumberFormat="1" applyFont="1" applyFill="1" applyBorder="1" applyAlignment="1" applyProtection="1">
      <alignment horizontal="center"/>
    </xf>
    <xf numFmtId="0" fontId="72" fillId="4" borderId="0" xfId="0" applyNumberFormat="1" applyFont="1" applyFill="1" applyBorder="1" applyAlignment="1" applyProtection="1">
      <alignment horizontal="right"/>
    </xf>
    <xf numFmtId="0" fontId="71" fillId="4" borderId="0" xfId="0" applyFont="1" applyFill="1" applyBorder="1" applyAlignment="1" applyProtection="1">
      <alignment horizontal="right"/>
    </xf>
    <xf numFmtId="166" fontId="70" fillId="4" borderId="0" xfId="0" applyNumberFormat="1" applyFont="1" applyFill="1" applyBorder="1" applyProtection="1"/>
    <xf numFmtId="0" fontId="73" fillId="4" borderId="0" xfId="0" applyFont="1" applyFill="1" applyBorder="1" applyAlignment="1" applyProtection="1">
      <alignment horizontal="left"/>
    </xf>
    <xf numFmtId="166" fontId="73" fillId="4" borderId="0" xfId="0" applyNumberFormat="1" applyFont="1" applyFill="1" applyBorder="1" applyProtection="1"/>
    <xf numFmtId="0" fontId="72" fillId="4" borderId="0" xfId="0" applyFont="1" applyFill="1" applyBorder="1" applyAlignment="1" applyProtection="1">
      <alignment horizontal="right"/>
    </xf>
    <xf numFmtId="0" fontId="72" fillId="4" borderId="0" xfId="0" applyFont="1" applyFill="1" applyBorder="1" applyAlignment="1" applyProtection="1">
      <alignment horizontal="left"/>
    </xf>
    <xf numFmtId="0" fontId="73" fillId="4" borderId="0" xfId="0" applyFont="1" applyFill="1" applyBorder="1" applyAlignment="1" applyProtection="1">
      <alignment horizontal="right"/>
    </xf>
    <xf numFmtId="166" fontId="9" fillId="7" borderId="14" xfId="4" applyNumberFormat="1" applyFont="1" applyFill="1" applyBorder="1" applyProtection="1"/>
    <xf numFmtId="166" fontId="8" fillId="7" borderId="14" xfId="4" applyNumberFormat="1" applyFont="1" applyFill="1" applyBorder="1" applyProtection="1"/>
    <xf numFmtId="166" fontId="9" fillId="7" borderId="14" xfId="4" applyNumberFormat="1" applyFont="1" applyFill="1" applyBorder="1" applyAlignment="1" applyProtection="1">
      <alignment horizontal="left"/>
    </xf>
    <xf numFmtId="164" fontId="13" fillId="7" borderId="14" xfId="4" applyNumberFormat="1" applyFont="1" applyFill="1" applyBorder="1" applyAlignment="1" applyProtection="1">
      <alignment horizontal="left"/>
    </xf>
    <xf numFmtId="164" fontId="10" fillId="7" borderId="14" xfId="4" applyNumberFormat="1" applyFont="1" applyFill="1" applyBorder="1" applyAlignment="1" applyProtection="1">
      <alignment horizontal="left"/>
    </xf>
    <xf numFmtId="166" fontId="10" fillId="7" borderId="14" xfId="4" applyNumberFormat="1" applyFont="1" applyFill="1" applyBorder="1" applyAlignment="1" applyProtection="1">
      <alignment horizontal="left"/>
    </xf>
    <xf numFmtId="166" fontId="8" fillId="6" borderId="14" xfId="4" applyNumberFormat="1" applyFont="1" applyFill="1" applyBorder="1" applyAlignment="1" applyProtection="1">
      <alignment horizontal="left"/>
    </xf>
    <xf numFmtId="0" fontId="73" fillId="5" borderId="0" xfId="0" applyFont="1" applyFill="1" applyBorder="1" applyAlignment="1" applyProtection="1">
      <alignment horizontal="left"/>
    </xf>
    <xf numFmtId="0" fontId="77" fillId="5" borderId="0" xfId="0" applyFont="1" applyFill="1" applyBorder="1" applyProtection="1"/>
    <xf numFmtId="0" fontId="72" fillId="5" borderId="0" xfId="0" applyFont="1" applyFill="1" applyBorder="1" applyAlignment="1" applyProtection="1">
      <alignment horizontal="left"/>
    </xf>
    <xf numFmtId="164" fontId="8" fillId="6" borderId="13" xfId="0" applyNumberFormat="1" applyFont="1" applyFill="1" applyBorder="1" applyProtection="1"/>
    <xf numFmtId="164" fontId="61" fillId="7" borderId="13" xfId="0" applyNumberFormat="1" applyFont="1" applyFill="1" applyBorder="1" applyAlignment="1" applyProtection="1"/>
    <xf numFmtId="164" fontId="61" fillId="7" borderId="14" xfId="0" applyNumberFormat="1" applyFont="1" applyFill="1" applyBorder="1" applyAlignment="1" applyProtection="1"/>
    <xf numFmtId="0" fontId="72" fillId="5" borderId="0" xfId="0" applyFont="1" applyFill="1" applyBorder="1" applyAlignment="1" applyProtection="1">
      <alignment horizontal="center"/>
    </xf>
    <xf numFmtId="0" fontId="72" fillId="5" borderId="0" xfId="0" applyNumberFormat="1" applyFont="1" applyFill="1" applyBorder="1" applyAlignment="1" applyProtection="1">
      <alignment horizontal="center"/>
    </xf>
    <xf numFmtId="1" fontId="72" fillId="5" borderId="0" xfId="0" quotePrefix="1" applyNumberFormat="1" applyFont="1" applyFill="1" applyBorder="1" applyAlignment="1" applyProtection="1">
      <alignment horizontal="center"/>
    </xf>
    <xf numFmtId="1" fontId="72" fillId="5" borderId="0" xfId="0" applyNumberFormat="1" applyFont="1" applyFill="1" applyBorder="1" applyAlignment="1" applyProtection="1">
      <alignment horizontal="center"/>
    </xf>
    <xf numFmtId="164" fontId="9" fillId="7" borderId="14" xfId="0" applyNumberFormat="1" applyFont="1" applyFill="1" applyBorder="1" applyProtection="1"/>
    <xf numFmtId="164" fontId="61" fillId="7" borderId="14" xfId="0" applyNumberFormat="1" applyFont="1" applyFill="1" applyBorder="1" applyProtection="1"/>
    <xf numFmtId="164" fontId="61" fillId="7" borderId="14" xfId="0" applyNumberFormat="1" applyFont="1" applyFill="1" applyBorder="1" applyAlignment="1" applyProtection="1">
      <alignment horizontal="center"/>
    </xf>
    <xf numFmtId="164" fontId="10" fillId="7" borderId="14" xfId="0" applyNumberFormat="1" applyFont="1" applyFill="1" applyBorder="1" applyAlignment="1" applyProtection="1">
      <alignment horizontal="center"/>
    </xf>
    <xf numFmtId="164" fontId="9" fillId="7" borderId="14" xfId="0" applyNumberFormat="1" applyFont="1" applyFill="1" applyBorder="1" applyAlignment="1" applyProtection="1">
      <alignment horizontal="left"/>
    </xf>
    <xf numFmtId="164" fontId="10" fillId="7" borderId="14" xfId="0" applyNumberFormat="1" applyFont="1" applyFill="1" applyBorder="1" applyAlignment="1" applyProtection="1">
      <alignment horizontal="left"/>
    </xf>
    <xf numFmtId="164" fontId="8" fillId="6" borderId="14" xfId="4" applyNumberFormat="1" applyFont="1" applyFill="1" applyBorder="1" applyAlignment="1" applyProtection="1">
      <alignment horizontal="left"/>
    </xf>
    <xf numFmtId="164" fontId="8" fillId="6" borderId="14" xfId="0" applyNumberFormat="1" applyFont="1" applyFill="1" applyBorder="1" applyAlignment="1" applyProtection="1">
      <alignment horizontal="right"/>
    </xf>
    <xf numFmtId="175" fontId="72" fillId="4" borderId="14" xfId="0" applyNumberFormat="1" applyFont="1" applyFill="1" applyBorder="1" applyAlignment="1" applyProtection="1">
      <alignment horizontal="center"/>
    </xf>
    <xf numFmtId="170" fontId="72" fillId="4" borderId="14" xfId="0" applyNumberFormat="1" applyFont="1" applyFill="1" applyBorder="1" applyAlignment="1" applyProtection="1">
      <alignment horizontal="center"/>
    </xf>
    <xf numFmtId="164" fontId="9" fillId="7" borderId="14" xfId="0" applyNumberFormat="1" applyFont="1" applyFill="1" applyBorder="1" applyAlignment="1" applyProtection="1">
      <alignment horizontal="center"/>
    </xf>
    <xf numFmtId="164" fontId="8" fillId="7" borderId="14" xfId="0" applyNumberFormat="1" applyFont="1" applyFill="1" applyBorder="1" applyAlignment="1" applyProtection="1">
      <alignment horizontal="center"/>
    </xf>
    <xf numFmtId="0" fontId="74" fillId="4" borderId="14" xfId="0" applyFont="1" applyFill="1" applyBorder="1" applyProtection="1"/>
    <xf numFmtId="9" fontId="8" fillId="6" borderId="14" xfId="0" applyNumberFormat="1" applyFont="1" applyFill="1" applyBorder="1" applyAlignment="1" applyProtection="1">
      <alignment horizontal="center"/>
    </xf>
    <xf numFmtId="9" fontId="8" fillId="6" borderId="14" xfId="3" applyFont="1" applyFill="1" applyBorder="1" applyAlignment="1" applyProtection="1">
      <alignment horizontal="center"/>
    </xf>
    <xf numFmtId="0" fontId="73" fillId="5" borderId="0" xfId="0" applyFont="1" applyFill="1" applyBorder="1" applyProtection="1"/>
    <xf numFmtId="0" fontId="72" fillId="5" borderId="0" xfId="0" applyFont="1" applyFill="1" applyBorder="1" applyProtection="1"/>
    <xf numFmtId="0" fontId="72" fillId="5" borderId="0" xfId="0" applyFont="1" applyFill="1" applyBorder="1" applyAlignment="1" applyProtection="1">
      <alignment horizontal="right"/>
    </xf>
    <xf numFmtId="0" fontId="72" fillId="5" borderId="0" xfId="0" applyFont="1" applyFill="1" applyBorder="1" applyAlignment="1" applyProtection="1"/>
    <xf numFmtId="0" fontId="70" fillId="5" borderId="0" xfId="0" quotePrefix="1" applyFont="1" applyFill="1" applyBorder="1" applyProtection="1"/>
    <xf numFmtId="0" fontId="71" fillId="5" borderId="0" xfId="0" applyFont="1" applyFill="1" applyBorder="1" applyAlignment="1" applyProtection="1">
      <alignment horizontal="right"/>
    </xf>
    <xf numFmtId="0" fontId="72" fillId="5" borderId="0" xfId="0" applyNumberFormat="1" applyFont="1" applyFill="1" applyBorder="1" applyAlignment="1" applyProtection="1">
      <alignment horizontal="right"/>
    </xf>
    <xf numFmtId="0" fontId="71" fillId="5" borderId="0" xfId="0" applyNumberFormat="1" applyFont="1" applyFill="1" applyBorder="1" applyProtection="1"/>
    <xf numFmtId="0" fontId="71" fillId="5" borderId="0" xfId="0" quotePrefix="1" applyNumberFormat="1" applyFont="1" applyFill="1" applyBorder="1" applyAlignment="1" applyProtection="1">
      <alignment horizontal="center"/>
    </xf>
    <xf numFmtId="0" fontId="70" fillId="5" borderId="0" xfId="0" applyFont="1" applyFill="1" applyBorder="1" applyAlignment="1" applyProtection="1">
      <alignment horizontal="center"/>
    </xf>
    <xf numFmtId="166" fontId="70" fillId="5" borderId="0" xfId="0" applyNumberFormat="1" applyFont="1" applyFill="1" applyBorder="1" applyProtection="1"/>
    <xf numFmtId="0" fontId="71" fillId="5" borderId="0" xfId="0" applyNumberFormat="1" applyFont="1" applyFill="1" applyBorder="1" applyAlignment="1" applyProtection="1">
      <alignment horizontal="center"/>
    </xf>
    <xf numFmtId="0" fontId="71" fillId="5" borderId="0" xfId="0" applyFont="1" applyFill="1" applyBorder="1" applyProtection="1"/>
    <xf numFmtId="166" fontId="71" fillId="5" borderId="0" xfId="0" quotePrefix="1" applyNumberFormat="1" applyFont="1" applyFill="1" applyBorder="1" applyAlignment="1" applyProtection="1">
      <alignment horizontal="center"/>
    </xf>
    <xf numFmtId="1" fontId="70" fillId="4" borderId="11" xfId="0" applyNumberFormat="1" applyFont="1" applyFill="1" applyBorder="1" applyProtection="1"/>
    <xf numFmtId="1" fontId="70" fillId="4" borderId="11" xfId="0" applyNumberFormat="1" applyFont="1" applyFill="1" applyBorder="1" applyAlignment="1" applyProtection="1">
      <alignment horizontal="center"/>
    </xf>
    <xf numFmtId="166" fontId="70" fillId="4" borderId="11" xfId="4" applyNumberFormat="1" applyFont="1" applyFill="1" applyBorder="1" applyProtection="1"/>
    <xf numFmtId="165" fontId="70" fillId="4" borderId="11" xfId="4" applyNumberFormat="1" applyFont="1" applyFill="1" applyBorder="1" applyProtection="1"/>
    <xf numFmtId="1" fontId="73" fillId="4" borderId="14" xfId="0" applyNumberFormat="1" applyFont="1" applyFill="1" applyBorder="1" applyProtection="1"/>
    <xf numFmtId="166" fontId="70" fillId="4" borderId="14" xfId="4" applyNumberFormat="1" applyFont="1" applyFill="1" applyBorder="1" applyProtection="1"/>
    <xf numFmtId="0" fontId="71" fillId="4" borderId="14" xfId="0" quotePrefix="1" applyFont="1" applyFill="1" applyBorder="1" applyAlignment="1" applyProtection="1">
      <alignment horizontal="center"/>
    </xf>
    <xf numFmtId="0" fontId="71" fillId="4" borderId="14" xfId="0" applyFont="1" applyFill="1" applyBorder="1" applyProtection="1"/>
    <xf numFmtId="166" fontId="62" fillId="7" borderId="14" xfId="4" applyNumberFormat="1" applyFont="1" applyFill="1" applyBorder="1" applyAlignment="1" applyProtection="1">
      <alignment horizontal="left"/>
      <protection locked="0"/>
    </xf>
    <xf numFmtId="164" fontId="62" fillId="7" borderId="14" xfId="0" applyNumberFormat="1" applyFont="1" applyFill="1" applyBorder="1" applyAlignment="1" applyProtection="1"/>
    <xf numFmtId="164" fontId="62" fillId="7" borderId="14" xfId="0" applyNumberFormat="1" applyFont="1" applyFill="1" applyBorder="1" applyAlignment="1" applyProtection="1">
      <alignment horizontal="center"/>
      <protection locked="0"/>
    </xf>
    <xf numFmtId="0" fontId="73" fillId="4" borderId="14" xfId="0" applyFont="1" applyFill="1" applyBorder="1" applyAlignment="1" applyProtection="1"/>
    <xf numFmtId="164" fontId="70" fillId="4" borderId="11" xfId="0" applyNumberFormat="1" applyFont="1" applyFill="1" applyBorder="1" applyAlignment="1" applyProtection="1"/>
    <xf numFmtId="164" fontId="70" fillId="4" borderId="11" xfId="0" applyNumberFormat="1" applyFont="1" applyFill="1" applyBorder="1" applyProtection="1"/>
    <xf numFmtId="164" fontId="70" fillId="4" borderId="11" xfId="0" applyNumberFormat="1" applyFont="1" applyFill="1" applyBorder="1" applyAlignment="1" applyProtection="1">
      <alignment horizontal="center"/>
    </xf>
    <xf numFmtId="0" fontId="71" fillId="4" borderId="14" xfId="0" applyNumberFormat="1" applyFont="1" applyFill="1" applyBorder="1" applyAlignment="1" applyProtection="1">
      <alignment horizontal="center"/>
    </xf>
    <xf numFmtId="0" fontId="72" fillId="0" borderId="0" xfId="0" applyFont="1" applyAlignment="1" applyProtection="1">
      <alignment horizontal="left" indent="1"/>
    </xf>
    <xf numFmtId="0" fontId="72" fillId="0" borderId="0" xfId="0" applyFont="1" applyFill="1" applyBorder="1" applyAlignment="1" applyProtection="1">
      <alignment horizontal="left" indent="1"/>
    </xf>
    <xf numFmtId="0" fontId="71" fillId="0" borderId="0" xfId="0" applyFont="1" applyFill="1" applyBorder="1" applyAlignment="1" applyProtection="1">
      <alignment horizontal="left" indent="1"/>
    </xf>
    <xf numFmtId="0" fontId="72" fillId="0" borderId="0" xfId="0" applyFont="1" applyFill="1" applyAlignment="1" applyProtection="1">
      <alignment horizontal="left" indent="1"/>
    </xf>
    <xf numFmtId="165" fontId="72" fillId="0" borderId="0" xfId="0" applyNumberFormat="1" applyFont="1" applyFill="1" applyBorder="1" applyAlignment="1" applyProtection="1">
      <alignment horizontal="left" indent="1"/>
    </xf>
    <xf numFmtId="0" fontId="72" fillId="0" borderId="0" xfId="0" applyNumberFormat="1" applyFont="1" applyFill="1" applyBorder="1" applyAlignment="1" applyProtection="1">
      <alignment horizontal="left" indent="1"/>
    </xf>
    <xf numFmtId="0" fontId="58" fillId="4" borderId="14" xfId="0" applyFont="1" applyFill="1" applyBorder="1" applyAlignment="1" applyProtection="1">
      <alignment horizontal="left"/>
    </xf>
    <xf numFmtId="0" fontId="62" fillId="4" borderId="14" xfId="0" applyFont="1" applyFill="1" applyBorder="1" applyAlignment="1" applyProtection="1">
      <alignment horizontal="left"/>
    </xf>
    <xf numFmtId="0" fontId="58" fillId="4" borderId="14" xfId="0" applyFont="1" applyFill="1" applyBorder="1" applyProtection="1"/>
    <xf numFmtId="0" fontId="61" fillId="4" borderId="14" xfId="0" applyFont="1" applyFill="1" applyBorder="1" applyAlignment="1" applyProtection="1">
      <alignment horizontal="left"/>
    </xf>
    <xf numFmtId="0" fontId="58" fillId="4" borderId="14" xfId="0" applyNumberFormat="1" applyFont="1" applyFill="1" applyBorder="1" applyProtection="1"/>
    <xf numFmtId="0" fontId="78" fillId="4" borderId="14" xfId="0" applyFont="1" applyFill="1" applyBorder="1" applyProtection="1"/>
    <xf numFmtId="0" fontId="58" fillId="5" borderId="14" xfId="0" applyFont="1" applyFill="1" applyBorder="1" applyProtection="1">
      <protection locked="0"/>
    </xf>
    <xf numFmtId="0" fontId="58" fillId="4" borderId="17" xfId="0" applyFont="1" applyFill="1" applyBorder="1" applyAlignment="1" applyProtection="1">
      <alignment horizontal="left"/>
    </xf>
    <xf numFmtId="0" fontId="58" fillId="4" borderId="14" xfId="0" applyNumberFormat="1" applyFont="1" applyFill="1" applyBorder="1" applyAlignment="1" applyProtection="1">
      <alignment horizontal="left"/>
    </xf>
    <xf numFmtId="0" fontId="61" fillId="4" borderId="14" xfId="0" applyNumberFormat="1" applyFont="1" applyFill="1" applyBorder="1" applyAlignment="1" applyProtection="1">
      <alignment horizontal="left"/>
    </xf>
    <xf numFmtId="0" fontId="58" fillId="5" borderId="14" xfId="0" applyFont="1" applyFill="1" applyBorder="1" applyAlignment="1" applyProtection="1">
      <alignment horizontal="left"/>
      <protection locked="0"/>
    </xf>
    <xf numFmtId="0" fontId="58" fillId="0" borderId="14" xfId="0" applyFont="1" applyFill="1" applyBorder="1" applyProtection="1"/>
    <xf numFmtId="0" fontId="61" fillId="4" borderId="17" xfId="0" applyFont="1" applyFill="1" applyBorder="1" applyAlignment="1" applyProtection="1">
      <alignment horizontal="left"/>
    </xf>
    <xf numFmtId="0" fontId="58" fillId="4" borderId="14" xfId="0" applyFont="1" applyFill="1" applyBorder="1" applyProtection="1">
      <protection locked="0"/>
    </xf>
    <xf numFmtId="0" fontId="61" fillId="4" borderId="14" xfId="0" applyFont="1" applyFill="1" applyBorder="1" applyProtection="1"/>
    <xf numFmtId="0" fontId="58" fillId="4" borderId="14" xfId="0" applyFont="1" applyFill="1" applyBorder="1" applyAlignment="1" applyProtection="1"/>
    <xf numFmtId="0" fontId="58" fillId="4" borderId="14" xfId="0" applyNumberFormat="1" applyFont="1" applyFill="1" applyBorder="1" applyAlignment="1" applyProtection="1"/>
    <xf numFmtId="0" fontId="58" fillId="5" borderId="0" xfId="0" applyFont="1" applyFill="1" applyBorder="1" applyAlignment="1" applyProtection="1"/>
    <xf numFmtId="0" fontId="58" fillId="4" borderId="11" xfId="0" applyFont="1" applyFill="1" applyBorder="1" applyAlignment="1" applyProtection="1"/>
    <xf numFmtId="1" fontId="8" fillId="5" borderId="3" xfId="0" applyNumberFormat="1" applyFont="1" applyFill="1" applyBorder="1" applyAlignment="1" applyProtection="1">
      <alignment horizontal="center"/>
    </xf>
    <xf numFmtId="1" fontId="32" fillId="5" borderId="0" xfId="0" applyNumberFormat="1" applyFont="1" applyFill="1" applyBorder="1" applyAlignment="1" applyProtection="1">
      <alignment horizontal="center"/>
    </xf>
    <xf numFmtId="1" fontId="75" fillId="4" borderId="14" xfId="0" applyNumberFormat="1" applyFont="1" applyFill="1" applyBorder="1" applyAlignment="1" applyProtection="1">
      <alignment horizontal="left"/>
    </xf>
    <xf numFmtId="1" fontId="8" fillId="5" borderId="14" xfId="4" applyNumberFormat="1" applyFont="1" applyFill="1" applyBorder="1" applyAlignment="1" applyProtection="1">
      <alignment horizontal="center"/>
      <protection locked="0"/>
    </xf>
    <xf numFmtId="1" fontId="8" fillId="5" borderId="0" xfId="4" applyNumberFormat="1" applyFont="1" applyFill="1" applyBorder="1" applyAlignment="1" applyProtection="1">
      <alignment horizontal="center"/>
    </xf>
    <xf numFmtId="1" fontId="8" fillId="5" borderId="8" xfId="0" applyNumberFormat="1" applyFont="1" applyFill="1" applyBorder="1" applyAlignment="1" applyProtection="1">
      <alignment horizontal="center"/>
    </xf>
    <xf numFmtId="0" fontId="70" fillId="4" borderId="14" xfId="0" applyFont="1" applyFill="1" applyBorder="1" applyAlignment="1" applyProtection="1">
      <alignment horizontal="left"/>
    </xf>
    <xf numFmtId="166" fontId="72" fillId="4" borderId="14" xfId="0" applyNumberFormat="1" applyFont="1" applyFill="1" applyBorder="1" applyAlignment="1" applyProtection="1"/>
    <xf numFmtId="0" fontId="73" fillId="4" borderId="14" xfId="0" applyFont="1" applyFill="1" applyBorder="1" applyAlignment="1" applyProtection="1">
      <alignment horizontal="left"/>
    </xf>
    <xf numFmtId="0" fontId="70" fillId="4" borderId="14" xfId="0" applyFont="1" applyFill="1" applyBorder="1" applyAlignment="1" applyProtection="1">
      <alignment horizontal="left"/>
    </xf>
    <xf numFmtId="0" fontId="75" fillId="4" borderId="14" xfId="0" applyFont="1" applyFill="1" applyBorder="1" applyAlignment="1" applyProtection="1">
      <alignment horizontal="left"/>
    </xf>
    <xf numFmtId="1" fontId="8" fillId="6" borderId="14" xfId="4" applyNumberFormat="1" applyFont="1" applyFill="1" applyBorder="1" applyAlignment="1" applyProtection="1">
      <alignment horizontal="center"/>
    </xf>
    <xf numFmtId="1" fontId="8" fillId="5" borderId="14" xfId="0" applyNumberFormat="1" applyFont="1" applyFill="1" applyBorder="1" applyAlignment="1" applyProtection="1">
      <alignment horizontal="center"/>
      <protection locked="0"/>
    </xf>
    <xf numFmtId="1" fontId="9" fillId="7" borderId="14" xfId="0" applyNumberFormat="1" applyFont="1" applyFill="1" applyBorder="1" applyAlignment="1" applyProtection="1">
      <alignment horizontal="center"/>
    </xf>
    <xf numFmtId="0" fontId="79" fillId="4" borderId="0" xfId="0" applyNumberFormat="1" applyFont="1" applyFill="1" applyBorder="1" applyAlignment="1" applyProtection="1">
      <alignment horizontal="center"/>
    </xf>
    <xf numFmtId="0" fontId="79" fillId="5" borderId="3" xfId="0" applyNumberFormat="1" applyFont="1" applyFill="1" applyBorder="1" applyAlignment="1" applyProtection="1">
      <alignment horizontal="center"/>
    </xf>
    <xf numFmtId="0" fontId="79" fillId="5" borderId="0" xfId="0" applyNumberFormat="1" applyFont="1" applyFill="1" applyBorder="1" applyAlignment="1" applyProtection="1">
      <alignment horizontal="center"/>
    </xf>
    <xf numFmtId="0" fontId="80" fillId="5" borderId="0" xfId="0" applyNumberFormat="1" applyFont="1" applyFill="1" applyBorder="1" applyAlignment="1" applyProtection="1">
      <alignment horizontal="center"/>
    </xf>
    <xf numFmtId="0" fontId="81" fillId="5" borderId="0" xfId="0" applyNumberFormat="1" applyFont="1" applyFill="1" applyBorder="1" applyAlignment="1" applyProtection="1">
      <alignment horizontal="center"/>
    </xf>
    <xf numFmtId="1" fontId="83" fillId="4" borderId="14" xfId="0" applyNumberFormat="1" applyFont="1" applyFill="1" applyBorder="1" applyAlignment="1" applyProtection="1">
      <alignment horizontal="center"/>
    </xf>
    <xf numFmtId="1" fontId="82" fillId="7" borderId="14" xfId="0" applyNumberFormat="1" applyFont="1" applyFill="1" applyBorder="1" applyAlignment="1" applyProtection="1">
      <alignment horizontal="center"/>
    </xf>
    <xf numFmtId="0" fontId="79" fillId="4" borderId="17" xfId="0" applyNumberFormat="1" applyFont="1" applyFill="1" applyBorder="1" applyAlignment="1" applyProtection="1">
      <alignment horizontal="center"/>
    </xf>
    <xf numFmtId="0" fontId="79" fillId="4" borderId="11" xfId="0" applyNumberFormat="1" applyFont="1" applyFill="1" applyBorder="1" applyAlignment="1" applyProtection="1">
      <alignment horizontal="center"/>
    </xf>
    <xf numFmtId="171" fontId="79" fillId="5" borderId="8" xfId="0" applyNumberFormat="1" applyFont="1" applyFill="1" applyBorder="1" applyAlignment="1" applyProtection="1">
      <alignment horizontal="center"/>
    </xf>
    <xf numFmtId="0" fontId="69" fillId="4" borderId="0" xfId="0" applyNumberFormat="1" applyFont="1" applyFill="1" applyBorder="1" applyAlignment="1" applyProtection="1"/>
    <xf numFmtId="0" fontId="69" fillId="4" borderId="0" xfId="0" applyNumberFormat="1" applyFont="1" applyFill="1" applyBorder="1" applyAlignment="1" applyProtection="1">
      <alignment horizontal="center"/>
    </xf>
    <xf numFmtId="0" fontId="69" fillId="4" borderId="0" xfId="0" applyFont="1" applyFill="1" applyBorder="1" applyProtection="1"/>
    <xf numFmtId="168" fontId="69" fillId="4" borderId="0" xfId="0" applyNumberFormat="1" applyFont="1" applyFill="1" applyBorder="1" applyProtection="1"/>
    <xf numFmtId="0" fontId="69" fillId="4" borderId="0" xfId="0" applyFont="1" applyFill="1" applyBorder="1" applyAlignment="1" applyProtection="1">
      <alignment horizontal="center"/>
    </xf>
    <xf numFmtId="0" fontId="85" fillId="4" borderId="0" xfId="0" applyNumberFormat="1" applyFont="1" applyFill="1" applyBorder="1" applyProtection="1"/>
    <xf numFmtId="171" fontId="85" fillId="4" borderId="0" xfId="0" applyNumberFormat="1" applyFont="1" applyFill="1" applyBorder="1" applyAlignment="1" applyProtection="1">
      <alignment horizontal="center"/>
    </xf>
    <xf numFmtId="0" fontId="85" fillId="4" borderId="0" xfId="0" applyNumberFormat="1" applyFont="1" applyFill="1" applyBorder="1" applyAlignment="1" applyProtection="1">
      <alignment horizontal="center"/>
    </xf>
    <xf numFmtId="171" fontId="85" fillId="4" borderId="0" xfId="0" applyNumberFormat="1" applyFont="1" applyFill="1" applyBorder="1" applyProtection="1"/>
    <xf numFmtId="1" fontId="85" fillId="4" borderId="0" xfId="0" applyNumberFormat="1" applyFont="1" applyFill="1" applyBorder="1" applyProtection="1"/>
    <xf numFmtId="0" fontId="85" fillId="4" borderId="0" xfId="0" applyFont="1" applyFill="1" applyBorder="1" applyProtection="1"/>
    <xf numFmtId="0" fontId="69" fillId="4" borderId="0" xfId="0" applyNumberFormat="1" applyFont="1" applyFill="1" applyBorder="1" applyProtection="1"/>
    <xf numFmtId="171" fontId="69" fillId="4" borderId="0" xfId="0" applyNumberFormat="1" applyFont="1" applyFill="1" applyBorder="1" applyAlignment="1" applyProtection="1">
      <alignment horizontal="center"/>
    </xf>
    <xf numFmtId="171" fontId="69" fillId="4" borderId="0" xfId="0" applyNumberFormat="1" applyFont="1" applyFill="1" applyBorder="1" applyProtection="1"/>
    <xf numFmtId="1" fontId="69" fillId="4" borderId="0" xfId="0" applyNumberFormat="1" applyFont="1" applyFill="1" applyBorder="1" applyProtection="1"/>
    <xf numFmtId="0" fontId="86" fillId="4" borderId="0" xfId="0" applyNumberFormat="1" applyFont="1" applyFill="1" applyBorder="1" applyProtection="1"/>
    <xf numFmtId="171" fontId="86" fillId="4" borderId="0" xfId="0" applyNumberFormat="1" applyFont="1" applyFill="1" applyBorder="1" applyAlignment="1" applyProtection="1">
      <alignment horizontal="center"/>
    </xf>
    <xf numFmtId="0" fontId="86" fillId="4" borderId="0" xfId="0" applyNumberFormat="1" applyFont="1" applyFill="1" applyBorder="1" applyAlignment="1" applyProtection="1">
      <alignment horizontal="center"/>
    </xf>
    <xf numFmtId="171" fontId="86" fillId="4" borderId="0" xfId="0" applyNumberFormat="1" applyFont="1" applyFill="1" applyBorder="1" applyProtection="1"/>
    <xf numFmtId="1" fontId="86" fillId="4" borderId="0" xfId="0" applyNumberFormat="1" applyFont="1" applyFill="1" applyBorder="1" applyProtection="1"/>
    <xf numFmtId="0" fontId="86" fillId="4" borderId="0" xfId="0" applyFont="1" applyFill="1" applyBorder="1" applyProtection="1"/>
    <xf numFmtId="166" fontId="69" fillId="4" borderId="0" xfId="0" applyNumberFormat="1" applyFont="1" applyFill="1" applyBorder="1" applyAlignment="1" applyProtection="1">
      <alignment horizontal="center"/>
    </xf>
    <xf numFmtId="0" fontId="68" fillId="4" borderId="0" xfId="0" applyFont="1" applyFill="1" applyBorder="1" applyAlignment="1" applyProtection="1">
      <alignment horizontal="center"/>
    </xf>
    <xf numFmtId="166" fontId="68" fillId="4" borderId="0" xfId="0" applyNumberFormat="1" applyFont="1" applyFill="1" applyBorder="1" applyAlignment="1" applyProtection="1">
      <alignment horizontal="center"/>
    </xf>
    <xf numFmtId="166" fontId="69" fillId="4" borderId="0" xfId="4" applyNumberFormat="1" applyFont="1" applyFill="1" applyBorder="1" applyAlignment="1" applyProtection="1">
      <alignment horizontal="center"/>
    </xf>
    <xf numFmtId="166" fontId="69" fillId="4" borderId="0" xfId="4" applyNumberFormat="1" applyFont="1" applyFill="1" applyBorder="1" applyProtection="1"/>
    <xf numFmtId="166" fontId="69" fillId="4" borderId="0" xfId="0" applyNumberFormat="1" applyFont="1" applyFill="1" applyBorder="1" applyProtection="1"/>
    <xf numFmtId="0" fontId="67" fillId="4" borderId="0" xfId="0" quotePrefix="1" applyFont="1" applyFill="1" applyBorder="1" applyAlignment="1" applyProtection="1">
      <alignment horizontal="right"/>
    </xf>
    <xf numFmtId="166" fontId="69" fillId="4" borderId="0" xfId="4" applyNumberFormat="1" applyFont="1" applyFill="1" applyBorder="1" applyAlignment="1" applyProtection="1"/>
    <xf numFmtId="166" fontId="67" fillId="4" borderId="0" xfId="0" applyNumberFormat="1" applyFont="1" applyFill="1" applyBorder="1" applyProtection="1"/>
    <xf numFmtId="0" fontId="85" fillId="4" borderId="0" xfId="0" applyNumberFormat="1" applyFont="1" applyFill="1" applyBorder="1" applyAlignment="1" applyProtection="1"/>
    <xf numFmtId="1" fontId="69" fillId="4" borderId="0" xfId="0" applyNumberFormat="1" applyFont="1" applyFill="1" applyBorder="1" applyAlignment="1" applyProtection="1">
      <alignment horizontal="center"/>
    </xf>
    <xf numFmtId="1" fontId="87" fillId="4" borderId="0" xfId="0" applyNumberFormat="1" applyFont="1" applyFill="1" applyBorder="1" applyAlignment="1" applyProtection="1">
      <alignment horizontal="left"/>
    </xf>
    <xf numFmtId="0" fontId="87" fillId="4" borderId="0" xfId="0" applyFont="1" applyFill="1" applyBorder="1" applyAlignment="1" applyProtection="1">
      <alignment horizontal="left"/>
    </xf>
    <xf numFmtId="166" fontId="68" fillId="4" borderId="0" xfId="0" applyNumberFormat="1" applyFont="1" applyFill="1" applyBorder="1" applyAlignment="1" applyProtection="1">
      <alignment horizontal="left"/>
    </xf>
    <xf numFmtId="1" fontId="68" fillId="4" borderId="0" xfId="0" applyNumberFormat="1" applyFont="1" applyFill="1" applyBorder="1" applyAlignment="1" applyProtection="1">
      <alignment horizontal="center"/>
    </xf>
    <xf numFmtId="9" fontId="69" fillId="4" borderId="0" xfId="3" applyFont="1" applyFill="1" applyBorder="1" applyAlignment="1" applyProtection="1">
      <alignment horizontal="center"/>
    </xf>
    <xf numFmtId="171" fontId="67" fillId="4" borderId="0" xfId="0" applyNumberFormat="1" applyFont="1" applyFill="1" applyBorder="1" applyAlignment="1" applyProtection="1">
      <alignment horizontal="center"/>
    </xf>
    <xf numFmtId="171" fontId="69" fillId="4" borderId="0" xfId="4" applyNumberFormat="1" applyFont="1" applyFill="1" applyBorder="1" applyAlignment="1" applyProtection="1">
      <alignment horizontal="center"/>
    </xf>
    <xf numFmtId="2" fontId="69" fillId="4" borderId="0" xfId="0" applyNumberFormat="1" applyFont="1" applyFill="1" applyBorder="1" applyProtection="1"/>
    <xf numFmtId="0" fontId="85" fillId="4" borderId="0" xfId="0" applyFont="1" applyFill="1" applyBorder="1" applyAlignment="1" applyProtection="1">
      <alignment horizontal="center"/>
    </xf>
    <xf numFmtId="1" fontId="85" fillId="4" borderId="0" xfId="0" applyNumberFormat="1" applyFont="1" applyFill="1" applyBorder="1" applyAlignment="1" applyProtection="1">
      <alignment horizontal="center"/>
    </xf>
    <xf numFmtId="2" fontId="85" fillId="4" borderId="0" xfId="0" applyNumberFormat="1" applyFont="1" applyFill="1" applyBorder="1" applyProtection="1"/>
    <xf numFmtId="0" fontId="69" fillId="4" borderId="0" xfId="0" applyFont="1" applyFill="1" applyBorder="1" applyAlignment="1" applyProtection="1">
      <alignment horizontal="left"/>
    </xf>
    <xf numFmtId="22" fontId="69" fillId="4" borderId="0" xfId="0" applyNumberFormat="1" applyFont="1" applyFill="1" applyBorder="1" applyAlignment="1" applyProtection="1">
      <alignment horizontal="center"/>
    </xf>
    <xf numFmtId="2" fontId="69" fillId="4" borderId="0" xfId="0" applyNumberFormat="1" applyFont="1" applyFill="1" applyBorder="1" applyAlignment="1" applyProtection="1">
      <alignment horizontal="center"/>
    </xf>
    <xf numFmtId="0" fontId="67" fillId="4" borderId="0" xfId="0" applyFont="1" applyFill="1" applyBorder="1" applyAlignment="1" applyProtection="1">
      <alignment horizontal="center"/>
    </xf>
    <xf numFmtId="166" fontId="67" fillId="4" borderId="0" xfId="0" applyNumberFormat="1" applyFont="1" applyFill="1" applyBorder="1" applyAlignment="1" applyProtection="1">
      <alignment horizontal="center"/>
    </xf>
    <xf numFmtId="2" fontId="67" fillId="4" borderId="0" xfId="0" applyNumberFormat="1" applyFont="1" applyFill="1" applyBorder="1" applyProtection="1"/>
    <xf numFmtId="1" fontId="69" fillId="4" borderId="0" xfId="4" applyNumberFormat="1" applyFont="1" applyFill="1" applyBorder="1" applyAlignment="1" applyProtection="1">
      <alignment horizontal="center"/>
    </xf>
    <xf numFmtId="1" fontId="67" fillId="4" borderId="0" xfId="0" applyNumberFormat="1" applyFont="1" applyFill="1" applyBorder="1" applyAlignment="1" applyProtection="1">
      <alignment horizontal="center"/>
    </xf>
    <xf numFmtId="164" fontId="67" fillId="4" borderId="0" xfId="0" applyNumberFormat="1" applyFont="1" applyFill="1" applyBorder="1" applyAlignment="1" applyProtection="1">
      <alignment horizontal="center"/>
    </xf>
    <xf numFmtId="2" fontId="67" fillId="4" borderId="0" xfId="0" applyNumberFormat="1" applyFont="1" applyFill="1" applyBorder="1" applyAlignment="1" applyProtection="1">
      <alignment horizontal="right"/>
    </xf>
    <xf numFmtId="2" fontId="67" fillId="4" borderId="0" xfId="0" applyNumberFormat="1" applyFont="1" applyFill="1" applyBorder="1" applyAlignment="1" applyProtection="1">
      <alignment horizontal="center"/>
    </xf>
    <xf numFmtId="2" fontId="68" fillId="4" borderId="0" xfId="0" applyNumberFormat="1" applyFont="1" applyFill="1" applyBorder="1" applyAlignment="1" applyProtection="1">
      <alignment horizontal="center"/>
    </xf>
    <xf numFmtId="0" fontId="88" fillId="4" borderId="14" xfId="0" applyFont="1" applyFill="1" applyBorder="1" applyAlignment="1" applyProtection="1">
      <alignment horizontal="left"/>
    </xf>
    <xf numFmtId="164" fontId="83" fillId="4" borderId="0" xfId="0" applyNumberFormat="1" applyFont="1" applyFill="1" applyBorder="1" applyProtection="1"/>
    <xf numFmtId="164" fontId="84" fillId="4" borderId="0" xfId="0" applyNumberFormat="1" applyFont="1" applyFill="1" applyBorder="1" applyProtection="1"/>
    <xf numFmtId="164" fontId="84" fillId="4" borderId="0" xfId="0" applyNumberFormat="1" applyFont="1" applyFill="1" applyBorder="1" applyAlignment="1" applyProtection="1">
      <alignment horizontal="right"/>
    </xf>
    <xf numFmtId="164" fontId="80" fillId="4" borderId="0" xfId="0" applyNumberFormat="1" applyFont="1" applyFill="1" applyBorder="1" applyProtection="1"/>
    <xf numFmtId="164" fontId="83" fillId="4" borderId="0" xfId="0" applyNumberFormat="1" applyFont="1" applyFill="1" applyBorder="1" applyAlignment="1" applyProtection="1">
      <alignment horizontal="center"/>
    </xf>
    <xf numFmtId="0" fontId="84" fillId="4" borderId="0" xfId="0" applyFont="1" applyFill="1" applyBorder="1" applyAlignment="1" applyProtection="1">
      <alignment horizontal="center"/>
    </xf>
    <xf numFmtId="1" fontId="9" fillId="7" borderId="17" xfId="0" applyNumberFormat="1" applyFont="1" applyFill="1" applyBorder="1" applyAlignment="1" applyProtection="1">
      <alignment horizontal="center"/>
    </xf>
    <xf numFmtId="1" fontId="69" fillId="4" borderId="0" xfId="4" applyNumberFormat="1" applyFont="1" applyFill="1" applyBorder="1" applyAlignment="1" applyProtection="1">
      <alignment horizontal="center"/>
      <protection locked="0"/>
    </xf>
    <xf numFmtId="165" fontId="69" fillId="4" borderId="0" xfId="4" applyNumberFormat="1" applyFont="1" applyFill="1" applyBorder="1" applyProtection="1"/>
    <xf numFmtId="164" fontId="67" fillId="4" borderId="0" xfId="0" applyNumberFormat="1" applyFont="1" applyFill="1" applyBorder="1" applyAlignment="1" applyProtection="1">
      <alignment horizontal="right"/>
    </xf>
    <xf numFmtId="1" fontId="9" fillId="4" borderId="0" xfId="0" applyNumberFormat="1" applyFont="1" applyFill="1" applyBorder="1" applyAlignment="1" applyProtection="1">
      <alignment horizontal="center"/>
    </xf>
    <xf numFmtId="1" fontId="9" fillId="5" borderId="3" xfId="0" applyNumberFormat="1" applyFont="1" applyFill="1" applyBorder="1" applyAlignment="1" applyProtection="1">
      <alignment horizontal="center"/>
    </xf>
    <xf numFmtId="1" fontId="25" fillId="5" borderId="0" xfId="0" applyNumberFormat="1" applyFont="1" applyFill="1" applyBorder="1" applyAlignment="1" applyProtection="1">
      <alignment horizontal="center"/>
    </xf>
    <xf numFmtId="0" fontId="31" fillId="5" borderId="0" xfId="0" applyNumberFormat="1" applyFont="1" applyFill="1" applyBorder="1" applyAlignment="1" applyProtection="1">
      <alignment horizontal="center"/>
    </xf>
    <xf numFmtId="1" fontId="73" fillId="4" borderId="11" xfId="0" applyNumberFormat="1" applyFont="1" applyFill="1" applyBorder="1" applyAlignment="1" applyProtection="1">
      <alignment horizontal="center"/>
    </xf>
    <xf numFmtId="1" fontId="88" fillId="4" borderId="14" xfId="0" applyNumberFormat="1" applyFont="1" applyFill="1" applyBorder="1" applyAlignment="1" applyProtection="1">
      <alignment horizontal="left"/>
    </xf>
    <xf numFmtId="1" fontId="71" fillId="4" borderId="14" xfId="0" applyNumberFormat="1" applyFont="1" applyFill="1" applyBorder="1" applyAlignment="1" applyProtection="1">
      <alignment horizontal="center"/>
    </xf>
    <xf numFmtId="1" fontId="9" fillId="6" borderId="14" xfId="4" applyNumberFormat="1" applyFont="1" applyFill="1" applyBorder="1" applyAlignment="1" applyProtection="1">
      <alignment horizontal="center"/>
    </xf>
    <xf numFmtId="1" fontId="9" fillId="5" borderId="0" xfId="4" applyNumberFormat="1" applyFont="1" applyFill="1" applyBorder="1" applyAlignment="1" applyProtection="1">
      <alignment horizontal="center"/>
    </xf>
    <xf numFmtId="165" fontId="10" fillId="4" borderId="0" xfId="4" applyFont="1" applyFill="1" applyBorder="1" applyProtection="1"/>
    <xf numFmtId="0" fontId="68" fillId="4" borderId="0" xfId="0" applyNumberFormat="1" applyFont="1" applyFill="1" applyBorder="1" applyAlignment="1" applyProtection="1">
      <alignment horizontal="left"/>
    </xf>
    <xf numFmtId="0" fontId="68" fillId="4" borderId="0" xfId="0" applyNumberFormat="1" applyFont="1" applyFill="1" applyBorder="1" applyAlignment="1" applyProtection="1">
      <alignment horizontal="center"/>
    </xf>
    <xf numFmtId="44" fontId="8" fillId="4" borderId="0" xfId="0" applyNumberFormat="1" applyFont="1" applyFill="1" applyBorder="1" applyProtection="1"/>
    <xf numFmtId="165" fontId="69" fillId="4" borderId="0" xfId="4" applyFont="1" applyFill="1" applyBorder="1" applyProtection="1"/>
    <xf numFmtId="166" fontId="68" fillId="4" borderId="0" xfId="0" applyNumberFormat="1" applyFont="1" applyFill="1" applyBorder="1" applyAlignment="1" applyProtection="1"/>
    <xf numFmtId="174" fontId="74" fillId="4" borderId="0" xfId="0" applyNumberFormat="1" applyFont="1" applyFill="1" applyBorder="1" applyAlignment="1" applyProtection="1">
      <alignment horizontal="center"/>
    </xf>
    <xf numFmtId="176" fontId="67" fillId="4" borderId="0" xfId="0" applyNumberFormat="1" applyFont="1" applyFill="1" applyBorder="1" applyAlignment="1" applyProtection="1">
      <alignment horizontal="center"/>
    </xf>
    <xf numFmtId="0" fontId="8" fillId="5" borderId="3" xfId="0" applyFont="1" applyFill="1" applyBorder="1" applyProtection="1">
      <protection locked="0"/>
    </xf>
    <xf numFmtId="0" fontId="8" fillId="5" borderId="0" xfId="0" applyFont="1" applyFill="1" applyBorder="1" applyProtection="1">
      <protection locked="0"/>
    </xf>
    <xf numFmtId="0" fontId="32" fillId="5" borderId="0" xfId="0" applyFont="1" applyFill="1" applyBorder="1" applyProtection="1">
      <protection locked="0"/>
    </xf>
    <xf numFmtId="0" fontId="15" fillId="5" borderId="0" xfId="0" applyFont="1" applyFill="1" applyBorder="1" applyProtection="1">
      <protection locked="0"/>
    </xf>
    <xf numFmtId="0" fontId="70" fillId="4" borderId="11" xfId="0" applyFont="1" applyFill="1" applyBorder="1" applyProtection="1">
      <protection locked="0"/>
    </xf>
    <xf numFmtId="0" fontId="76" fillId="4" borderId="14" xfId="0" applyFont="1" applyFill="1" applyBorder="1" applyAlignment="1" applyProtection="1">
      <alignment horizontal="left"/>
      <protection locked="0"/>
    </xf>
    <xf numFmtId="0" fontId="72" fillId="4" borderId="14" xfId="0" applyFont="1" applyFill="1" applyBorder="1" applyAlignment="1" applyProtection="1">
      <alignment horizontal="center"/>
      <protection locked="0"/>
    </xf>
    <xf numFmtId="0" fontId="70" fillId="4" borderId="14" xfId="0" applyFont="1" applyFill="1" applyBorder="1" applyAlignment="1" applyProtection="1">
      <alignment horizontal="left"/>
      <protection locked="0"/>
    </xf>
    <xf numFmtId="0" fontId="8" fillId="4" borderId="14" xfId="0" applyFont="1" applyFill="1" applyBorder="1" applyAlignment="1" applyProtection="1">
      <alignment horizontal="left"/>
      <protection locked="0"/>
    </xf>
    <xf numFmtId="0" fontId="9" fillId="4" borderId="17" xfId="0" applyFont="1" applyFill="1" applyBorder="1" applyAlignment="1" applyProtection="1">
      <alignment horizontal="left"/>
      <protection locked="0"/>
    </xf>
    <xf numFmtId="0" fontId="8" fillId="4" borderId="0"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164" fontId="68" fillId="4" borderId="0" xfId="0" applyNumberFormat="1" applyFont="1" applyFill="1" applyBorder="1" applyProtection="1"/>
    <xf numFmtId="2" fontId="85" fillId="4" borderId="0" xfId="0" applyNumberFormat="1" applyFont="1" applyFill="1" applyBorder="1" applyAlignment="1" applyProtection="1">
      <alignment horizontal="center"/>
    </xf>
    <xf numFmtId="164" fontId="85" fillId="4" borderId="0" xfId="0" applyNumberFormat="1" applyFont="1" applyFill="1" applyBorder="1" applyProtection="1"/>
    <xf numFmtId="2" fontId="86" fillId="4" borderId="0" xfId="0" applyNumberFormat="1" applyFont="1" applyFill="1" applyBorder="1" applyAlignment="1" applyProtection="1">
      <alignment horizontal="center"/>
    </xf>
    <xf numFmtId="164" fontId="89" fillId="4" borderId="0" xfId="0" applyNumberFormat="1" applyFont="1" applyFill="1" applyBorder="1" applyProtection="1"/>
    <xf numFmtId="164" fontId="68" fillId="4" borderId="0" xfId="0" applyNumberFormat="1" applyFont="1" applyFill="1" applyBorder="1" applyAlignment="1" applyProtection="1">
      <alignment horizontal="center"/>
    </xf>
    <xf numFmtId="164" fontId="74" fillId="4" borderId="0" xfId="0" applyNumberFormat="1" applyFont="1" applyFill="1" applyBorder="1" applyProtection="1"/>
    <xf numFmtId="166" fontId="70" fillId="4" borderId="0" xfId="0" applyNumberFormat="1" applyFont="1" applyFill="1" applyBorder="1" applyAlignment="1" applyProtection="1">
      <alignment horizontal="center"/>
    </xf>
    <xf numFmtId="166" fontId="9" fillId="4" borderId="0" xfId="0" applyNumberFormat="1" applyFont="1" applyFill="1" applyBorder="1" applyAlignment="1" applyProtection="1">
      <alignment horizontal="center"/>
    </xf>
    <xf numFmtId="0" fontId="55" fillId="4" borderId="0" xfId="0" applyFont="1" applyFill="1" applyBorder="1" applyAlignment="1" applyProtection="1">
      <alignment horizontal="center"/>
    </xf>
    <xf numFmtId="0" fontId="15" fillId="4" borderId="0" xfId="0" applyFont="1" applyFill="1" applyBorder="1" applyAlignment="1" applyProtection="1">
      <alignment horizontal="center"/>
    </xf>
    <xf numFmtId="174" fontId="69" fillId="4" borderId="0" xfId="0" applyNumberFormat="1" applyFont="1" applyFill="1" applyBorder="1" applyAlignment="1" applyProtection="1">
      <alignment horizontal="center"/>
    </xf>
    <xf numFmtId="0" fontId="56" fillId="4" borderId="0" xfId="0" applyFont="1" applyFill="1" applyProtection="1"/>
    <xf numFmtId="0" fontId="65" fillId="5" borderId="0" xfId="0" applyNumberFormat="1" applyFont="1" applyFill="1" applyBorder="1" applyAlignment="1" applyProtection="1">
      <alignment horizontal="center"/>
    </xf>
    <xf numFmtId="0" fontId="56" fillId="5" borderId="0" xfId="0" applyNumberFormat="1" applyFont="1" applyFill="1" applyBorder="1" applyAlignment="1" applyProtection="1">
      <alignment horizontal="center"/>
    </xf>
    <xf numFmtId="171" fontId="56" fillId="5" borderId="0" xfId="0" applyNumberFormat="1" applyFont="1" applyFill="1" applyBorder="1" applyAlignment="1" applyProtection="1">
      <alignment horizontal="center"/>
    </xf>
    <xf numFmtId="171" fontId="65" fillId="5" borderId="0" xfId="0" applyNumberFormat="1" applyFont="1" applyFill="1" applyBorder="1" applyAlignment="1" applyProtection="1">
      <alignment horizontal="center"/>
    </xf>
    <xf numFmtId="0" fontId="65" fillId="5" borderId="0" xfId="0" applyFont="1" applyFill="1" applyBorder="1" applyProtection="1"/>
    <xf numFmtId="174" fontId="34" fillId="0" borderId="0" xfId="0" applyNumberFormat="1" applyFont="1" applyFill="1" applyBorder="1" applyAlignment="1" applyProtection="1">
      <alignment horizontal="left"/>
    </xf>
    <xf numFmtId="179" fontId="42" fillId="0" borderId="0" xfId="0" applyNumberFormat="1" applyFont="1" applyFill="1" applyAlignment="1" applyProtection="1">
      <alignment horizontal="left"/>
    </xf>
    <xf numFmtId="0" fontId="56" fillId="0" borderId="0" xfId="0" applyFont="1" applyAlignment="1" applyProtection="1">
      <alignment horizontal="left"/>
    </xf>
    <xf numFmtId="0" fontId="65" fillId="4" borderId="0" xfId="0" applyNumberFormat="1" applyFont="1" applyFill="1" applyBorder="1" applyAlignment="1" applyProtection="1">
      <alignment horizontal="left"/>
    </xf>
    <xf numFmtId="0" fontId="65" fillId="4" borderId="0" xfId="0" applyNumberFormat="1" applyFont="1" applyFill="1" applyBorder="1" applyAlignment="1" applyProtection="1"/>
    <xf numFmtId="174" fontId="8" fillId="6" borderId="14" xfId="3" applyNumberFormat="1" applyFont="1" applyFill="1" applyBorder="1" applyAlignment="1" applyProtection="1">
      <alignment horizontal="center"/>
    </xf>
    <xf numFmtId="0" fontId="65" fillId="5" borderId="0" xfId="0" applyNumberFormat="1" applyFont="1" applyFill="1" applyBorder="1" applyAlignment="1" applyProtection="1">
      <alignment horizontal="left"/>
    </xf>
    <xf numFmtId="0" fontId="65" fillId="5" borderId="0" xfId="0" applyNumberFormat="1" applyFont="1" applyFill="1" applyBorder="1" applyAlignment="1" applyProtection="1"/>
    <xf numFmtId="0" fontId="90" fillId="4" borderId="14" xfId="0" applyFont="1" applyFill="1" applyBorder="1" applyProtection="1"/>
    <xf numFmtId="0" fontId="90" fillId="4" borderId="0" xfId="0" applyFont="1" applyFill="1" applyProtection="1"/>
    <xf numFmtId="164" fontId="91" fillId="4" borderId="14" xfId="0" applyNumberFormat="1" applyFont="1" applyFill="1" applyBorder="1" applyProtection="1"/>
    <xf numFmtId="0" fontId="8" fillId="5" borderId="0" xfId="0" applyNumberFormat="1" applyFont="1" applyFill="1" applyBorder="1" applyAlignment="1" applyProtection="1">
      <alignment horizontal="left"/>
    </xf>
    <xf numFmtId="166" fontId="8" fillId="6" borderId="14" xfId="4" applyNumberFormat="1" applyFont="1" applyFill="1" applyBorder="1" applyAlignment="1" applyProtection="1">
      <alignment horizontal="center"/>
    </xf>
    <xf numFmtId="0" fontId="10" fillId="4" borderId="14" xfId="0" applyNumberFormat="1" applyFont="1" applyFill="1" applyBorder="1" applyProtection="1"/>
    <xf numFmtId="0" fontId="13" fillId="4" borderId="14" xfId="0" applyNumberFormat="1" applyFont="1" applyFill="1" applyBorder="1" applyProtection="1"/>
    <xf numFmtId="2" fontId="10" fillId="6" borderId="14" xfId="0" applyNumberFormat="1" applyFont="1" applyFill="1" applyBorder="1" applyAlignment="1" applyProtection="1">
      <alignment horizontal="center"/>
    </xf>
    <xf numFmtId="0" fontId="79" fillId="4" borderId="14" xfId="0" applyFont="1" applyFill="1" applyBorder="1" applyProtection="1"/>
    <xf numFmtId="164" fontId="79" fillId="4" borderId="14" xfId="0" applyNumberFormat="1" applyFont="1" applyFill="1" applyBorder="1" applyAlignment="1" applyProtection="1">
      <alignment horizontal="center"/>
    </xf>
    <xf numFmtId="177" fontId="10" fillId="4" borderId="14" xfId="0" applyNumberFormat="1" applyFont="1" applyFill="1" applyBorder="1" applyAlignment="1" applyProtection="1">
      <alignment horizontal="left"/>
    </xf>
    <xf numFmtId="0" fontId="90" fillId="5" borderId="14" xfId="0" applyFont="1" applyFill="1" applyBorder="1" applyAlignment="1" applyProtection="1">
      <alignment horizontal="left"/>
      <protection locked="0"/>
    </xf>
    <xf numFmtId="0" fontId="90" fillId="5" borderId="14" xfId="0" applyFont="1" applyFill="1" applyBorder="1" applyAlignment="1" applyProtection="1">
      <alignment horizontal="center"/>
      <protection locked="0"/>
    </xf>
    <xf numFmtId="173" fontId="90" fillId="5" borderId="14" xfId="0" applyNumberFormat="1" applyFont="1" applyFill="1" applyBorder="1" applyAlignment="1" applyProtection="1">
      <alignment horizontal="center"/>
      <protection locked="0"/>
    </xf>
    <xf numFmtId="0" fontId="90" fillId="5" borderId="14" xfId="0" applyNumberFormat="1" applyFont="1" applyFill="1" applyBorder="1" applyAlignment="1" applyProtection="1">
      <alignment horizontal="center"/>
      <protection locked="0"/>
    </xf>
    <xf numFmtId="171" fontId="90" fillId="5" borderId="14" xfId="4" applyNumberFormat="1" applyFont="1" applyFill="1" applyBorder="1" applyAlignment="1" applyProtection="1">
      <alignment horizontal="center"/>
      <protection locked="0"/>
    </xf>
    <xf numFmtId="164" fontId="8" fillId="0" borderId="0" xfId="0" applyNumberFormat="1" applyFont="1" applyFill="1" applyAlignment="1" applyProtection="1">
      <alignment horizontal="left"/>
    </xf>
    <xf numFmtId="44" fontId="8" fillId="0" borderId="0" xfId="0" applyNumberFormat="1" applyFont="1" applyFill="1" applyAlignment="1" applyProtection="1">
      <alignment horizontal="left"/>
    </xf>
    <xf numFmtId="3" fontId="8" fillId="6" borderId="0" xfId="0" applyNumberFormat="1" applyFont="1" applyFill="1" applyBorder="1" applyAlignment="1" applyProtection="1">
      <alignment horizontal="left"/>
      <protection locked="0"/>
    </xf>
    <xf numFmtId="3" fontId="9" fillId="6" borderId="0" xfId="0" applyNumberFormat="1" applyFont="1" applyFill="1" applyBorder="1" applyAlignment="1" applyProtection="1">
      <alignment horizontal="left"/>
      <protection locked="0"/>
    </xf>
    <xf numFmtId="3" fontId="66" fillId="6" borderId="0" xfId="0" applyNumberFormat="1" applyFont="1" applyFill="1" applyBorder="1" applyAlignment="1" applyProtection="1">
      <alignment horizontal="left"/>
      <protection locked="0"/>
    </xf>
    <xf numFmtId="165" fontId="42" fillId="2" borderId="0" xfId="4" applyFont="1" applyFill="1" applyBorder="1" applyAlignment="1" applyProtection="1">
      <alignment horizontal="left"/>
      <protection locked="0"/>
    </xf>
    <xf numFmtId="3" fontId="56" fillId="6" borderId="0" xfId="0" applyNumberFormat="1" applyFont="1" applyFill="1" applyBorder="1" applyAlignment="1" applyProtection="1">
      <alignment horizontal="left"/>
      <protection locked="0"/>
    </xf>
    <xf numFmtId="3" fontId="59" fillId="6" borderId="0" xfId="0" applyNumberFormat="1" applyFont="1" applyFill="1" applyBorder="1" applyAlignment="1" applyProtection="1">
      <alignment horizontal="left"/>
      <protection locked="0"/>
    </xf>
    <xf numFmtId="3" fontId="92" fillId="6" borderId="0" xfId="0" applyNumberFormat="1" applyFont="1" applyFill="1" applyBorder="1" applyAlignment="1" applyProtection="1">
      <alignment horizontal="left"/>
      <protection locked="0"/>
    </xf>
    <xf numFmtId="165" fontId="72" fillId="4" borderId="12" xfId="4" applyNumberFormat="1" applyFont="1" applyFill="1" applyBorder="1" applyProtection="1"/>
    <xf numFmtId="165" fontId="72" fillId="4" borderId="0" xfId="4" applyNumberFormat="1" applyFont="1" applyFill="1" applyBorder="1" applyProtection="1"/>
    <xf numFmtId="166" fontId="71" fillId="4" borderId="0" xfId="4" applyNumberFormat="1" applyFont="1" applyFill="1" applyBorder="1" applyAlignment="1" applyProtection="1">
      <alignment horizontal="left"/>
    </xf>
    <xf numFmtId="166" fontId="73" fillId="4" borderId="0" xfId="4" applyNumberFormat="1" applyFont="1" applyFill="1" applyBorder="1" applyAlignment="1" applyProtection="1">
      <alignment horizontal="left"/>
    </xf>
    <xf numFmtId="165" fontId="71" fillId="4" borderId="12" xfId="4" applyNumberFormat="1" applyFont="1" applyFill="1" applyBorder="1" applyAlignment="1" applyProtection="1">
      <alignment horizontal="left"/>
    </xf>
    <xf numFmtId="165" fontId="71" fillId="4" borderId="0" xfId="4" applyFont="1" applyFill="1" applyBorder="1" applyAlignment="1" applyProtection="1">
      <alignment horizontal="left"/>
    </xf>
    <xf numFmtId="165" fontId="70" fillId="4" borderId="0" xfId="4" applyFont="1" applyFill="1" applyBorder="1" applyAlignment="1" applyProtection="1">
      <alignment horizontal="left"/>
    </xf>
    <xf numFmtId="0" fontId="71" fillId="4" borderId="0" xfId="0" applyFont="1" applyFill="1" applyBorder="1" applyAlignment="1" applyProtection="1">
      <alignment horizontal="left"/>
    </xf>
    <xf numFmtId="0" fontId="71" fillId="4" borderId="0" xfId="0" applyFont="1" applyFill="1" applyBorder="1" applyProtection="1"/>
    <xf numFmtId="0" fontId="72" fillId="4" borderId="0" xfId="0" applyNumberFormat="1" applyFont="1" applyFill="1" applyBorder="1" applyAlignment="1" applyProtection="1">
      <alignment horizontal="left"/>
    </xf>
    <xf numFmtId="166" fontId="72" fillId="4" borderId="0" xfId="4" applyNumberFormat="1" applyFont="1" applyFill="1" applyBorder="1" applyAlignment="1" applyProtection="1">
      <alignment horizontal="center"/>
    </xf>
    <xf numFmtId="165" fontId="72" fillId="4" borderId="12" xfId="4" applyNumberFormat="1" applyFont="1" applyFill="1" applyBorder="1" applyAlignment="1" applyProtection="1">
      <alignment horizontal="center"/>
    </xf>
    <xf numFmtId="165" fontId="72" fillId="4" borderId="0" xfId="4" applyFont="1" applyFill="1" applyBorder="1" applyAlignment="1" applyProtection="1">
      <alignment horizontal="center"/>
    </xf>
    <xf numFmtId="165" fontId="8" fillId="9" borderId="0" xfId="4" applyFont="1" applyFill="1" applyBorder="1" applyAlignment="1" applyProtection="1">
      <alignment horizontal="left" vertical="top" wrapText="1"/>
      <protection locked="0"/>
    </xf>
    <xf numFmtId="166" fontId="9" fillId="9" borderId="15" xfId="4" applyNumberFormat="1" applyFont="1" applyFill="1" applyBorder="1" applyAlignment="1" applyProtection="1">
      <alignment horizontal="left" vertical="top" wrapText="1"/>
      <protection locked="0"/>
    </xf>
    <xf numFmtId="166" fontId="8" fillId="9" borderId="0" xfId="4" applyNumberFormat="1" applyFont="1" applyFill="1" applyBorder="1" applyAlignment="1" applyProtection="1">
      <alignment horizontal="left" vertical="top" wrapText="1"/>
      <protection locked="0"/>
    </xf>
    <xf numFmtId="166" fontId="9" fillId="8" borderId="15" xfId="4" applyNumberFormat="1" applyFont="1" applyFill="1" applyBorder="1" applyAlignment="1" applyProtection="1">
      <alignment horizontal="left" vertical="top" wrapText="1"/>
      <protection locked="0"/>
    </xf>
    <xf numFmtId="166" fontId="8" fillId="8" borderId="14" xfId="4" applyNumberFormat="1" applyFont="1" applyFill="1" applyBorder="1" applyAlignment="1" applyProtection="1">
      <alignment horizontal="left" vertical="top" wrapText="1"/>
      <protection locked="0"/>
    </xf>
    <xf numFmtId="0" fontId="70" fillId="5" borderId="5" xfId="0" applyFont="1" applyFill="1" applyBorder="1" applyProtection="1"/>
    <xf numFmtId="0" fontId="70" fillId="5" borderId="6" xfId="0" applyFont="1" applyFill="1" applyBorder="1" applyProtection="1"/>
    <xf numFmtId="165" fontId="72" fillId="5" borderId="6" xfId="4" applyNumberFormat="1" applyFont="1" applyFill="1" applyBorder="1" applyProtection="1"/>
    <xf numFmtId="166" fontId="8" fillId="7" borderId="17" xfId="0" applyNumberFormat="1" applyFont="1" applyFill="1" applyBorder="1" applyAlignment="1" applyProtection="1">
      <alignment horizontal="center"/>
    </xf>
    <xf numFmtId="164" fontId="8" fillId="8" borderId="0" xfId="0" applyNumberFormat="1" applyFont="1" applyFill="1" applyBorder="1" applyAlignment="1" applyProtection="1">
      <alignment horizontal="left"/>
      <protection locked="0"/>
    </xf>
    <xf numFmtId="165" fontId="8" fillId="8" borderId="0" xfId="0" applyNumberFormat="1" applyFont="1" applyFill="1" applyBorder="1" applyAlignment="1" applyProtection="1">
      <alignment horizontal="left"/>
      <protection locked="0"/>
    </xf>
    <xf numFmtId="10" fontId="8" fillId="8" borderId="0" xfId="0" applyNumberFormat="1" applyFont="1" applyFill="1" applyBorder="1" applyAlignment="1" applyProtection="1">
      <alignment horizontal="right"/>
      <protection locked="0"/>
    </xf>
    <xf numFmtId="170" fontId="42" fillId="2" borderId="0" xfId="4" applyNumberFormat="1" applyFont="1" applyFill="1" applyBorder="1" applyAlignment="1" applyProtection="1">
      <alignment horizontal="left"/>
      <protection locked="0"/>
    </xf>
    <xf numFmtId="10" fontId="8" fillId="0" borderId="0" xfId="0" applyNumberFormat="1" applyFont="1" applyFill="1" applyBorder="1" applyAlignment="1" applyProtection="1">
      <alignment horizontal="right"/>
      <protection locked="0"/>
    </xf>
    <xf numFmtId="165" fontId="8" fillId="0" borderId="0" xfId="0" applyNumberFormat="1" applyFont="1" applyFill="1" applyBorder="1" applyAlignment="1" applyProtection="1">
      <alignment horizontal="left"/>
      <protection locked="0"/>
    </xf>
    <xf numFmtId="173" fontId="8" fillId="0" borderId="0" xfId="0" applyNumberFormat="1" applyFont="1" applyFill="1" applyBorder="1" applyAlignment="1" applyProtection="1">
      <alignment horizontal="left"/>
    </xf>
    <xf numFmtId="174" fontId="34" fillId="6" borderId="0" xfId="0" applyNumberFormat="1" applyFont="1" applyFill="1" applyBorder="1" applyAlignment="1" applyProtection="1">
      <alignment horizontal="left"/>
      <protection locked="0"/>
    </xf>
    <xf numFmtId="171" fontId="8" fillId="5" borderId="3" xfId="4" applyNumberFormat="1" applyFont="1" applyFill="1" applyBorder="1" applyAlignment="1" applyProtection="1">
      <alignment horizontal="center"/>
    </xf>
    <xf numFmtId="166" fontId="58" fillId="5" borderId="3" xfId="4" applyNumberFormat="1" applyFont="1" applyFill="1" applyBorder="1" applyProtection="1"/>
    <xf numFmtId="166" fontId="9" fillId="5" borderId="3" xfId="4" applyNumberFormat="1" applyFont="1" applyFill="1" applyBorder="1" applyAlignment="1" applyProtection="1">
      <alignment horizontal="left"/>
    </xf>
    <xf numFmtId="0" fontId="8" fillId="5" borderId="19" xfId="0" applyFont="1" applyFill="1" applyBorder="1" applyProtection="1"/>
    <xf numFmtId="0" fontId="8" fillId="5" borderId="20" xfId="0" applyFont="1" applyFill="1" applyBorder="1" applyAlignment="1" applyProtection="1">
      <alignment horizontal="left"/>
    </xf>
    <xf numFmtId="0" fontId="8" fillId="5" borderId="20" xfId="0" applyFont="1" applyFill="1" applyBorder="1" applyAlignment="1" applyProtection="1">
      <alignment horizontal="center"/>
    </xf>
    <xf numFmtId="173" fontId="8" fillId="5" borderId="20" xfId="0" applyNumberFormat="1" applyFont="1" applyFill="1" applyBorder="1" applyAlignment="1" applyProtection="1">
      <alignment horizontal="center"/>
    </xf>
    <xf numFmtId="0" fontId="8" fillId="5" borderId="20" xfId="0" applyNumberFormat="1" applyFont="1" applyFill="1" applyBorder="1" applyAlignment="1" applyProtection="1">
      <alignment horizontal="center"/>
    </xf>
    <xf numFmtId="171" fontId="8" fillId="5" borderId="20" xfId="0" applyNumberFormat="1" applyFont="1" applyFill="1" applyBorder="1" applyAlignment="1" applyProtection="1">
      <alignment horizontal="center"/>
    </xf>
    <xf numFmtId="166" fontId="61" fillId="5" borderId="20" xfId="0" applyNumberFormat="1" applyFont="1" applyFill="1" applyBorder="1" applyProtection="1"/>
    <xf numFmtId="166" fontId="9" fillId="5" borderId="20" xfId="0" applyNumberFormat="1" applyFont="1" applyFill="1" applyBorder="1" applyProtection="1"/>
    <xf numFmtId="0" fontId="8" fillId="5" borderId="21" xfId="0" applyNumberFormat="1" applyFont="1" applyFill="1" applyBorder="1" applyAlignment="1" applyProtection="1">
      <alignment horizontal="center"/>
    </xf>
    <xf numFmtId="0" fontId="8" fillId="5" borderId="0" xfId="0" applyFont="1" applyFill="1" applyBorder="1" applyAlignment="1" applyProtection="1">
      <alignment horizontal="left"/>
      <protection locked="0"/>
    </xf>
    <xf numFmtId="166" fontId="59" fillId="5" borderId="0" xfId="0" applyNumberFormat="1" applyFont="1" applyFill="1" applyBorder="1" applyProtection="1"/>
    <xf numFmtId="0" fontId="14" fillId="5" borderId="0" xfId="0" applyFont="1" applyFill="1" applyBorder="1" applyAlignment="1" applyProtection="1">
      <alignment horizontal="left"/>
    </xf>
    <xf numFmtId="0" fontId="14" fillId="5" borderId="0" xfId="0" applyFont="1" applyFill="1" applyBorder="1" applyAlignment="1" applyProtection="1">
      <alignment horizontal="center"/>
    </xf>
    <xf numFmtId="173" fontId="14" fillId="5" borderId="0" xfId="0" applyNumberFormat="1" applyFont="1" applyFill="1" applyBorder="1" applyAlignment="1" applyProtection="1">
      <alignment horizontal="center"/>
    </xf>
    <xf numFmtId="0" fontId="14" fillId="5" borderId="0" xfId="0" applyNumberFormat="1" applyFont="1" applyFill="1" applyBorder="1" applyAlignment="1" applyProtection="1">
      <alignment horizontal="center"/>
    </xf>
    <xf numFmtId="176" fontId="14" fillId="5" borderId="0" xfId="0" applyNumberFormat="1" applyFont="1" applyFill="1" applyBorder="1" applyAlignment="1" applyProtection="1">
      <alignment horizontal="center"/>
    </xf>
    <xf numFmtId="1" fontId="14" fillId="5" borderId="0" xfId="0" applyNumberFormat="1" applyFont="1" applyFill="1" applyBorder="1" applyAlignment="1" applyProtection="1">
      <alignment horizontal="center"/>
    </xf>
    <xf numFmtId="164" fontId="59" fillId="5" borderId="0" xfId="0" applyNumberFormat="1" applyFont="1" applyFill="1" applyBorder="1" applyAlignment="1" applyProtection="1">
      <alignment horizontal="right"/>
    </xf>
    <xf numFmtId="164" fontId="14" fillId="5" borderId="0" xfId="0" applyNumberFormat="1" applyFont="1" applyFill="1" applyBorder="1" applyAlignment="1" applyProtection="1">
      <alignment horizontal="right"/>
    </xf>
    <xf numFmtId="0" fontId="8" fillId="5" borderId="3" xfId="0" applyFont="1" applyFill="1" applyBorder="1" applyAlignment="1" applyProtection="1">
      <alignment horizontal="left"/>
      <protection locked="0"/>
    </xf>
    <xf numFmtId="166" fontId="59" fillId="5" borderId="3" xfId="0" applyNumberFormat="1" applyFont="1" applyFill="1" applyBorder="1" applyProtection="1"/>
    <xf numFmtId="171" fontId="79" fillId="5" borderId="0" xfId="0" applyNumberFormat="1" applyFont="1" applyFill="1" applyBorder="1" applyAlignment="1" applyProtection="1">
      <alignment horizontal="center"/>
    </xf>
    <xf numFmtId="0" fontId="8" fillId="5" borderId="10" xfId="0" applyFont="1" applyFill="1" applyBorder="1" applyProtection="1"/>
    <xf numFmtId="0" fontId="8" fillId="5" borderId="11" xfId="0" applyFont="1" applyFill="1" applyBorder="1" applyAlignment="1" applyProtection="1"/>
    <xf numFmtId="0" fontId="13" fillId="5" borderId="11" xfId="0" applyFont="1" applyFill="1" applyBorder="1" applyAlignment="1" applyProtection="1">
      <alignment horizontal="left"/>
    </xf>
    <xf numFmtId="0" fontId="8" fillId="5" borderId="11" xfId="0" applyFont="1" applyFill="1" applyBorder="1" applyAlignment="1" applyProtection="1">
      <alignment horizontal="center"/>
    </xf>
    <xf numFmtId="173" fontId="8" fillId="5" borderId="11" xfId="0" applyNumberFormat="1" applyFont="1" applyFill="1" applyBorder="1" applyAlignment="1" applyProtection="1">
      <alignment horizontal="center"/>
    </xf>
    <xf numFmtId="0" fontId="8" fillId="5" borderId="11" xfId="0" applyNumberFormat="1" applyFont="1" applyFill="1" applyBorder="1" applyAlignment="1" applyProtection="1">
      <alignment horizontal="center"/>
    </xf>
    <xf numFmtId="171" fontId="8" fillId="5" borderId="11" xfId="0" applyNumberFormat="1" applyFont="1" applyFill="1" applyBorder="1" applyAlignment="1" applyProtection="1">
      <alignment horizontal="center"/>
    </xf>
    <xf numFmtId="0" fontId="8" fillId="5" borderId="11" xfId="0" applyFont="1" applyFill="1" applyBorder="1" applyProtection="1"/>
    <xf numFmtId="0" fontId="79" fillId="5" borderId="11" xfId="0" applyNumberFormat="1" applyFont="1" applyFill="1" applyBorder="1" applyAlignment="1" applyProtection="1">
      <alignment horizontal="center"/>
    </xf>
    <xf numFmtId="166" fontId="9" fillId="5" borderId="11" xfId="0" applyNumberFormat="1" applyFont="1" applyFill="1" applyBorder="1" applyProtection="1"/>
    <xf numFmtId="0" fontId="8" fillId="5" borderId="12" xfId="0" applyFont="1" applyFill="1" applyBorder="1" applyProtection="1"/>
    <xf numFmtId="171" fontId="79" fillId="5" borderId="3" xfId="0" applyNumberFormat="1" applyFont="1" applyFill="1" applyBorder="1" applyAlignment="1" applyProtection="1">
      <alignment horizontal="center"/>
    </xf>
    <xf numFmtId="0" fontId="8" fillId="5" borderId="5" xfId="0" applyFont="1" applyFill="1" applyBorder="1" applyAlignment="1" applyProtection="1"/>
    <xf numFmtId="0" fontId="8" fillId="5" borderId="20" xfId="0" applyFont="1" applyFill="1" applyBorder="1" applyAlignment="1" applyProtection="1"/>
    <xf numFmtId="0" fontId="79" fillId="5" borderId="20" xfId="0" applyNumberFormat="1" applyFont="1" applyFill="1" applyBorder="1" applyAlignment="1" applyProtection="1">
      <alignment horizontal="center"/>
    </xf>
    <xf numFmtId="0" fontId="8" fillId="5" borderId="21" xfId="0" applyNumberFormat="1" applyFont="1" applyFill="1" applyBorder="1" applyProtection="1"/>
    <xf numFmtId="166" fontId="44" fillId="5" borderId="9" xfId="0" applyNumberFormat="1" applyFont="1" applyFill="1" applyBorder="1" applyAlignment="1" applyProtection="1">
      <alignment horizontal="center"/>
    </xf>
    <xf numFmtId="0" fontId="90" fillId="0" borderId="0" xfId="0" applyFont="1" applyAlignment="1" applyProtection="1">
      <alignment horizontal="left"/>
    </xf>
    <xf numFmtId="0" fontId="48"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1" fontId="9" fillId="0" borderId="0" xfId="0" applyNumberFormat="1" applyFont="1" applyFill="1" applyBorder="1" applyAlignment="1" applyProtection="1">
      <alignment horizontal="left" vertical="center"/>
    </xf>
    <xf numFmtId="49" fontId="8" fillId="0" borderId="0" xfId="0" applyNumberFormat="1" applyFont="1" applyFill="1" applyBorder="1" applyAlignment="1" applyProtection="1">
      <alignment horizontal="left" vertical="center"/>
    </xf>
    <xf numFmtId="3" fontId="8" fillId="0" borderId="0" xfId="0" applyNumberFormat="1" applyFont="1" applyFill="1" applyBorder="1" applyAlignment="1" applyProtection="1">
      <alignment horizontal="center"/>
    </xf>
    <xf numFmtId="0" fontId="8" fillId="0" borderId="0" xfId="0" applyFont="1" applyFill="1" applyAlignment="1" applyProtection="1">
      <alignment horizontal="left" vertical="center"/>
    </xf>
    <xf numFmtId="0" fontId="3" fillId="0" borderId="0" xfId="2" applyFill="1" applyAlignment="1" applyProtection="1"/>
    <xf numFmtId="164" fontId="8" fillId="5" borderId="14" xfId="0" applyNumberFormat="1" applyFont="1" applyFill="1" applyBorder="1" applyAlignment="1" applyProtection="1">
      <alignment horizontal="center"/>
    </xf>
    <xf numFmtId="0" fontId="93" fillId="0" borderId="0" xfId="0" applyFont="1" applyFill="1" applyAlignment="1" applyProtection="1">
      <alignment horizontal="left"/>
    </xf>
    <xf numFmtId="0" fontId="94" fillId="0" borderId="0" xfId="0" applyFont="1" applyFill="1" applyAlignment="1" applyProtection="1">
      <alignment horizontal="left" indent="1"/>
    </xf>
    <xf numFmtId="44" fontId="93" fillId="0" borderId="0" xfId="0" applyNumberFormat="1" applyFont="1" applyFill="1" applyAlignment="1" applyProtection="1">
      <alignment horizontal="left"/>
    </xf>
    <xf numFmtId="164" fontId="10" fillId="5" borderId="14" xfId="4" applyNumberFormat="1" applyFont="1" applyFill="1" applyBorder="1" applyAlignment="1" applyProtection="1">
      <alignment horizontal="left"/>
    </xf>
    <xf numFmtId="0" fontId="95" fillId="0" borderId="0" xfId="0" applyFont="1"/>
    <xf numFmtId="177" fontId="8" fillId="4" borderId="0" xfId="0" applyNumberFormat="1" applyFont="1" applyFill="1" applyBorder="1" applyAlignment="1" applyProtection="1">
      <alignment horizontal="left"/>
    </xf>
    <xf numFmtId="2" fontId="8" fillId="8" borderId="14" xfId="0" applyNumberFormat="1" applyFont="1" applyFill="1" applyBorder="1" applyAlignment="1" applyProtection="1">
      <alignment horizontal="center"/>
      <protection locked="0"/>
    </xf>
    <xf numFmtId="2" fontId="8" fillId="8" borderId="14" xfId="0" applyNumberFormat="1" applyFont="1" applyFill="1" applyBorder="1" applyAlignment="1" applyProtection="1">
      <alignment horizontal="center"/>
    </xf>
    <xf numFmtId="0" fontId="96" fillId="0" borderId="0" xfId="0" applyFont="1" applyFill="1" applyBorder="1" applyAlignment="1" applyProtection="1">
      <alignment horizontal="left"/>
    </xf>
    <xf numFmtId="0" fontId="34" fillId="0" borderId="0" xfId="0" applyFont="1" applyFill="1" applyBorder="1" applyAlignment="1" applyProtection="1">
      <alignment horizontal="left"/>
    </xf>
    <xf numFmtId="44" fontId="8" fillId="0" borderId="0" xfId="0" applyNumberFormat="1" applyFont="1" applyAlignment="1" applyProtection="1">
      <alignment horizontal="left"/>
    </xf>
    <xf numFmtId="0" fontId="9" fillId="0" borderId="0" xfId="0" applyFont="1" applyAlignment="1" applyProtection="1">
      <alignment horizontal="left"/>
    </xf>
    <xf numFmtId="0" fontId="97" fillId="5" borderId="0" xfId="0" applyFont="1" applyFill="1"/>
    <xf numFmtId="0" fontId="98" fillId="0" borderId="0" xfId="0" applyFont="1"/>
    <xf numFmtId="0" fontId="97" fillId="5" borderId="8" xfId="0" applyFont="1" applyFill="1" applyBorder="1"/>
    <xf numFmtId="0" fontId="101" fillId="5" borderId="8" xfId="0" applyFont="1" applyFill="1" applyBorder="1"/>
    <xf numFmtId="0" fontId="101" fillId="5" borderId="8" xfId="0" applyFont="1" applyFill="1" applyBorder="1" applyAlignment="1">
      <alignment horizontal="left" vertical="top"/>
    </xf>
    <xf numFmtId="0" fontId="101" fillId="5" borderId="0" xfId="0" applyFont="1" applyFill="1"/>
    <xf numFmtId="0" fontId="101" fillId="5" borderId="8" xfId="0" applyFont="1" applyFill="1" applyBorder="1" applyAlignment="1">
      <alignment horizontal="right"/>
    </xf>
    <xf numFmtId="49" fontId="102" fillId="0" borderId="0" xfId="0" applyNumberFormat="1" applyFont="1" applyAlignment="1">
      <alignment horizontal="right"/>
    </xf>
    <xf numFmtId="181" fontId="102" fillId="0" borderId="0" xfId="0" applyNumberFormat="1" applyFont="1" applyAlignment="1">
      <alignment horizontal="right"/>
    </xf>
    <xf numFmtId="182" fontId="102" fillId="0" borderId="0" xfId="0" applyNumberFormat="1" applyFont="1" applyAlignment="1">
      <alignment horizontal="right"/>
    </xf>
    <xf numFmtId="164" fontId="62" fillId="4" borderId="14" xfId="0" applyNumberFormat="1" applyFont="1" applyFill="1" applyBorder="1" applyAlignment="1" applyProtection="1"/>
    <xf numFmtId="164" fontId="62" fillId="6" borderId="14" xfId="0" applyNumberFormat="1" applyFont="1" applyFill="1" applyBorder="1" applyAlignment="1" applyProtection="1"/>
    <xf numFmtId="0" fontId="72" fillId="5" borderId="0" xfId="0" applyFont="1" applyFill="1" applyBorder="1" applyAlignment="1" applyProtection="1">
      <alignment horizontal="right"/>
    </xf>
    <xf numFmtId="169" fontId="8" fillId="6" borderId="14" xfId="0" applyNumberFormat="1" applyFont="1" applyFill="1" applyBorder="1" applyAlignment="1" applyProtection="1">
      <alignment horizontal="center"/>
    </xf>
    <xf numFmtId="1" fontId="93" fillId="4" borderId="14" xfId="0" applyNumberFormat="1" applyFont="1" applyFill="1" applyBorder="1" applyAlignment="1" applyProtection="1">
      <alignment horizontal="center"/>
    </xf>
    <xf numFmtId="0" fontId="3" fillId="4" borderId="14" xfId="2" applyFill="1" applyBorder="1" applyAlignment="1" applyProtection="1">
      <alignment horizontal="left"/>
    </xf>
    <xf numFmtId="0" fontId="8" fillId="4" borderId="14" xfId="0" quotePrefix="1" applyNumberFormat="1" applyFont="1" applyFill="1" applyBorder="1" applyAlignment="1" applyProtection="1">
      <alignment horizontal="center"/>
    </xf>
    <xf numFmtId="9" fontId="42" fillId="0" borderId="0" xfId="0" applyNumberFormat="1" applyFont="1" applyFill="1" applyBorder="1" applyAlignment="1" applyProtection="1">
      <alignment horizontal="left"/>
    </xf>
    <xf numFmtId="9" fontId="42" fillId="6" borderId="0" xfId="0" applyNumberFormat="1" applyFont="1" applyFill="1" applyAlignment="1" applyProtection="1">
      <alignment horizontal="right"/>
    </xf>
    <xf numFmtId="9" fontId="42" fillId="6" borderId="0" xfId="0" applyNumberFormat="1" applyFont="1" applyFill="1" applyBorder="1" applyAlignment="1" applyProtection="1">
      <alignment horizontal="right"/>
    </xf>
    <xf numFmtId="0" fontId="42" fillId="6" borderId="0" xfId="0" applyFont="1" applyFill="1" applyAlignment="1" applyProtection="1">
      <alignment horizontal="left"/>
    </xf>
    <xf numFmtId="0" fontId="56" fillId="6" borderId="0" xfId="0" applyFont="1" applyFill="1" applyAlignment="1" applyProtection="1">
      <alignment horizontal="left"/>
    </xf>
    <xf numFmtId="44" fontId="56" fillId="6" borderId="0" xfId="0" applyNumberFormat="1" applyFont="1" applyFill="1" applyAlignment="1" applyProtection="1">
      <alignment horizontal="left"/>
    </xf>
    <xf numFmtId="0" fontId="0" fillId="6" borderId="0" xfId="0" applyFill="1"/>
    <xf numFmtId="0" fontId="42" fillId="6" borderId="0" xfId="0" applyFont="1" applyFill="1" applyBorder="1" applyAlignment="1" applyProtection="1">
      <alignment horizontal="left"/>
    </xf>
    <xf numFmtId="183" fontId="42" fillId="6" borderId="0" xfId="0" applyNumberFormat="1" applyFont="1" applyFill="1" applyBorder="1" applyAlignment="1" applyProtection="1">
      <alignment horizontal="right"/>
    </xf>
    <xf numFmtId="9" fontId="62" fillId="4" borderId="14" xfId="0" applyNumberFormat="1" applyFont="1" applyFill="1" applyBorder="1" applyAlignment="1" applyProtection="1"/>
    <xf numFmtId="9" fontId="62" fillId="6" borderId="14" xfId="0" applyNumberFormat="1" applyFont="1" applyFill="1" applyBorder="1" applyAlignment="1" applyProtection="1"/>
    <xf numFmtId="42" fontId="8" fillId="6" borderId="14" xfId="0" applyNumberFormat="1" applyFont="1" applyFill="1" applyBorder="1" applyAlignment="1" applyProtection="1"/>
    <xf numFmtId="174" fontId="34" fillId="0" borderId="0" xfId="0" applyNumberFormat="1" applyFont="1" applyFill="1" applyBorder="1" applyAlignment="1" applyProtection="1">
      <alignment horizontal="left"/>
      <protection locked="0"/>
    </xf>
    <xf numFmtId="0" fontId="95" fillId="0" borderId="0" xfId="0" applyFont="1" applyAlignment="1">
      <alignment horizontal="right"/>
    </xf>
    <xf numFmtId="0" fontId="1" fillId="0" borderId="0" xfId="0" applyFont="1" applyAlignment="1">
      <alignment horizontal="center"/>
    </xf>
    <xf numFmtId="164" fontId="8" fillId="6" borderId="14" xfId="0" applyNumberFormat="1" applyFont="1" applyFill="1" applyBorder="1" applyAlignment="1" applyProtection="1">
      <alignment horizontal="center"/>
      <protection locked="0"/>
    </xf>
    <xf numFmtId="166" fontId="8" fillId="6" borderId="14" xfId="4" applyNumberFormat="1" applyFont="1" applyFill="1" applyBorder="1" applyAlignment="1" applyProtection="1">
      <alignment horizontal="left"/>
      <protection locked="0"/>
    </xf>
    <xf numFmtId="41" fontId="8" fillId="6" borderId="14" xfId="4" applyNumberFormat="1" applyFont="1" applyFill="1" applyBorder="1" applyAlignment="1" applyProtection="1">
      <alignment horizontal="left"/>
    </xf>
    <xf numFmtId="0" fontId="27" fillId="0" borderId="0" xfId="0" applyFont="1" applyFill="1"/>
    <xf numFmtId="0" fontId="17" fillId="0" borderId="0" xfId="0" applyFont="1" applyFill="1"/>
    <xf numFmtId="0" fontId="27" fillId="0" borderId="0" xfId="0" applyFont="1" applyFill="1" applyAlignment="1">
      <alignment horizontal="center"/>
    </xf>
    <xf numFmtId="180" fontId="103" fillId="0" borderId="0" xfId="0" applyNumberFormat="1" applyFont="1" applyFill="1"/>
    <xf numFmtId="0" fontId="16" fillId="0" borderId="0" xfId="0" applyFont="1" applyFill="1"/>
    <xf numFmtId="2" fontId="8" fillId="6" borderId="14" xfId="0" applyNumberFormat="1" applyFont="1" applyFill="1" applyBorder="1" applyAlignment="1" applyProtection="1">
      <alignment horizontal="center"/>
      <protection locked="0"/>
    </xf>
    <xf numFmtId="2" fontId="8" fillId="4" borderId="0" xfId="0" applyNumberFormat="1" applyFont="1" applyFill="1" applyBorder="1" applyProtection="1"/>
    <xf numFmtId="169" fontId="8" fillId="4" borderId="14" xfId="0" applyNumberFormat="1" applyFont="1" applyFill="1" applyBorder="1" applyAlignment="1" applyProtection="1">
      <alignment horizontal="center"/>
    </xf>
    <xf numFmtId="1" fontId="8" fillId="4" borderId="14" xfId="0" applyNumberFormat="1" applyFont="1" applyFill="1" applyBorder="1" applyAlignment="1" applyProtection="1">
      <alignment horizontal="center"/>
      <protection locked="0"/>
    </xf>
    <xf numFmtId="0" fontId="90" fillId="0" borderId="15" xfId="0" applyFont="1" applyFill="1" applyBorder="1" applyProtection="1">
      <protection locked="0"/>
    </xf>
    <xf numFmtId="9" fontId="8" fillId="4" borderId="14" xfId="3" applyFont="1" applyFill="1" applyBorder="1" applyAlignment="1" applyProtection="1">
      <alignment horizontal="center"/>
      <protection locked="0"/>
    </xf>
    <xf numFmtId="184" fontId="8" fillId="0" borderId="0" xfId="0" applyNumberFormat="1" applyFont="1" applyAlignment="1" applyProtection="1">
      <alignment horizontal="center"/>
    </xf>
    <xf numFmtId="0" fontId="13" fillId="0" borderId="0" xfId="0" applyFont="1" applyFill="1"/>
    <xf numFmtId="0" fontId="0" fillId="0" borderId="0" xfId="0" applyAlignment="1">
      <alignment horizontal="left"/>
    </xf>
    <xf numFmtId="0" fontId="8" fillId="0" borderId="0" xfId="0" applyFont="1" applyFill="1" applyBorder="1" applyAlignment="1" applyProtection="1">
      <alignment horizontal="center"/>
    </xf>
    <xf numFmtId="184" fontId="1" fillId="0" borderId="0" xfId="0" applyNumberFormat="1" applyFont="1" applyAlignment="1">
      <alignment horizontal="center"/>
    </xf>
    <xf numFmtId="165" fontId="42" fillId="6" borderId="0" xfId="4" applyFont="1" applyFill="1" applyBorder="1" applyAlignment="1" applyProtection="1">
      <alignment horizontal="left"/>
      <protection locked="0"/>
    </xf>
    <xf numFmtId="44" fontId="42" fillId="0" borderId="0" xfId="0" applyNumberFormat="1" applyFont="1" applyFill="1" applyAlignment="1" applyProtection="1">
      <alignment horizontal="left"/>
    </xf>
    <xf numFmtId="4" fontId="104" fillId="10" borderId="0" xfId="0" applyNumberFormat="1" applyFont="1" applyFill="1" applyBorder="1" applyProtection="1"/>
    <xf numFmtId="2" fontId="104" fillId="10" borderId="0" xfId="0" applyNumberFormat="1" applyFont="1" applyFill="1" applyBorder="1" applyProtection="1"/>
    <xf numFmtId="0" fontId="104" fillId="10" borderId="0" xfId="0" applyFont="1" applyFill="1" applyBorder="1" applyProtection="1"/>
    <xf numFmtId="0" fontId="72" fillId="5" borderId="0" xfId="0" applyFont="1" applyFill="1" applyBorder="1" applyAlignment="1" applyProtection="1">
      <alignment horizontal="right"/>
    </xf>
    <xf numFmtId="0" fontId="8" fillId="0" borderId="0" xfId="0" applyFont="1" applyAlignment="1" applyProtection="1">
      <alignment horizontal="center"/>
    </xf>
    <xf numFmtId="0" fontId="0" fillId="0" borderId="0" xfId="0" applyAlignment="1">
      <alignment horizontal="center"/>
    </xf>
    <xf numFmtId="172" fontId="43" fillId="2" borderId="0" xfId="0" applyNumberFormat="1" applyFont="1" applyFill="1" applyBorder="1" applyAlignment="1" applyProtection="1">
      <alignment horizontal="left"/>
      <protection locked="0"/>
    </xf>
    <xf numFmtId="0" fontId="0" fillId="0" borderId="0" xfId="0" applyAlignment="1">
      <alignment horizontal="left"/>
    </xf>
    <xf numFmtId="0" fontId="101" fillId="0" borderId="22" xfId="0" applyFont="1" applyBorder="1" applyAlignment="1">
      <alignment horizontal="left"/>
    </xf>
    <xf numFmtId="0" fontId="101" fillId="0" borderId="0" xfId="0" applyFont="1" applyAlignment="1">
      <alignment horizontal="left"/>
    </xf>
    <xf numFmtId="4" fontId="105" fillId="4" borderId="0" xfId="0" applyNumberFormat="1" applyFont="1" applyFill="1" applyBorder="1" applyProtection="1"/>
  </cellXfs>
  <cellStyles count="5">
    <cellStyle name="Euro" xfId="1"/>
    <cellStyle name="Hyperlink" xfId="2" builtinId="8"/>
    <cellStyle name="Procent" xfId="3" builtinId="5"/>
    <cellStyle name="Standaard" xfId="0" builtinId="0"/>
    <cellStyle name="Valuta" xfId="4" builtinId="4"/>
  </cellStyles>
  <dxfs count="0"/>
  <tableStyles count="0" defaultTableStyle="TableStyleMedium9"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Budget Personeel</a:t>
            </a:r>
          </a:p>
        </c:rich>
      </c:tx>
      <c:layout>
        <c:manualLayout>
          <c:xMode val="edge"/>
          <c:yMode val="edge"/>
          <c:x val="0.35836954929990539"/>
          <c:y val="3.5190615835777136E-2"/>
        </c:manualLayout>
      </c:layout>
      <c:overlay val="0"/>
      <c:spPr>
        <a:noFill/>
        <a:ln w="25400">
          <a:noFill/>
        </a:ln>
      </c:spPr>
    </c:title>
    <c:autoTitleDeleted val="0"/>
    <c:plotArea>
      <c:layout>
        <c:manualLayout>
          <c:layoutTarget val="inner"/>
          <c:xMode val="edge"/>
          <c:yMode val="edge"/>
          <c:x val="0.19527896995708155"/>
          <c:y val="0.25219941348973579"/>
          <c:w val="0.76824034334763969"/>
          <c:h val="0.4838709677419411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begr!$G$8:$K$8</c:f>
              <c:numCache>
                <c:formatCode>General</c:formatCode>
                <c:ptCount val="5"/>
                <c:pt idx="0">
                  <c:v>2020</c:v>
                </c:pt>
                <c:pt idx="1">
                  <c:v>2021</c:v>
                </c:pt>
                <c:pt idx="2">
                  <c:v>2022</c:v>
                </c:pt>
                <c:pt idx="3">
                  <c:v>2023</c:v>
                </c:pt>
                <c:pt idx="4">
                  <c:v>2024</c:v>
                </c:pt>
              </c:numCache>
            </c:numRef>
          </c:cat>
          <c:val>
            <c:numRef>
              <c:f>pers!$I$167:$M$167</c:f>
              <c:numCache>
                <c:formatCode>_-"€"\ * #,##0_-;_-"€"\ * #,##0\-;_-"€"\ * "-"_-;_-@_-</c:formatCode>
                <c:ptCount val="5"/>
                <c:pt idx="0">
                  <c:v>1945055.2864145837</c:v>
                </c:pt>
                <c:pt idx="1">
                  <c:v>1913937.9812395836</c:v>
                </c:pt>
                <c:pt idx="2">
                  <c:v>1889501.9300145837</c:v>
                </c:pt>
                <c:pt idx="3">
                  <c:v>1881139.3251333337</c:v>
                </c:pt>
                <c:pt idx="4">
                  <c:v>1895279.5451333337</c:v>
                </c:pt>
              </c:numCache>
            </c:numRef>
          </c:val>
          <c:extLst xmlns:c16r2="http://schemas.microsoft.com/office/drawing/2015/06/chart">
            <c:ext xmlns:c16="http://schemas.microsoft.com/office/drawing/2014/chart" uri="{C3380CC4-5D6E-409C-BE32-E72D297353CC}">
              <c16:uniqueId val="{00000000-1A79-44EC-9E87-78D5C5F15A6C}"/>
            </c:ext>
          </c:extLst>
        </c:ser>
        <c:ser>
          <c:idx val="1"/>
          <c:order val="1"/>
          <c:tx>
            <c:v>lasten</c:v>
          </c:tx>
          <c:spPr>
            <a:solidFill>
              <a:srgbClr val="FFCC99"/>
            </a:solidFill>
            <a:ln w="12700">
              <a:solidFill>
                <a:srgbClr val="000000"/>
              </a:solidFill>
              <a:prstDash val="solid"/>
            </a:ln>
          </c:spPr>
          <c:invertIfNegative val="0"/>
          <c:cat>
            <c:numRef>
              <c:f>begr!$G$8:$K$8</c:f>
              <c:numCache>
                <c:formatCode>General</c:formatCode>
                <c:ptCount val="5"/>
                <c:pt idx="0">
                  <c:v>2020</c:v>
                </c:pt>
                <c:pt idx="1">
                  <c:v>2021</c:v>
                </c:pt>
                <c:pt idx="2">
                  <c:v>2022</c:v>
                </c:pt>
                <c:pt idx="3">
                  <c:v>2023</c:v>
                </c:pt>
                <c:pt idx="4">
                  <c:v>2024</c:v>
                </c:pt>
              </c:numCache>
            </c:numRef>
          </c:cat>
          <c:val>
            <c:numRef>
              <c:f>pers!$I$168:$M$168</c:f>
              <c:numCache>
                <c:formatCode>_-"€"\ * #,##0_-;_-"€"\ * #,##0\-;_-"€"\ * "-"_-;_-@_-</c:formatCode>
                <c:ptCount val="5"/>
                <c:pt idx="0">
                  <c:v>7507.2</c:v>
                </c:pt>
                <c:pt idx="1">
                  <c:v>7507.2</c:v>
                </c:pt>
                <c:pt idx="2">
                  <c:v>7507.2</c:v>
                </c:pt>
                <c:pt idx="3">
                  <c:v>7507.2</c:v>
                </c:pt>
                <c:pt idx="4">
                  <c:v>7507.2</c:v>
                </c:pt>
              </c:numCache>
            </c:numRef>
          </c:val>
          <c:extLst xmlns:c16r2="http://schemas.microsoft.com/office/drawing/2015/06/chart">
            <c:ext xmlns:c16="http://schemas.microsoft.com/office/drawing/2014/chart" uri="{C3380CC4-5D6E-409C-BE32-E72D297353CC}">
              <c16:uniqueId val="{00000001-1A79-44EC-9E87-78D5C5F15A6C}"/>
            </c:ext>
          </c:extLst>
        </c:ser>
        <c:dLbls>
          <c:showLegendKey val="0"/>
          <c:showVal val="0"/>
          <c:showCatName val="0"/>
          <c:showSerName val="0"/>
          <c:showPercent val="0"/>
          <c:showBubbleSize val="0"/>
        </c:dLbls>
        <c:gapWidth val="150"/>
        <c:axId val="323857688"/>
        <c:axId val="323854944"/>
      </c:barChart>
      <c:catAx>
        <c:axId val="323857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323854944"/>
        <c:crosses val="autoZero"/>
        <c:auto val="1"/>
        <c:lblAlgn val="ctr"/>
        <c:lblOffset val="100"/>
        <c:tickLblSkip val="1"/>
        <c:tickMarkSkip val="1"/>
        <c:noMultiLvlLbl val="0"/>
      </c:catAx>
      <c:valAx>
        <c:axId val="32385494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32385768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424937762607999"/>
          <c:y val="0.89442815249266849"/>
          <c:w val="0.24678134117355499"/>
          <c:h val="7.3313782991202933E-2"/>
        </c:manualLayout>
      </c:layout>
      <c:overlay val="0"/>
      <c:spPr>
        <a:solidFill>
          <a:srgbClr val="FFFFFF"/>
        </a:solidFill>
        <a:ln w="3175">
          <a:solidFill>
            <a:srgbClr val="000000"/>
          </a:solidFill>
          <a:prstDash val="solid"/>
        </a:ln>
      </c:spPr>
      <c:txPr>
        <a:bodyPr/>
        <a:lstStyle/>
        <a:p>
          <a:pPr>
            <a:defRPr sz="88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Budget Materieel</a:t>
            </a:r>
          </a:p>
        </c:rich>
      </c:tx>
      <c:layout>
        <c:manualLayout>
          <c:xMode val="edge"/>
          <c:yMode val="edge"/>
          <c:x val="0.36842149468158586"/>
          <c:y val="3.5294117647058851E-2"/>
        </c:manualLayout>
      </c:layout>
      <c:overlay val="0"/>
      <c:spPr>
        <a:noFill/>
        <a:ln w="25400">
          <a:noFill/>
        </a:ln>
      </c:spPr>
    </c:title>
    <c:autoTitleDeleted val="0"/>
    <c:plotArea>
      <c:layout>
        <c:manualLayout>
          <c:layoutTarget val="inner"/>
          <c:xMode val="edge"/>
          <c:yMode val="edge"/>
          <c:x val="0.18881950588541699"/>
          <c:y val="0.25486398424483453"/>
          <c:w val="0.76367000158101861"/>
          <c:h val="0.47635292293379172"/>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begr!$G$8:$K$8</c:f>
              <c:numCache>
                <c:formatCode>General</c:formatCode>
                <c:ptCount val="5"/>
                <c:pt idx="0">
                  <c:v>2020</c:v>
                </c:pt>
                <c:pt idx="1">
                  <c:v>2021</c:v>
                </c:pt>
                <c:pt idx="2">
                  <c:v>2022</c:v>
                </c:pt>
                <c:pt idx="3">
                  <c:v>2023</c:v>
                </c:pt>
                <c:pt idx="4">
                  <c:v>2024</c:v>
                </c:pt>
              </c:numCache>
            </c:numRef>
          </c:cat>
          <c:val>
            <c:numRef>
              <c:f>mat!$I$81:$M$81</c:f>
              <c:numCache>
                <c:formatCode>_-"€"\ * #,##0_-;_-"€"\ * #,##0\-;_-"€"\ * "-"??_-;_-@_-</c:formatCode>
                <c:ptCount val="5"/>
                <c:pt idx="0">
                  <c:v>233318.15000000002</c:v>
                </c:pt>
                <c:pt idx="1">
                  <c:v>233318.15000000002</c:v>
                </c:pt>
                <c:pt idx="2">
                  <c:v>233318.15000000002</c:v>
                </c:pt>
                <c:pt idx="3">
                  <c:v>233318.15000000002</c:v>
                </c:pt>
                <c:pt idx="4">
                  <c:v>233318.15000000002</c:v>
                </c:pt>
              </c:numCache>
            </c:numRef>
          </c:val>
          <c:extLst xmlns:c16r2="http://schemas.microsoft.com/office/drawing/2015/06/chart">
            <c:ext xmlns:c16="http://schemas.microsoft.com/office/drawing/2014/chart" uri="{C3380CC4-5D6E-409C-BE32-E72D297353CC}">
              <c16:uniqueId val="{00000000-AC2D-4CA5-AC6A-EC1ED151057F}"/>
            </c:ext>
          </c:extLst>
        </c:ser>
        <c:ser>
          <c:idx val="1"/>
          <c:order val="1"/>
          <c:tx>
            <c:v>lasten</c:v>
          </c:tx>
          <c:spPr>
            <a:solidFill>
              <a:srgbClr val="FFCC99"/>
            </a:solidFill>
            <a:ln w="12700">
              <a:solidFill>
                <a:srgbClr val="000000"/>
              </a:solidFill>
              <a:prstDash val="solid"/>
            </a:ln>
          </c:spPr>
          <c:invertIfNegative val="0"/>
          <c:cat>
            <c:numRef>
              <c:f>begr!$G$8:$K$8</c:f>
              <c:numCache>
                <c:formatCode>General</c:formatCode>
                <c:ptCount val="5"/>
                <c:pt idx="0">
                  <c:v>2020</c:v>
                </c:pt>
                <c:pt idx="1">
                  <c:v>2021</c:v>
                </c:pt>
                <c:pt idx="2">
                  <c:v>2022</c:v>
                </c:pt>
                <c:pt idx="3">
                  <c:v>2023</c:v>
                </c:pt>
                <c:pt idx="4">
                  <c:v>2024</c:v>
                </c:pt>
              </c:numCache>
            </c:numRef>
          </c:cat>
          <c:val>
            <c:numRef>
              <c:f>mat!$I$162:$M$162</c:f>
              <c:numCache>
                <c:formatCode>_-"€"\ * #,##0_-;_-"€"\ * #,##0\-;_-"€"\ *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1-AC2D-4CA5-AC6A-EC1ED151057F}"/>
            </c:ext>
          </c:extLst>
        </c:ser>
        <c:dLbls>
          <c:showLegendKey val="0"/>
          <c:showVal val="0"/>
          <c:showCatName val="0"/>
          <c:showSerName val="0"/>
          <c:showPercent val="0"/>
          <c:showBubbleSize val="0"/>
        </c:dLbls>
        <c:gapWidth val="150"/>
        <c:axId val="323855728"/>
        <c:axId val="323854160"/>
      </c:barChart>
      <c:catAx>
        <c:axId val="323855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323854160"/>
        <c:crosses val="autoZero"/>
        <c:auto val="1"/>
        <c:lblAlgn val="ctr"/>
        <c:lblOffset val="100"/>
        <c:tickLblSkip val="1"/>
        <c:tickMarkSkip val="1"/>
        <c:noMultiLvlLbl val="0"/>
      </c:catAx>
      <c:valAx>
        <c:axId val="32385416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3238557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6736886310264786"/>
          <c:y val="0.8794129998456004"/>
          <c:w val="0.24210548418290123"/>
          <c:h val="7.3529411764706079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Totale baten/ lasten</a:t>
            </a:r>
          </a:p>
        </c:rich>
      </c:tx>
      <c:layout>
        <c:manualLayout>
          <c:xMode val="edge"/>
          <c:yMode val="edge"/>
          <c:x val="0.34745807197829548"/>
          <c:y val="3.5294117647058851E-2"/>
        </c:manualLayout>
      </c:layout>
      <c:overlay val="0"/>
      <c:spPr>
        <a:noFill/>
        <a:ln w="25400">
          <a:noFill/>
        </a:ln>
      </c:spPr>
    </c:title>
    <c:autoTitleDeleted val="0"/>
    <c:plotArea>
      <c:layout>
        <c:manualLayout>
          <c:layoutTarget val="inner"/>
          <c:xMode val="edge"/>
          <c:yMode val="edge"/>
          <c:x val="0.22559876543315788"/>
          <c:y val="0.25486398424483453"/>
          <c:w val="0.74426508596172658"/>
          <c:h val="0.494557493236992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begr!$G$8:$K$8</c:f>
              <c:numCache>
                <c:formatCode>General</c:formatCode>
                <c:ptCount val="5"/>
                <c:pt idx="0">
                  <c:v>2020</c:v>
                </c:pt>
                <c:pt idx="1">
                  <c:v>2021</c:v>
                </c:pt>
                <c:pt idx="2">
                  <c:v>2022</c:v>
                </c:pt>
                <c:pt idx="3">
                  <c:v>2023</c:v>
                </c:pt>
                <c:pt idx="4">
                  <c:v>2024</c:v>
                </c:pt>
              </c:numCache>
            </c:numRef>
          </c:cat>
          <c:val>
            <c:numRef>
              <c:f>begr!$G$19:$K$19</c:f>
              <c:numCache>
                <c:formatCode>_-"€"\ * #,##0_-;_-"€"\ * #,##0\-;_-"€"\ * "-"_-;_-@_-</c:formatCode>
                <c:ptCount val="5"/>
                <c:pt idx="0">
                  <c:v>2178373.4364145836</c:v>
                </c:pt>
                <c:pt idx="1">
                  <c:v>2147256.1312395837</c:v>
                </c:pt>
                <c:pt idx="2">
                  <c:v>2122820.0800145837</c:v>
                </c:pt>
                <c:pt idx="3">
                  <c:v>2114457.4751333338</c:v>
                </c:pt>
                <c:pt idx="4">
                  <c:v>2128597.6951333336</c:v>
                </c:pt>
              </c:numCache>
            </c:numRef>
          </c:val>
          <c:extLst xmlns:c16r2="http://schemas.microsoft.com/office/drawing/2015/06/chart">
            <c:ext xmlns:c16="http://schemas.microsoft.com/office/drawing/2014/chart" uri="{C3380CC4-5D6E-409C-BE32-E72D297353CC}">
              <c16:uniqueId val="{00000000-8FDF-4080-BA89-F0C68C918DD0}"/>
            </c:ext>
          </c:extLst>
        </c:ser>
        <c:ser>
          <c:idx val="1"/>
          <c:order val="1"/>
          <c:tx>
            <c:v>lasten</c:v>
          </c:tx>
          <c:spPr>
            <a:solidFill>
              <a:srgbClr val="FFCC99"/>
            </a:solidFill>
            <a:ln w="12700">
              <a:solidFill>
                <a:srgbClr val="000000"/>
              </a:solidFill>
              <a:prstDash val="solid"/>
            </a:ln>
          </c:spPr>
          <c:invertIfNegative val="0"/>
          <c:cat>
            <c:numRef>
              <c:f>begr!$G$8:$K$8</c:f>
              <c:numCache>
                <c:formatCode>General</c:formatCode>
                <c:ptCount val="5"/>
                <c:pt idx="0">
                  <c:v>2020</c:v>
                </c:pt>
                <c:pt idx="1">
                  <c:v>2021</c:v>
                </c:pt>
                <c:pt idx="2">
                  <c:v>2022</c:v>
                </c:pt>
                <c:pt idx="3">
                  <c:v>2023</c:v>
                </c:pt>
                <c:pt idx="4">
                  <c:v>2024</c:v>
                </c:pt>
              </c:numCache>
            </c:numRef>
          </c:cat>
          <c:val>
            <c:numRef>
              <c:f>begr!$G$27:$K$27</c:f>
              <c:numCache>
                <c:formatCode>_-"€"\ * #,##0_-;_-"€"\ * #,##0\-;_-"€"\ * "-"_-;_-@_-</c:formatCode>
                <c:ptCount val="5"/>
                <c:pt idx="0">
                  <c:v>7507.2</c:v>
                </c:pt>
                <c:pt idx="1">
                  <c:v>7507.2</c:v>
                </c:pt>
                <c:pt idx="2">
                  <c:v>7507.2</c:v>
                </c:pt>
                <c:pt idx="3">
                  <c:v>7507.2</c:v>
                </c:pt>
                <c:pt idx="4">
                  <c:v>7507.2</c:v>
                </c:pt>
              </c:numCache>
            </c:numRef>
          </c:val>
          <c:extLst xmlns:c16r2="http://schemas.microsoft.com/office/drawing/2015/06/chart">
            <c:ext xmlns:c16="http://schemas.microsoft.com/office/drawing/2014/chart" uri="{C3380CC4-5D6E-409C-BE32-E72D297353CC}">
              <c16:uniqueId val="{00000001-8FDF-4080-BA89-F0C68C918DD0}"/>
            </c:ext>
          </c:extLst>
        </c:ser>
        <c:dLbls>
          <c:showLegendKey val="0"/>
          <c:showVal val="0"/>
          <c:showCatName val="0"/>
          <c:showSerName val="0"/>
          <c:showPercent val="0"/>
          <c:showBubbleSize val="0"/>
        </c:dLbls>
        <c:gapWidth val="150"/>
        <c:axId val="323856120"/>
        <c:axId val="323857296"/>
      </c:barChart>
      <c:catAx>
        <c:axId val="323856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323857296"/>
        <c:crosses val="autoZero"/>
        <c:auto val="1"/>
        <c:lblAlgn val="ctr"/>
        <c:lblOffset val="100"/>
        <c:tickLblSkip val="1"/>
        <c:tickMarkSkip val="1"/>
        <c:noMultiLvlLbl val="0"/>
      </c:catAx>
      <c:valAx>
        <c:axId val="32385729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3238561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093264824948045"/>
          <c:y val="0.88529535278678395"/>
          <c:w val="0.24364429022643594"/>
          <c:h val="7.3529411764705954E-2"/>
        </c:manualLayout>
      </c:layout>
      <c:overlay val="0"/>
      <c:spPr>
        <a:solidFill>
          <a:srgbClr val="FFFFFF"/>
        </a:solidFill>
        <a:ln w="3175">
          <a:solidFill>
            <a:srgbClr val="000000"/>
          </a:solidFill>
          <a:prstDash val="solid"/>
        </a:ln>
      </c:spPr>
      <c:txPr>
        <a:bodyPr/>
        <a:lstStyle/>
        <a:p>
          <a:pPr>
            <a:defRPr sz="88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Opbouw totale loonkosten </a:t>
            </a:r>
          </a:p>
        </c:rich>
      </c:tx>
      <c:layout>
        <c:manualLayout>
          <c:xMode val="edge"/>
          <c:yMode val="edge"/>
          <c:x val="0.30042016806723187"/>
          <c:y val="3.5294117647058851E-2"/>
        </c:manualLayout>
      </c:layout>
      <c:overlay val="0"/>
      <c:spPr>
        <a:noFill/>
        <a:ln w="25400">
          <a:noFill/>
        </a:ln>
      </c:spPr>
    </c:title>
    <c:autoTitleDeleted val="0"/>
    <c:plotArea>
      <c:layout>
        <c:manualLayout>
          <c:layoutTarget val="inner"/>
          <c:xMode val="edge"/>
          <c:yMode val="edge"/>
          <c:x val="0.14859063811263049"/>
          <c:y val="0.25486398424483453"/>
          <c:w val="0.80364514134153764"/>
          <c:h val="0.47635292293379172"/>
        </c:manualLayout>
      </c:layout>
      <c:barChart>
        <c:barDir val="col"/>
        <c:grouping val="percentStacked"/>
        <c:varyColors val="0"/>
        <c:ser>
          <c:idx val="1"/>
          <c:order val="0"/>
          <c:tx>
            <c:v>OP</c:v>
          </c:tx>
          <c:spPr>
            <a:solidFill>
              <a:srgbClr val="FFCC99"/>
            </a:solidFill>
            <a:ln w="12700">
              <a:solidFill>
                <a:srgbClr val="000000"/>
              </a:solidFill>
              <a:prstDash val="solid"/>
            </a:ln>
          </c:spPr>
          <c:invertIfNegative val="0"/>
          <c:dLbls>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begr!$G$8:$K$8</c:f>
              <c:numCache>
                <c:formatCode>General</c:formatCode>
                <c:ptCount val="5"/>
                <c:pt idx="0">
                  <c:v>2020</c:v>
                </c:pt>
                <c:pt idx="1">
                  <c:v>2021</c:v>
                </c:pt>
                <c:pt idx="2">
                  <c:v>2022</c:v>
                </c:pt>
                <c:pt idx="3">
                  <c:v>2023</c:v>
                </c:pt>
                <c:pt idx="4">
                  <c:v>2024</c:v>
                </c:pt>
              </c:numCache>
            </c:numRef>
          </c:cat>
          <c:val>
            <c:numRef>
              <c:f>ken!$F$50:$J$50</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0-E44D-4C4B-B9C0-E29B31C89DB0}"/>
            </c:ext>
          </c:extLst>
        </c:ser>
        <c:ser>
          <c:idx val="2"/>
          <c:order val="1"/>
          <c:tx>
            <c:v>OBP</c:v>
          </c:tx>
          <c:spPr>
            <a:solidFill>
              <a:srgbClr val="CCFFCC"/>
            </a:solidFill>
            <a:ln w="12700">
              <a:solidFill>
                <a:srgbClr val="000000"/>
              </a:solidFill>
              <a:prstDash val="solid"/>
            </a:ln>
          </c:spPr>
          <c:invertIfNegative val="0"/>
          <c:dLbls>
            <c:dLbl>
              <c:idx val="0"/>
              <c:layout>
                <c:manualLayout>
                  <c:x val="-1.0818500628598001E-3"/>
                  <c:y val="-2.2353621407166092E-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44D-4C4B-B9C0-E29B31C89DB0}"/>
                </c:ext>
                <c:ext xmlns:c15="http://schemas.microsoft.com/office/drawing/2012/chart" uri="{CE6537A1-D6FC-4f65-9D91-7224C49458BB}"/>
              </c:extLst>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begr!$G$8:$K$8</c:f>
              <c:numCache>
                <c:formatCode>General</c:formatCode>
                <c:ptCount val="5"/>
                <c:pt idx="0">
                  <c:v>2020</c:v>
                </c:pt>
                <c:pt idx="1">
                  <c:v>2021</c:v>
                </c:pt>
                <c:pt idx="2">
                  <c:v>2022</c:v>
                </c:pt>
                <c:pt idx="3">
                  <c:v>2023</c:v>
                </c:pt>
                <c:pt idx="4">
                  <c:v>2024</c:v>
                </c:pt>
              </c:numCache>
            </c:numRef>
          </c:cat>
          <c:val>
            <c:numRef>
              <c:f>ken!$F$51:$J$51</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E44D-4C4B-B9C0-E29B31C89DB0}"/>
            </c:ext>
          </c:extLst>
        </c:ser>
        <c:ser>
          <c:idx val="0"/>
          <c:order val="2"/>
          <c:tx>
            <c:v>DIR</c:v>
          </c:tx>
          <c:spPr>
            <a:solidFill>
              <a:srgbClr val="FFFFCC"/>
            </a:solidFill>
            <a:ln w="12700">
              <a:solidFill>
                <a:srgbClr val="000000"/>
              </a:solidFill>
              <a:prstDash val="solid"/>
            </a:ln>
          </c:spPr>
          <c:invertIfNegative val="0"/>
          <c:dLbls>
            <c:dLbl>
              <c:idx val="0"/>
              <c:layout>
                <c:manualLayout>
                  <c:x val="-1.0818500628598001E-3"/>
                  <c:y val="-2.2353621407166092E-3"/>
                </c:manualLayout>
              </c:layout>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44D-4C4B-B9C0-E29B31C89DB0}"/>
                </c:ext>
                <c:ext xmlns:c15="http://schemas.microsoft.com/office/drawing/2012/chart" uri="{CE6537A1-D6FC-4f65-9D91-7224C49458BB}"/>
              </c:extLst>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begr!$G$8:$K$8</c:f>
              <c:numCache>
                <c:formatCode>General</c:formatCode>
                <c:ptCount val="5"/>
                <c:pt idx="0">
                  <c:v>2020</c:v>
                </c:pt>
                <c:pt idx="1">
                  <c:v>2021</c:v>
                </c:pt>
                <c:pt idx="2">
                  <c:v>2022</c:v>
                </c:pt>
                <c:pt idx="3">
                  <c:v>2023</c:v>
                </c:pt>
                <c:pt idx="4">
                  <c:v>2024</c:v>
                </c:pt>
              </c:numCache>
            </c:numRef>
          </c:cat>
          <c:val>
            <c:numRef>
              <c:f>ken!$F$49:$J$49</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4-E44D-4C4B-B9C0-E29B31C89DB0}"/>
            </c:ext>
          </c:extLst>
        </c:ser>
        <c:dLbls>
          <c:showLegendKey val="0"/>
          <c:showVal val="1"/>
          <c:showCatName val="0"/>
          <c:showSerName val="0"/>
          <c:showPercent val="0"/>
          <c:showBubbleSize val="0"/>
        </c:dLbls>
        <c:gapWidth val="150"/>
        <c:overlap val="100"/>
        <c:axId val="355380744"/>
        <c:axId val="355378000"/>
      </c:barChart>
      <c:catAx>
        <c:axId val="355380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355378000"/>
        <c:crosses val="autoZero"/>
        <c:auto val="1"/>
        <c:lblAlgn val="ctr"/>
        <c:lblOffset val="100"/>
        <c:tickLblSkip val="1"/>
        <c:tickMarkSkip val="1"/>
        <c:noMultiLvlLbl val="0"/>
      </c:catAx>
      <c:valAx>
        <c:axId val="35537800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355380744"/>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8794129998456004"/>
          <c:w val="0.28361344537815136"/>
          <c:h val="7.3529411764706079E-2"/>
        </c:manualLayout>
      </c:layout>
      <c:overlay val="0"/>
      <c:spPr>
        <a:solidFill>
          <a:srgbClr val="FFFFFF"/>
        </a:solidFill>
        <a:ln w="3175">
          <a:solidFill>
            <a:srgbClr val="000000"/>
          </a:solidFill>
          <a:prstDash val="solid"/>
        </a:ln>
      </c:spPr>
      <c:txPr>
        <a:bodyPr/>
        <a:lstStyle/>
        <a:p>
          <a:pPr>
            <a:defRPr sz="905"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647058823529904"/>
          <c:y val="3.5502958579881658E-2"/>
        </c:manualLayout>
      </c:layout>
      <c:overlay val="0"/>
      <c:spPr>
        <a:noFill/>
        <a:ln w="25400">
          <a:noFill/>
        </a:ln>
      </c:spPr>
    </c:title>
    <c:autoTitleDeleted val="0"/>
    <c:plotArea>
      <c:layout>
        <c:manualLayout>
          <c:layoutTarget val="inner"/>
          <c:xMode val="edge"/>
          <c:yMode val="edge"/>
          <c:x val="0.15546218487395219"/>
          <c:y val="0.24852071005917159"/>
          <c:w val="0.81512605042016861"/>
          <c:h val="0.48816568047337278"/>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begr!$G$8:$K$8</c:f>
              <c:numCache>
                <c:formatCode>General</c:formatCode>
                <c:ptCount val="5"/>
                <c:pt idx="0">
                  <c:v>2020</c:v>
                </c:pt>
                <c:pt idx="1">
                  <c:v>2021</c:v>
                </c:pt>
                <c:pt idx="2">
                  <c:v>2022</c:v>
                </c:pt>
                <c:pt idx="3">
                  <c:v>2023</c:v>
                </c:pt>
                <c:pt idx="4">
                  <c:v>2024</c:v>
                </c:pt>
              </c:numCache>
            </c:numRef>
          </c:cat>
          <c:val>
            <c:numRef>
              <c:f>begr!$G$42:$K$42</c:f>
              <c:numCache>
                <c:formatCode>_-"€"\ * #,##0_-;_-"€"\ * #,##0\-;_-"€"\ * "-"_-;_-@_-</c:formatCode>
                <c:ptCount val="5"/>
                <c:pt idx="0">
                  <c:v>2170866.2364145834</c:v>
                </c:pt>
                <c:pt idx="1">
                  <c:v>2139748.9312395835</c:v>
                </c:pt>
                <c:pt idx="2">
                  <c:v>2115312.8800145835</c:v>
                </c:pt>
                <c:pt idx="3">
                  <c:v>2106950.2751333336</c:v>
                </c:pt>
                <c:pt idx="4">
                  <c:v>2121090.4951333334</c:v>
                </c:pt>
              </c:numCache>
            </c:numRef>
          </c:val>
          <c:extLst xmlns:c16r2="http://schemas.microsoft.com/office/drawing/2015/06/chart">
            <c:ext xmlns:c16="http://schemas.microsoft.com/office/drawing/2014/chart" uri="{C3380CC4-5D6E-409C-BE32-E72D297353CC}">
              <c16:uniqueId val="{00000000-C0B4-41AE-A863-516925A2C74B}"/>
            </c:ext>
          </c:extLst>
        </c:ser>
        <c:dLbls>
          <c:showLegendKey val="0"/>
          <c:showVal val="1"/>
          <c:showCatName val="0"/>
          <c:showSerName val="0"/>
          <c:showPercent val="0"/>
          <c:showBubbleSize val="0"/>
        </c:dLbls>
        <c:gapWidth val="150"/>
        <c:axId val="355381528"/>
        <c:axId val="355383488"/>
      </c:barChart>
      <c:catAx>
        <c:axId val="3553815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355383488"/>
        <c:crosses val="autoZero"/>
        <c:auto val="1"/>
        <c:lblAlgn val="ctr"/>
        <c:lblOffset val="100"/>
        <c:tickLblSkip val="1"/>
        <c:tickMarkSkip val="1"/>
        <c:noMultiLvlLbl val="0"/>
      </c:catAx>
      <c:valAx>
        <c:axId val="35538348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3553815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nl-NL"/>
              <a:t>Leerlingenverloop</a:t>
            </a:r>
          </a:p>
        </c:rich>
      </c:tx>
      <c:layout>
        <c:manualLayout>
          <c:xMode val="edge"/>
          <c:yMode val="edge"/>
          <c:x val="0.35714285714286204"/>
          <c:y val="3.5294117647058851E-2"/>
        </c:manualLayout>
      </c:layout>
      <c:overlay val="0"/>
      <c:spPr>
        <a:noFill/>
        <a:ln w="25400">
          <a:noFill/>
        </a:ln>
      </c:spPr>
    </c:title>
    <c:autoTitleDeleted val="0"/>
    <c:plotArea>
      <c:layout>
        <c:manualLayout>
          <c:layoutTarget val="inner"/>
          <c:xMode val="edge"/>
          <c:yMode val="edge"/>
          <c:x val="8.789868733423066E-2"/>
          <c:y val="0.25486398424483453"/>
          <c:w val="0.86015144034212065"/>
          <c:h val="0.56130758434873129"/>
        </c:manualLayout>
      </c:layout>
      <c:barChart>
        <c:barDir val="col"/>
        <c:grouping val="clustered"/>
        <c:varyColors val="0"/>
        <c:ser>
          <c:idx val="0"/>
          <c:order val="0"/>
          <c:spPr>
            <a:solidFill>
              <a:srgbClr val="99CC00"/>
            </a:solidFill>
            <a:ln w="12700">
              <a:solidFill>
                <a:srgbClr val="000000"/>
              </a:solidFill>
              <a:prstDash val="solid"/>
            </a:ln>
          </c:spPr>
          <c:invertIfNegative val="0"/>
          <c:dLbls>
            <c:spPr>
              <a:noFill/>
              <a:ln w="25400">
                <a:noFill/>
              </a:ln>
            </c:spPr>
            <c:txPr>
              <a:bodyPr/>
              <a:lstStyle/>
              <a:p>
                <a:pPr>
                  <a:defRPr sz="10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geg!$H$19:$L$19</c:f>
              <c:strCache>
                <c:ptCount val="5"/>
                <c:pt idx="0">
                  <c:v>2020/21</c:v>
                </c:pt>
                <c:pt idx="1">
                  <c:v>2021/22</c:v>
                </c:pt>
                <c:pt idx="2">
                  <c:v>2022/23</c:v>
                </c:pt>
                <c:pt idx="3">
                  <c:v>2023/24</c:v>
                </c:pt>
                <c:pt idx="4">
                  <c:v>2024/25</c:v>
                </c:pt>
              </c:strCache>
            </c:strRef>
          </c:cat>
          <c:val>
            <c:numRef>
              <c:f>geg!$H$27:$L$27</c:f>
              <c:numCache>
                <c:formatCode>General</c:formatCode>
                <c:ptCount val="5"/>
                <c:pt idx="0">
                  <c:v>322</c:v>
                </c:pt>
                <c:pt idx="1">
                  <c:v>322</c:v>
                </c:pt>
                <c:pt idx="2">
                  <c:v>322</c:v>
                </c:pt>
                <c:pt idx="3">
                  <c:v>322</c:v>
                </c:pt>
                <c:pt idx="4">
                  <c:v>322</c:v>
                </c:pt>
              </c:numCache>
            </c:numRef>
          </c:val>
          <c:extLst xmlns:c16r2="http://schemas.microsoft.com/office/drawing/2015/06/chart">
            <c:ext xmlns:c16="http://schemas.microsoft.com/office/drawing/2014/chart" uri="{C3380CC4-5D6E-409C-BE32-E72D297353CC}">
              <c16:uniqueId val="{00000000-A4EB-44B1-A938-7389C99B3767}"/>
            </c:ext>
          </c:extLst>
        </c:ser>
        <c:dLbls>
          <c:showLegendKey val="0"/>
          <c:showVal val="1"/>
          <c:showCatName val="0"/>
          <c:showSerName val="0"/>
          <c:showPercent val="0"/>
          <c:showBubbleSize val="0"/>
        </c:dLbls>
        <c:gapWidth val="150"/>
        <c:axId val="355376824"/>
        <c:axId val="355382312"/>
      </c:barChart>
      <c:catAx>
        <c:axId val="355376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355382312"/>
        <c:crosses val="autoZero"/>
        <c:auto val="1"/>
        <c:lblAlgn val="ctr"/>
        <c:lblOffset val="100"/>
        <c:tickLblSkip val="1"/>
        <c:tickMarkSkip val="1"/>
        <c:noMultiLvlLbl val="0"/>
      </c:catAx>
      <c:valAx>
        <c:axId val="35538231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35537682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Verloop Gewogen Gemiddelde Leeftijd</a:t>
            </a:r>
          </a:p>
        </c:rich>
      </c:tx>
      <c:layout>
        <c:manualLayout>
          <c:xMode val="edge"/>
          <c:yMode val="edge"/>
          <c:x val="0.20550869700609603"/>
          <c:y val="3.5190615835777136E-2"/>
        </c:manualLayout>
      </c:layout>
      <c:overlay val="0"/>
      <c:spPr>
        <a:noFill/>
        <a:ln w="25400">
          <a:noFill/>
        </a:ln>
      </c:spPr>
    </c:title>
    <c:autoTitleDeleted val="0"/>
    <c:plotArea>
      <c:layout>
        <c:manualLayout>
          <c:layoutTarget val="inner"/>
          <c:xMode val="edge"/>
          <c:yMode val="edge"/>
          <c:x val="0.11596198223199709"/>
          <c:y val="0.25395725651209911"/>
          <c:w val="0.85390186916289534"/>
          <c:h val="0.55931062446117963"/>
        </c:manualLayout>
      </c:layout>
      <c:barChart>
        <c:barDir val="col"/>
        <c:grouping val="clustered"/>
        <c:varyColors val="0"/>
        <c:ser>
          <c:idx val="0"/>
          <c:order val="0"/>
          <c:spPr>
            <a:solidFill>
              <a:srgbClr val="99CC00"/>
            </a:solidFill>
            <a:ln w="12700">
              <a:solidFill>
                <a:srgbClr val="000000"/>
              </a:solidFill>
              <a:prstDash val="solid"/>
            </a:ln>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pers!$I$8:$M$8</c:f>
              <c:strCache>
                <c:ptCount val="5"/>
                <c:pt idx="0">
                  <c:v>2020/21</c:v>
                </c:pt>
                <c:pt idx="1">
                  <c:v>2021/22</c:v>
                </c:pt>
                <c:pt idx="2">
                  <c:v>2022/23</c:v>
                </c:pt>
                <c:pt idx="3">
                  <c:v>2023/24</c:v>
                </c:pt>
                <c:pt idx="4">
                  <c:v>2024/25</c:v>
                </c:pt>
              </c:strCache>
            </c:strRef>
          </c:cat>
          <c:val>
            <c:numRef>
              <c:f>pers!$I$14:$M$14</c:f>
              <c:numCache>
                <c:formatCode>0.00</c:formatCode>
                <c:ptCount val="5"/>
                <c:pt idx="0">
                  <c:v>44</c:v>
                </c:pt>
                <c:pt idx="1">
                  <c:v>45</c:v>
                </c:pt>
                <c:pt idx="2">
                  <c:v>46</c:v>
                </c:pt>
                <c:pt idx="3">
                  <c:v>47</c:v>
                </c:pt>
                <c:pt idx="4">
                  <c:v>48</c:v>
                </c:pt>
              </c:numCache>
            </c:numRef>
          </c:val>
          <c:extLst xmlns:c16r2="http://schemas.microsoft.com/office/drawing/2015/06/chart">
            <c:ext xmlns:c16="http://schemas.microsoft.com/office/drawing/2014/chart" uri="{C3380CC4-5D6E-409C-BE32-E72D297353CC}">
              <c16:uniqueId val="{00000000-B1EE-43FA-A74D-B799AF13D668}"/>
            </c:ext>
          </c:extLst>
        </c:ser>
        <c:dLbls>
          <c:showLegendKey val="0"/>
          <c:showVal val="1"/>
          <c:showCatName val="0"/>
          <c:showSerName val="0"/>
          <c:showPercent val="0"/>
          <c:showBubbleSize val="0"/>
        </c:dLbls>
        <c:gapWidth val="150"/>
        <c:axId val="355378392"/>
        <c:axId val="355379568"/>
      </c:barChart>
      <c:catAx>
        <c:axId val="355378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355379568"/>
        <c:crosses val="autoZero"/>
        <c:auto val="1"/>
        <c:lblAlgn val="ctr"/>
        <c:lblOffset val="100"/>
        <c:tickLblSkip val="1"/>
        <c:tickMarkSkip val="1"/>
        <c:noMultiLvlLbl val="0"/>
      </c:catAx>
      <c:valAx>
        <c:axId val="355379568"/>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nl-NL"/>
          </a:p>
        </c:txPr>
        <c:crossAx val="3553783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Investeringen </a:t>
            </a:r>
          </a:p>
        </c:rich>
      </c:tx>
      <c:layout>
        <c:manualLayout>
          <c:xMode val="edge"/>
          <c:yMode val="edge"/>
          <c:x val="0.39285714285714624"/>
          <c:y val="3.5608308605341282E-2"/>
        </c:manualLayout>
      </c:layout>
      <c:overlay val="0"/>
      <c:spPr>
        <a:noFill/>
        <a:ln w="25400">
          <a:noFill/>
        </a:ln>
      </c:spPr>
    </c:title>
    <c:autoTitleDeleted val="0"/>
    <c:plotArea>
      <c:layout>
        <c:manualLayout>
          <c:layoutTarget val="inner"/>
          <c:xMode val="edge"/>
          <c:yMode val="edge"/>
          <c:x val="0.16951889700173267"/>
          <c:y val="0.25364014078849867"/>
          <c:w val="0.78271688245243498"/>
          <c:h val="0.54700705061616761"/>
        </c:manualLayout>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2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Ref>
              <c:f>act!$G$8:$K$8</c:f>
              <c:numCache>
                <c:formatCode>General</c:formatCode>
                <c:ptCount val="5"/>
                <c:pt idx="0">
                  <c:v>2020</c:v>
                </c:pt>
                <c:pt idx="1">
                  <c:v>2021</c:v>
                </c:pt>
                <c:pt idx="2">
                  <c:v>2022</c:v>
                </c:pt>
                <c:pt idx="3">
                  <c:v>2023</c:v>
                </c:pt>
                <c:pt idx="4">
                  <c:v>2024</c:v>
                </c:pt>
              </c:numCache>
            </c:numRef>
          </c:cat>
          <c:val>
            <c:numRef>
              <c:f>act!$G$29:$K$29</c:f>
              <c:numCache>
                <c:formatCode>_-"€"\ * #,##0_-;_-"€"\ * #,##0\-;_-"€"\ * "-"_-;_-@_-</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D7-4DDE-85A1-2C8E314E4C29}"/>
            </c:ext>
          </c:extLst>
        </c:ser>
        <c:dLbls>
          <c:showLegendKey val="0"/>
          <c:showVal val="1"/>
          <c:showCatName val="0"/>
          <c:showSerName val="0"/>
          <c:showPercent val="0"/>
          <c:showBubbleSize val="0"/>
        </c:dLbls>
        <c:gapWidth val="150"/>
        <c:axId val="355378784"/>
        <c:axId val="355383880"/>
      </c:barChart>
      <c:catAx>
        <c:axId val="355378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nl-NL"/>
          </a:p>
        </c:txPr>
        <c:crossAx val="355383880"/>
        <c:crosses val="autoZero"/>
        <c:auto val="1"/>
        <c:lblAlgn val="ctr"/>
        <c:lblOffset val="100"/>
        <c:tickLblSkip val="1"/>
        <c:tickMarkSkip val="2"/>
        <c:noMultiLvlLbl val="0"/>
      </c:catAx>
      <c:valAx>
        <c:axId val="35538388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nl-NL"/>
          </a:p>
        </c:txPr>
        <c:crossAx val="3553787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921" r="0.7500000000000092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296333</xdr:colOff>
      <xdr:row>1</xdr:row>
      <xdr:rowOff>127001</xdr:rowOff>
    </xdr:from>
    <xdr:to>
      <xdr:col>15</xdr:col>
      <xdr:colOff>42333</xdr:colOff>
      <xdr:row>6</xdr:row>
      <xdr:rowOff>52917</xdr:rowOff>
    </xdr:to>
    <xdr:pic>
      <xdr:nvPicPr>
        <xdr:cNvPr id="91174" name="Picture 9"/>
        <xdr:cNvPicPr>
          <a:picLocks noChangeAspect="1" noChangeArrowheads="1"/>
        </xdr:cNvPicPr>
      </xdr:nvPicPr>
      <xdr:blipFill>
        <a:blip xmlns:r="http://schemas.openxmlformats.org/officeDocument/2006/relationships" r:embed="rId1"/>
        <a:srcRect/>
        <a:stretch>
          <a:fillRect/>
        </a:stretch>
      </xdr:blipFill>
      <xdr:spPr bwMode="auto">
        <a:xfrm>
          <a:off x="7059083" y="285751"/>
          <a:ext cx="2391833" cy="76199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17</xdr:col>
      <xdr:colOff>360271</xdr:colOff>
      <xdr:row>3</xdr:row>
      <xdr:rowOff>33056</xdr:rowOff>
    </xdr:from>
    <xdr:to>
      <xdr:col>20</xdr:col>
      <xdr:colOff>137835</xdr:colOff>
      <xdr:row>4</xdr:row>
      <xdr:rowOff>218513</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15107212" y="503703"/>
          <a:ext cx="1391211" cy="4207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9525</xdr:colOff>
      <xdr:row>29</xdr:row>
      <xdr:rowOff>47625</xdr:rowOff>
    </xdr:from>
    <xdr:to>
      <xdr:col>16</xdr:col>
      <xdr:colOff>561975</xdr:colOff>
      <xdr:row>49</xdr:row>
      <xdr:rowOff>57150</xdr:rowOff>
    </xdr:to>
    <xdr:graphicFrame macro="">
      <xdr:nvGraphicFramePr>
        <xdr:cNvPr id="9593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95938"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171450</xdr:colOff>
      <xdr:row>7</xdr:row>
      <xdr:rowOff>0</xdr:rowOff>
    </xdr:from>
    <xdr:to>
      <xdr:col>8</xdr:col>
      <xdr:colOff>600075</xdr:colOff>
      <xdr:row>27</xdr:row>
      <xdr:rowOff>0</xdr:rowOff>
    </xdr:to>
    <xdr:graphicFrame macro="">
      <xdr:nvGraphicFramePr>
        <xdr:cNvPr id="9593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95941"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8965</xdr:colOff>
      <xdr:row>72</xdr:row>
      <xdr:rowOff>177052</xdr:rowOff>
    </xdr:from>
    <xdr:to>
      <xdr:col>17</xdr:col>
      <xdr:colOff>8965</xdr:colOff>
      <xdr:row>92</xdr:row>
      <xdr:rowOff>158003</xdr:rowOff>
    </xdr:to>
    <xdr:graphicFrame macro="">
      <xdr:nvGraphicFramePr>
        <xdr:cNvPr id="95946" name="Chart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8964</xdr:colOff>
      <xdr:row>51</xdr:row>
      <xdr:rowOff>9525</xdr:rowOff>
    </xdr:from>
    <xdr:to>
      <xdr:col>17</xdr:col>
      <xdr:colOff>0</xdr:colOff>
      <xdr:row>71</xdr:row>
      <xdr:rowOff>9525</xdr:rowOff>
    </xdr:to>
    <xdr:graphicFrame macro="">
      <xdr:nvGraphicFramePr>
        <xdr:cNvPr id="95947"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171449</xdr:colOff>
      <xdr:row>51</xdr:row>
      <xdr:rowOff>0</xdr:rowOff>
    </xdr:from>
    <xdr:to>
      <xdr:col>9</xdr:col>
      <xdr:colOff>8964</xdr:colOff>
      <xdr:row>71</xdr:row>
      <xdr:rowOff>9525</xdr:rowOff>
    </xdr:to>
    <xdr:graphicFrame macro="">
      <xdr:nvGraphicFramePr>
        <xdr:cNvPr id="95948" name="Chart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179292</xdr:colOff>
      <xdr:row>72</xdr:row>
      <xdr:rowOff>167527</xdr:rowOff>
    </xdr:from>
    <xdr:to>
      <xdr:col>9</xdr:col>
      <xdr:colOff>8963</xdr:colOff>
      <xdr:row>92</xdr:row>
      <xdr:rowOff>138953</xdr:rowOff>
    </xdr:to>
    <xdr:graphicFrame macro="">
      <xdr:nvGraphicFramePr>
        <xdr:cNvPr id="95951"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08000" tIns="118800" rIns="126000" bIns="11880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keizer@poraad.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hyperlink" Target="https://www.poraad.nl/ledenondersteuning/toolboxen/financien/werkgeverslasten-po" TargetMode="External"/><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C4:M197"/>
  <sheetViews>
    <sheetView showGridLines="0" zoomScale="90" zoomScaleNormal="90" zoomScaleSheetLayoutView="75" workbookViewId="0">
      <selection activeCell="K4" sqref="K4"/>
    </sheetView>
  </sheetViews>
  <sheetFormatPr defaultColWidth="9.140625" defaultRowHeight="12.75" x14ac:dyDescent="0.2"/>
  <cols>
    <col min="1" max="1" width="3.7109375" style="641" customWidth="1"/>
    <col min="2" max="2" width="2.7109375" style="641" customWidth="1"/>
    <col min="3" max="5" width="9.140625" style="641"/>
    <col min="6" max="6" width="11" style="641" customWidth="1"/>
    <col min="7" max="7" width="10.28515625" style="641" customWidth="1"/>
    <col min="8" max="10" width="9.140625" style="641"/>
    <col min="11" max="11" width="18.5703125" style="641" bestFit="1" customWidth="1"/>
    <col min="12" max="12" width="12" style="641" bestFit="1" customWidth="1"/>
    <col min="13" max="15" width="9.140625" style="641"/>
    <col min="16" max="16" width="2.7109375" style="641" customWidth="1"/>
    <col min="17" max="16384" width="9.140625" style="641"/>
  </cols>
  <sheetData>
    <row r="4" spans="3:13" s="1155" customFormat="1" ht="15.75" x14ac:dyDescent="0.25">
      <c r="C4" s="1154" t="s">
        <v>6996</v>
      </c>
      <c r="J4" s="1156" t="s">
        <v>34</v>
      </c>
      <c r="K4" s="1157">
        <v>43629</v>
      </c>
      <c r="M4" s="1158"/>
    </row>
    <row r="5" spans="3:13" x14ac:dyDescent="0.2">
      <c r="C5" s="644"/>
    </row>
    <row r="6" spans="3:13" x14ac:dyDescent="0.2">
      <c r="C6" s="644"/>
    </row>
    <row r="7" spans="3:13" x14ac:dyDescent="0.2">
      <c r="C7" s="644"/>
    </row>
    <row r="8" spans="3:13" x14ac:dyDescent="0.2">
      <c r="C8" s="644" t="s">
        <v>7007</v>
      </c>
    </row>
    <row r="9" spans="3:13" x14ac:dyDescent="0.2">
      <c r="C9" s="641" t="s">
        <v>7008</v>
      </c>
    </row>
    <row r="10" spans="3:13" x14ac:dyDescent="0.2">
      <c r="C10" s="641" t="s">
        <v>7009</v>
      </c>
    </row>
    <row r="11" spans="3:13" x14ac:dyDescent="0.2">
      <c r="C11" s="644" t="s">
        <v>7010</v>
      </c>
    </row>
    <row r="12" spans="3:13" x14ac:dyDescent="0.2">
      <c r="C12" s="641" t="s">
        <v>7011</v>
      </c>
    </row>
    <row r="13" spans="3:13" x14ac:dyDescent="0.2">
      <c r="C13" s="644" t="s">
        <v>7012</v>
      </c>
    </row>
    <row r="14" spans="3:13" x14ac:dyDescent="0.2">
      <c r="C14" s="641" t="s">
        <v>7013</v>
      </c>
    </row>
    <row r="15" spans="3:13" x14ac:dyDescent="0.2">
      <c r="C15" s="641" t="s">
        <v>7017</v>
      </c>
    </row>
    <row r="16" spans="3:13" x14ac:dyDescent="0.2">
      <c r="C16" s="641" t="s">
        <v>7015</v>
      </c>
    </row>
    <row r="18" spans="3:3" x14ac:dyDescent="0.2">
      <c r="C18" s="644" t="s">
        <v>53</v>
      </c>
    </row>
    <row r="19" spans="3:3" s="644" customFormat="1" x14ac:dyDescent="0.2">
      <c r="C19" s="641" t="s">
        <v>6941</v>
      </c>
    </row>
    <row r="20" spans="3:3" x14ac:dyDescent="0.2">
      <c r="C20" s="641" t="s">
        <v>6942</v>
      </c>
    </row>
    <row r="21" spans="3:3" x14ac:dyDescent="0.2">
      <c r="C21" s="641" t="s">
        <v>6943</v>
      </c>
    </row>
    <row r="22" spans="3:3" x14ac:dyDescent="0.2">
      <c r="C22" s="641" t="s">
        <v>6944</v>
      </c>
    </row>
    <row r="23" spans="3:3" x14ac:dyDescent="0.2">
      <c r="C23" s="641" t="s">
        <v>6945</v>
      </c>
    </row>
    <row r="24" spans="3:3" x14ac:dyDescent="0.2">
      <c r="C24" s="641" t="s">
        <v>6946</v>
      </c>
    </row>
    <row r="25" spans="3:3" x14ac:dyDescent="0.2">
      <c r="C25" s="641" t="s">
        <v>6947</v>
      </c>
    </row>
    <row r="26" spans="3:3" x14ac:dyDescent="0.2">
      <c r="C26" s="641" t="s">
        <v>6948</v>
      </c>
    </row>
    <row r="28" spans="3:3" x14ac:dyDescent="0.2">
      <c r="C28" s="641" t="s">
        <v>6949</v>
      </c>
    </row>
    <row r="29" spans="3:3" x14ac:dyDescent="0.2">
      <c r="C29" s="641" t="s">
        <v>6950</v>
      </c>
    </row>
    <row r="30" spans="3:3" x14ac:dyDescent="0.2">
      <c r="C30" s="641" t="s">
        <v>6951</v>
      </c>
    </row>
    <row r="31" spans="3:3" x14ac:dyDescent="0.2">
      <c r="C31" s="641" t="s">
        <v>6986</v>
      </c>
    </row>
    <row r="32" spans="3:3" x14ac:dyDescent="0.2">
      <c r="C32" s="641" t="s">
        <v>6952</v>
      </c>
    </row>
    <row r="34" spans="3:3" x14ac:dyDescent="0.2">
      <c r="C34" s="641" t="s">
        <v>6953</v>
      </c>
    </row>
    <row r="35" spans="3:3" x14ac:dyDescent="0.2">
      <c r="C35" s="641" t="s">
        <v>6954</v>
      </c>
    </row>
    <row r="36" spans="3:3" x14ac:dyDescent="0.2">
      <c r="C36" s="641" t="s">
        <v>6955</v>
      </c>
    </row>
    <row r="37" spans="3:3" x14ac:dyDescent="0.2">
      <c r="C37" s="641" t="s">
        <v>6999</v>
      </c>
    </row>
    <row r="38" spans="3:3" x14ac:dyDescent="0.2">
      <c r="C38" s="641" t="s">
        <v>7000</v>
      </c>
    </row>
    <row r="40" spans="3:3" x14ac:dyDescent="0.2">
      <c r="C40" s="641" t="s">
        <v>6957</v>
      </c>
    </row>
    <row r="41" spans="3:3" x14ac:dyDescent="0.2">
      <c r="C41" s="641" t="s">
        <v>7001</v>
      </c>
    </row>
    <row r="42" spans="3:3" x14ac:dyDescent="0.2">
      <c r="C42" s="1166" t="s">
        <v>6988</v>
      </c>
    </row>
    <row r="43" spans="3:3" x14ac:dyDescent="0.2">
      <c r="C43" s="1166" t="s">
        <v>6987</v>
      </c>
    </row>
    <row r="45" spans="3:3" x14ac:dyDescent="0.2">
      <c r="C45" s="641" t="s">
        <v>6956</v>
      </c>
    </row>
    <row r="46" spans="3:3" x14ac:dyDescent="0.2">
      <c r="C46" s="641" t="s">
        <v>7002</v>
      </c>
    </row>
    <row r="47" spans="3:3" x14ac:dyDescent="0.2">
      <c r="C47" s="641" t="s">
        <v>7003</v>
      </c>
    </row>
    <row r="48" spans="3:3" x14ac:dyDescent="0.2">
      <c r="C48" s="641" t="s">
        <v>6958</v>
      </c>
    </row>
    <row r="49" spans="3:8" x14ac:dyDescent="0.2">
      <c r="C49" s="641" t="s">
        <v>6959</v>
      </c>
    </row>
    <row r="51" spans="3:8" x14ac:dyDescent="0.2">
      <c r="C51" s="641" t="s">
        <v>35</v>
      </c>
      <c r="G51" s="669" t="s">
        <v>25</v>
      </c>
      <c r="H51" s="641" t="s">
        <v>435</v>
      </c>
    </row>
    <row r="52" spans="3:8" x14ac:dyDescent="0.2">
      <c r="C52" s="641" t="s">
        <v>36</v>
      </c>
    </row>
    <row r="54" spans="3:8" x14ac:dyDescent="0.2">
      <c r="C54" s="641" t="s">
        <v>6962</v>
      </c>
    </row>
    <row r="55" spans="3:8" x14ac:dyDescent="0.2">
      <c r="C55" s="641" t="s">
        <v>39</v>
      </c>
    </row>
    <row r="56" spans="3:8" x14ac:dyDescent="0.2">
      <c r="C56" s="641" t="s">
        <v>6960</v>
      </c>
    </row>
    <row r="57" spans="3:8" x14ac:dyDescent="0.2">
      <c r="C57" s="641" t="s">
        <v>6961</v>
      </c>
    </row>
    <row r="59" spans="3:8" x14ac:dyDescent="0.2">
      <c r="C59" s="641" t="s">
        <v>382</v>
      </c>
    </row>
    <row r="61" spans="3:8" x14ac:dyDescent="0.2">
      <c r="C61" s="644" t="s">
        <v>52</v>
      </c>
    </row>
    <row r="62" spans="3:8" x14ac:dyDescent="0.2">
      <c r="C62" s="641" t="s">
        <v>40</v>
      </c>
    </row>
    <row r="63" spans="3:8" x14ac:dyDescent="0.2">
      <c r="C63" s="641" t="s">
        <v>43</v>
      </c>
    </row>
    <row r="64" spans="3:8" x14ac:dyDescent="0.2">
      <c r="C64" s="641" t="s">
        <v>31</v>
      </c>
    </row>
    <row r="65" spans="3:3" x14ac:dyDescent="0.2">
      <c r="C65" s="641" t="s">
        <v>6963</v>
      </c>
    </row>
    <row r="66" spans="3:3" x14ac:dyDescent="0.2">
      <c r="C66" s="641" t="s">
        <v>6964</v>
      </c>
    </row>
    <row r="67" spans="3:3" x14ac:dyDescent="0.2">
      <c r="C67" s="670" t="s">
        <v>6965</v>
      </c>
    </row>
    <row r="68" spans="3:3" x14ac:dyDescent="0.2">
      <c r="C68" s="670"/>
    </row>
    <row r="69" spans="3:3" x14ac:dyDescent="0.2">
      <c r="C69" s="641" t="s">
        <v>6966</v>
      </c>
    </row>
    <row r="71" spans="3:3" x14ac:dyDescent="0.2">
      <c r="C71" s="641" t="s">
        <v>6967</v>
      </c>
    </row>
    <row r="72" spans="3:3" x14ac:dyDescent="0.2">
      <c r="C72" s="641" t="s">
        <v>6989</v>
      </c>
    </row>
    <row r="73" spans="3:3" x14ac:dyDescent="0.2">
      <c r="C73" s="641" t="s">
        <v>6990</v>
      </c>
    </row>
    <row r="74" spans="3:3" x14ac:dyDescent="0.2">
      <c r="C74" s="641" t="s">
        <v>6991</v>
      </c>
    </row>
    <row r="76" spans="3:3" x14ac:dyDescent="0.2">
      <c r="C76" s="644" t="s">
        <v>54</v>
      </c>
    </row>
    <row r="78" spans="3:3" x14ac:dyDescent="0.2">
      <c r="C78" s="642" t="s">
        <v>114</v>
      </c>
    </row>
    <row r="79" spans="3:3" x14ac:dyDescent="0.2">
      <c r="C79" s="641" t="s">
        <v>115</v>
      </c>
    </row>
    <row r="80" spans="3:3" x14ac:dyDescent="0.2">
      <c r="C80" s="641" t="s">
        <v>7004</v>
      </c>
    </row>
    <row r="81" spans="3:3" x14ac:dyDescent="0.2">
      <c r="C81" s="641" t="s">
        <v>7005</v>
      </c>
    </row>
    <row r="82" spans="3:3" x14ac:dyDescent="0.2">
      <c r="C82" s="641" t="s">
        <v>253</v>
      </c>
    </row>
    <row r="83" spans="3:3" x14ac:dyDescent="0.2">
      <c r="C83" s="641" t="s">
        <v>496</v>
      </c>
    </row>
    <row r="84" spans="3:3" x14ac:dyDescent="0.2">
      <c r="C84" s="641" t="s">
        <v>73</v>
      </c>
    </row>
    <row r="85" spans="3:3" x14ac:dyDescent="0.2">
      <c r="C85" s="641" t="s">
        <v>6968</v>
      </c>
    </row>
    <row r="86" spans="3:3" x14ac:dyDescent="0.2">
      <c r="C86" s="641" t="s">
        <v>6969</v>
      </c>
    </row>
    <row r="88" spans="3:3" x14ac:dyDescent="0.2">
      <c r="C88" s="642" t="s">
        <v>416</v>
      </c>
    </row>
    <row r="89" spans="3:3" x14ac:dyDescent="0.2">
      <c r="C89" s="641" t="s">
        <v>7006</v>
      </c>
    </row>
    <row r="90" spans="3:3" x14ac:dyDescent="0.2">
      <c r="C90" s="641" t="s">
        <v>569</v>
      </c>
    </row>
    <row r="91" spans="3:3" x14ac:dyDescent="0.2">
      <c r="C91" s="641" t="s">
        <v>542</v>
      </c>
    </row>
    <row r="92" spans="3:3" x14ac:dyDescent="0.2">
      <c r="C92" s="641" t="s">
        <v>570</v>
      </c>
    </row>
    <row r="93" spans="3:3" x14ac:dyDescent="0.2">
      <c r="C93" s="641" t="s">
        <v>6970</v>
      </c>
    </row>
    <row r="94" spans="3:3" x14ac:dyDescent="0.2">
      <c r="C94" s="641" t="s">
        <v>6992</v>
      </c>
    </row>
    <row r="95" spans="3:3" x14ac:dyDescent="0.2">
      <c r="C95" s="641" t="s">
        <v>311</v>
      </c>
    </row>
    <row r="96" spans="3:3" x14ac:dyDescent="0.2">
      <c r="C96" s="641" t="s">
        <v>6993</v>
      </c>
    </row>
    <row r="98" spans="3:3" x14ac:dyDescent="0.2">
      <c r="C98" s="671" t="s">
        <v>78</v>
      </c>
    </row>
    <row r="99" spans="3:3" x14ac:dyDescent="0.2">
      <c r="C99" s="643" t="s">
        <v>6971</v>
      </c>
    </row>
    <row r="100" spans="3:3" x14ac:dyDescent="0.2">
      <c r="C100" s="643" t="s">
        <v>420</v>
      </c>
    </row>
    <row r="101" spans="3:3" x14ac:dyDescent="0.2">
      <c r="C101" s="643" t="s">
        <v>104</v>
      </c>
    </row>
    <row r="102" spans="3:3" x14ac:dyDescent="0.2">
      <c r="C102" s="643" t="s">
        <v>0</v>
      </c>
    </row>
    <row r="103" spans="3:3" x14ac:dyDescent="0.2">
      <c r="C103" s="643"/>
    </row>
    <row r="104" spans="3:3" x14ac:dyDescent="0.2">
      <c r="C104" s="672" t="s">
        <v>56</v>
      </c>
    </row>
    <row r="105" spans="3:3" x14ac:dyDescent="0.2">
      <c r="C105" s="643" t="s">
        <v>102</v>
      </c>
    </row>
    <row r="106" spans="3:3" x14ac:dyDescent="0.2">
      <c r="C106" s="643" t="s">
        <v>549</v>
      </c>
    </row>
    <row r="107" spans="3:3" x14ac:dyDescent="0.2">
      <c r="C107" s="643" t="s">
        <v>103</v>
      </c>
    </row>
    <row r="108" spans="3:3" x14ac:dyDescent="0.2">
      <c r="C108" s="643" t="s">
        <v>539</v>
      </c>
    </row>
    <row r="109" spans="3:3" x14ac:dyDescent="0.2">
      <c r="C109" s="643" t="s">
        <v>105</v>
      </c>
    </row>
    <row r="110" spans="3:3" x14ac:dyDescent="0.2">
      <c r="C110" s="643" t="s">
        <v>106</v>
      </c>
    </row>
    <row r="111" spans="3:3" x14ac:dyDescent="0.2">
      <c r="C111" s="643" t="s">
        <v>497</v>
      </c>
    </row>
    <row r="112" spans="3:3" x14ac:dyDescent="0.2">
      <c r="C112" s="643" t="s">
        <v>571</v>
      </c>
    </row>
    <row r="113" spans="3:3" x14ac:dyDescent="0.2">
      <c r="C113" s="643" t="s">
        <v>572</v>
      </c>
    </row>
    <row r="114" spans="3:3" x14ac:dyDescent="0.2">
      <c r="C114" s="643" t="s">
        <v>574</v>
      </c>
    </row>
    <row r="115" spans="3:3" x14ac:dyDescent="0.2">
      <c r="C115" s="643" t="s">
        <v>573</v>
      </c>
    </row>
    <row r="116" spans="3:3" x14ac:dyDescent="0.2">
      <c r="C116" s="1004" t="s">
        <v>562</v>
      </c>
    </row>
    <row r="117" spans="3:3" x14ac:dyDescent="0.2">
      <c r="C117" s="643" t="s">
        <v>563</v>
      </c>
    </row>
    <row r="118" spans="3:3" x14ac:dyDescent="0.2">
      <c r="C118" s="643" t="s">
        <v>556</v>
      </c>
    </row>
    <row r="119" spans="3:3" x14ac:dyDescent="0.2">
      <c r="C119" s="643"/>
    </row>
    <row r="120" spans="3:3" x14ac:dyDescent="0.2">
      <c r="C120" s="672" t="s">
        <v>57</v>
      </c>
    </row>
    <row r="121" spans="3:3" ht="14.45" customHeight="1" x14ac:dyDescent="0.2">
      <c r="C121" s="643" t="s">
        <v>90</v>
      </c>
    </row>
    <row r="122" spans="3:3" x14ac:dyDescent="0.2">
      <c r="C122" s="643" t="s">
        <v>107</v>
      </c>
    </row>
    <row r="123" spans="3:3" x14ac:dyDescent="0.2">
      <c r="C123" s="643" t="s">
        <v>108</v>
      </c>
    </row>
    <row r="124" spans="3:3" x14ac:dyDescent="0.2">
      <c r="C124" s="643" t="s">
        <v>498</v>
      </c>
    </row>
    <row r="125" spans="3:3" x14ac:dyDescent="0.2">
      <c r="C125" s="643" t="s">
        <v>112</v>
      </c>
    </row>
    <row r="126" spans="3:3" x14ac:dyDescent="0.2">
      <c r="C126" s="643" t="s">
        <v>113</v>
      </c>
    </row>
    <row r="127" spans="3:3" x14ac:dyDescent="0.2">
      <c r="C127" s="643"/>
    </row>
    <row r="128" spans="3:3" x14ac:dyDescent="0.2">
      <c r="C128" s="672" t="s">
        <v>58</v>
      </c>
    </row>
    <row r="129" spans="3:3" x14ac:dyDescent="0.2">
      <c r="C129" s="643" t="s">
        <v>436</v>
      </c>
    </row>
    <row r="131" spans="3:3" x14ac:dyDescent="0.2">
      <c r="C131" s="644" t="s">
        <v>59</v>
      </c>
    </row>
    <row r="132" spans="3:3" x14ac:dyDescent="0.2">
      <c r="C132" s="641" t="s">
        <v>6972</v>
      </c>
    </row>
    <row r="133" spans="3:3" x14ac:dyDescent="0.2">
      <c r="C133" s="641" t="s">
        <v>60</v>
      </c>
    </row>
    <row r="134" spans="3:3" x14ac:dyDescent="0.2">
      <c r="C134" s="641" t="s">
        <v>6973</v>
      </c>
    </row>
    <row r="135" spans="3:3" x14ac:dyDescent="0.2">
      <c r="C135" s="641" t="s">
        <v>77</v>
      </c>
    </row>
    <row r="136" spans="3:3" x14ac:dyDescent="0.2">
      <c r="C136" s="641" t="s">
        <v>61</v>
      </c>
    </row>
    <row r="137" spans="3:3" x14ac:dyDescent="0.2">
      <c r="C137" s="641" t="s">
        <v>6994</v>
      </c>
    </row>
    <row r="139" spans="3:3" x14ac:dyDescent="0.2">
      <c r="C139" s="644" t="s">
        <v>62</v>
      </c>
    </row>
    <row r="140" spans="3:3" x14ac:dyDescent="0.2">
      <c r="C140" s="641" t="s">
        <v>317</v>
      </c>
    </row>
    <row r="141" spans="3:3" x14ac:dyDescent="0.2">
      <c r="C141" s="641" t="s">
        <v>318</v>
      </c>
    </row>
    <row r="143" spans="3:3" x14ac:dyDescent="0.2">
      <c r="C143" s="644" t="s">
        <v>63</v>
      </c>
    </row>
    <row r="144" spans="3:3" x14ac:dyDescent="0.2">
      <c r="C144" s="641" t="s">
        <v>50</v>
      </c>
    </row>
    <row r="145" spans="3:3" x14ac:dyDescent="0.2">
      <c r="C145" s="641" t="s">
        <v>6974</v>
      </c>
    </row>
    <row r="146" spans="3:3" x14ac:dyDescent="0.2">
      <c r="C146" s="641" t="s">
        <v>312</v>
      </c>
    </row>
    <row r="148" spans="3:3" x14ac:dyDescent="0.2">
      <c r="C148" s="644" t="s">
        <v>64</v>
      </c>
    </row>
    <row r="149" spans="3:3" x14ac:dyDescent="0.2">
      <c r="C149" s="641" t="s">
        <v>499</v>
      </c>
    </row>
    <row r="151" spans="3:3" x14ac:dyDescent="0.2">
      <c r="C151" s="644" t="s">
        <v>500</v>
      </c>
    </row>
    <row r="152" spans="3:3" x14ac:dyDescent="0.2">
      <c r="C152" s="641" t="s">
        <v>444</v>
      </c>
    </row>
    <row r="153" spans="3:3" x14ac:dyDescent="0.2">
      <c r="C153" s="641" t="s">
        <v>445</v>
      </c>
    </row>
    <row r="154" spans="3:3" x14ac:dyDescent="0.2">
      <c r="C154" s="641" t="s">
        <v>6975</v>
      </c>
    </row>
    <row r="156" spans="3:3" x14ac:dyDescent="0.2">
      <c r="C156" s="644" t="s">
        <v>437</v>
      </c>
    </row>
    <row r="157" spans="3:3" x14ac:dyDescent="0.2">
      <c r="C157" s="641" t="s">
        <v>6976</v>
      </c>
    </row>
    <row r="158" spans="3:3" x14ac:dyDescent="0.2">
      <c r="C158" s="641" t="s">
        <v>65</v>
      </c>
    </row>
    <row r="160" spans="3:3" x14ac:dyDescent="0.2">
      <c r="C160" s="644" t="s">
        <v>438</v>
      </c>
    </row>
    <row r="161" spans="3:3" x14ac:dyDescent="0.2">
      <c r="C161" s="643" t="s">
        <v>109</v>
      </c>
    </row>
    <row r="162" spans="3:3" x14ac:dyDescent="0.2">
      <c r="C162" s="643" t="s">
        <v>557</v>
      </c>
    </row>
    <row r="164" spans="3:3" x14ac:dyDescent="0.2">
      <c r="C164" s="644" t="s">
        <v>6995</v>
      </c>
    </row>
    <row r="165" spans="3:3" x14ac:dyDescent="0.2">
      <c r="C165" s="643" t="s">
        <v>421</v>
      </c>
    </row>
    <row r="167" spans="3:3" x14ac:dyDescent="0.2">
      <c r="C167" s="644" t="s">
        <v>439</v>
      </c>
    </row>
    <row r="168" spans="3:3" x14ac:dyDescent="0.2">
      <c r="C168" s="643" t="s">
        <v>6977</v>
      </c>
    </row>
    <row r="169" spans="3:3" x14ac:dyDescent="0.2">
      <c r="C169" s="643" t="s">
        <v>6978</v>
      </c>
    </row>
    <row r="170" spans="3:3" x14ac:dyDescent="0.2">
      <c r="C170" s="643" t="s">
        <v>91</v>
      </c>
    </row>
    <row r="172" spans="3:3" x14ac:dyDescent="0.2">
      <c r="C172" s="644" t="s">
        <v>440</v>
      </c>
    </row>
    <row r="173" spans="3:3" x14ac:dyDescent="0.2">
      <c r="C173" s="641" t="s">
        <v>219</v>
      </c>
    </row>
    <row r="174" spans="3:3" x14ac:dyDescent="0.2">
      <c r="C174" s="641" t="s">
        <v>222</v>
      </c>
    </row>
    <row r="176" spans="3:3" x14ac:dyDescent="0.2">
      <c r="C176" s="644" t="s">
        <v>441</v>
      </c>
    </row>
    <row r="177" spans="3:3" x14ac:dyDescent="0.2">
      <c r="C177" s="643" t="s">
        <v>319</v>
      </c>
    </row>
    <row r="178" spans="3:3" x14ac:dyDescent="0.2">
      <c r="C178" s="643" t="s">
        <v>443</v>
      </c>
    </row>
    <row r="179" spans="3:3" x14ac:dyDescent="0.2">
      <c r="C179" s="641" t="s">
        <v>6979</v>
      </c>
    </row>
    <row r="180" spans="3:3" x14ac:dyDescent="0.2">
      <c r="C180" s="641" t="s">
        <v>55</v>
      </c>
    </row>
    <row r="181" spans="3:3" x14ac:dyDescent="0.2">
      <c r="C181" s="641" t="s">
        <v>66</v>
      </c>
    </row>
    <row r="183" spans="3:3" x14ac:dyDescent="0.2">
      <c r="C183" s="644" t="s">
        <v>442</v>
      </c>
    </row>
    <row r="184" spans="3:3" x14ac:dyDescent="0.2">
      <c r="C184" s="643" t="s">
        <v>417</v>
      </c>
    </row>
    <row r="186" spans="3:3" x14ac:dyDescent="0.2">
      <c r="C186" s="644" t="s">
        <v>558</v>
      </c>
    </row>
    <row r="187" spans="3:3" x14ac:dyDescent="0.2">
      <c r="C187" s="641" t="s">
        <v>567</v>
      </c>
    </row>
    <row r="188" spans="3:3" x14ac:dyDescent="0.2">
      <c r="C188" s="641" t="s">
        <v>564</v>
      </c>
    </row>
    <row r="190" spans="3:3" x14ac:dyDescent="0.2">
      <c r="C190" s="644" t="s">
        <v>6980</v>
      </c>
    </row>
    <row r="191" spans="3:3" x14ac:dyDescent="0.2">
      <c r="C191" s="641" t="s">
        <v>6981</v>
      </c>
    </row>
    <row r="192" spans="3:3" x14ac:dyDescent="0.2">
      <c r="C192" s="641" t="s">
        <v>6982</v>
      </c>
    </row>
    <row r="194" spans="3:6" x14ac:dyDescent="0.2">
      <c r="C194" s="644" t="s">
        <v>76</v>
      </c>
    </row>
    <row r="195" spans="3:6" x14ac:dyDescent="0.2">
      <c r="C195" s="643" t="s">
        <v>92</v>
      </c>
    </row>
    <row r="196" spans="3:6" x14ac:dyDescent="0.2">
      <c r="C196" s="641" t="s">
        <v>383</v>
      </c>
      <c r="F196" s="1105" t="s">
        <v>561</v>
      </c>
    </row>
    <row r="197" spans="3:6" x14ac:dyDescent="0.2">
      <c r="C197" s="641" t="s">
        <v>559</v>
      </c>
      <c r="F197" s="1105" t="s">
        <v>560</v>
      </c>
    </row>
  </sheetData>
  <sheetProtection algorithmName="SHA-512" hashValue="3shyEhrKaYFU3JSs4MAU333z1e8B2NpirbKas1FYh8hgX9g0yEfWzUCfdf0r12LdeeOTK5rN/Cgy83QbqrXnlw==" saltValue="8kNV+NCFJqbGBOMwzkHe2g==" spinCount="100000" sheet="1" objects="1" scenarios="1"/>
  <phoneticPr fontId="0" type="noConversion"/>
  <hyperlinks>
    <hyperlink ref="F196" r:id="rId1"/>
    <hyperlink ref="F197" r:id="rId2"/>
  </hyperlinks>
  <pageMargins left="0.74803149606299213" right="0.74803149606299213" top="0.98425196850393704" bottom="0.98425196850393704" header="0.51181102362204722" footer="0.51181102362204722"/>
  <pageSetup paperSize="9" scale="55" orientation="portrait" r:id="rId3"/>
  <headerFooter alignWithMargins="0">
    <oddHeader>&amp;L&amp;"Arial,Vet"&amp;F&amp;R&amp;"Arial,Vet"&amp;A</oddHeader>
    <oddFooter>&amp;L&amp;"Arial,Vet"PO-Raad&amp;C&amp;"Arial,Vet"&amp;D&amp;R&amp;"Arial,Vet"pagina &amp;P</oddFooter>
  </headerFooter>
  <rowBreaks count="1" manualBreakCount="1">
    <brk id="96" min="1" max="15" man="1"/>
  </rowBreaks>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6"/>
  <dimension ref="B1:M66"/>
  <sheetViews>
    <sheetView zoomScale="85" zoomScaleNormal="85" workbookViewId="0">
      <pane ySplit="9" topLeftCell="A10" activePane="bottomLeft" state="frozen"/>
      <selection activeCell="B2" sqref="B2"/>
      <selection pane="bottomLeft" activeCell="B2" sqref="B2"/>
    </sheetView>
  </sheetViews>
  <sheetFormatPr defaultColWidth="9.140625" defaultRowHeight="14.45" customHeight="1" x14ac:dyDescent="0.2"/>
  <cols>
    <col min="1" max="1" width="3.7109375" style="48" customWidth="1"/>
    <col min="2" max="3" width="2.7109375" style="48" customWidth="1"/>
    <col min="4" max="4" width="45.7109375" style="48" customWidth="1"/>
    <col min="5" max="5" width="2.7109375" style="48" customWidth="1"/>
    <col min="6" max="8" width="14.85546875" style="48" customWidth="1"/>
    <col min="9" max="9" width="14.85546875" style="260" customWidth="1"/>
    <col min="10" max="11" width="14.85546875" style="48" customWidth="1"/>
    <col min="12" max="13" width="2.7109375" style="48" customWidth="1"/>
    <col min="14" max="16384" width="9.140625" style="48"/>
  </cols>
  <sheetData>
    <row r="1" spans="2:13" ht="12.95" customHeight="1" x14ac:dyDescent="0.2"/>
    <row r="2" spans="2:13" ht="12.95" customHeight="1" x14ac:dyDescent="0.2">
      <c r="B2" s="43"/>
      <c r="C2" s="44"/>
      <c r="D2" s="44"/>
      <c r="E2" s="44"/>
      <c r="F2" s="44"/>
      <c r="G2" s="44"/>
      <c r="H2" s="478"/>
      <c r="I2" s="44"/>
      <c r="J2" s="44"/>
      <c r="K2" s="44"/>
      <c r="L2" s="44"/>
      <c r="M2" s="47"/>
    </row>
    <row r="3" spans="2:13" ht="12.95" customHeight="1" x14ac:dyDescent="0.2">
      <c r="B3" s="49"/>
      <c r="C3" s="50"/>
      <c r="D3" s="50"/>
      <c r="E3" s="50"/>
      <c r="F3" s="50"/>
      <c r="G3" s="50"/>
      <c r="H3" s="309"/>
      <c r="I3" s="50"/>
      <c r="J3" s="50"/>
      <c r="K3" s="50"/>
      <c r="L3" s="50"/>
      <c r="M3" s="53"/>
    </row>
    <row r="4" spans="2:13" s="479" customFormat="1" ht="14.45" customHeight="1" x14ac:dyDescent="0.3">
      <c r="B4" s="60"/>
      <c r="C4" s="673" t="s">
        <v>48</v>
      </c>
      <c r="D4" s="147"/>
      <c r="E4" s="480"/>
      <c r="F4" s="480"/>
      <c r="G4" s="480"/>
      <c r="H4" s="480"/>
      <c r="I4" s="480"/>
      <c r="J4" s="480"/>
      <c r="K4" s="480"/>
      <c r="L4" s="673"/>
      <c r="M4" s="481"/>
    </row>
    <row r="5" spans="2:13" s="479" customFormat="1" ht="14.45" customHeight="1" x14ac:dyDescent="0.3">
      <c r="B5" s="60"/>
      <c r="C5" s="61" t="str">
        <f>geg!G12</f>
        <v>voorbeeld Basisschool</v>
      </c>
      <c r="D5" s="147"/>
      <c r="E5" s="480"/>
      <c r="F5" s="480"/>
      <c r="G5" s="480"/>
      <c r="H5" s="480"/>
      <c r="I5" s="480"/>
      <c r="J5" s="480"/>
      <c r="K5" s="480"/>
      <c r="L5" s="61"/>
      <c r="M5" s="481"/>
    </row>
    <row r="6" spans="2:13" ht="12.95" customHeight="1" x14ac:dyDescent="0.2">
      <c r="B6" s="520"/>
      <c r="C6" s="521"/>
      <c r="D6" s="522"/>
      <c r="E6" s="62"/>
      <c r="F6" s="62"/>
      <c r="G6" s="62"/>
      <c r="H6" s="62"/>
      <c r="I6" s="62"/>
      <c r="J6" s="62"/>
      <c r="K6" s="62"/>
      <c r="L6" s="521"/>
      <c r="M6" s="86"/>
    </row>
    <row r="7" spans="2:13" ht="12.95" customHeight="1" x14ac:dyDescent="0.2">
      <c r="B7" s="520"/>
      <c r="C7" s="521"/>
      <c r="D7" s="522"/>
      <c r="E7" s="62"/>
      <c r="F7" s="62"/>
      <c r="G7" s="62"/>
      <c r="H7" s="62"/>
      <c r="I7" s="62"/>
      <c r="J7" s="62"/>
      <c r="K7" s="62"/>
      <c r="L7" s="521"/>
      <c r="M7" s="86"/>
    </row>
    <row r="8" spans="2:13" s="130" customFormat="1" ht="12.95" customHeight="1" x14ac:dyDescent="0.2">
      <c r="B8" s="523"/>
      <c r="C8" s="524"/>
      <c r="D8" s="489"/>
      <c r="E8" s="525"/>
      <c r="F8" s="688">
        <f>tab!E4</f>
        <v>2019</v>
      </c>
      <c r="G8" s="688">
        <f>F8+1</f>
        <v>2020</v>
      </c>
      <c r="H8" s="688">
        <f>G8+1</f>
        <v>2021</v>
      </c>
      <c r="I8" s="688">
        <f>H8+1</f>
        <v>2022</v>
      </c>
      <c r="J8" s="688">
        <f>I8+1</f>
        <v>2023</v>
      </c>
      <c r="K8" s="688">
        <f>J8+1</f>
        <v>2024</v>
      </c>
      <c r="L8" s="524"/>
      <c r="M8" s="526"/>
    </row>
    <row r="9" spans="2:13" ht="12.95" customHeight="1" x14ac:dyDescent="0.2">
      <c r="B9" s="520"/>
      <c r="C9" s="521"/>
      <c r="D9" s="527"/>
      <c r="E9" s="62"/>
      <c r="F9" s="62"/>
      <c r="G9" s="62"/>
      <c r="H9" s="62"/>
      <c r="I9" s="62"/>
      <c r="J9" s="62"/>
      <c r="K9" s="62"/>
      <c r="L9" s="521"/>
      <c r="M9" s="86"/>
    </row>
    <row r="10" spans="2:13" ht="12.95" customHeight="1" x14ac:dyDescent="0.2">
      <c r="B10" s="528"/>
      <c r="C10" s="529"/>
      <c r="D10" s="174"/>
      <c r="E10" s="67"/>
      <c r="F10" s="67"/>
      <c r="G10" s="67"/>
      <c r="H10" s="67"/>
      <c r="I10" s="67"/>
      <c r="J10" s="67"/>
      <c r="K10" s="67"/>
      <c r="L10" s="529"/>
      <c r="M10" s="53"/>
    </row>
    <row r="11" spans="2:13" ht="12.95" customHeight="1" x14ac:dyDescent="0.2">
      <c r="B11" s="528"/>
      <c r="C11" s="530"/>
      <c r="D11" s="692" t="s">
        <v>285</v>
      </c>
      <c r="E11" s="71"/>
      <c r="F11" s="71"/>
      <c r="G11" s="71"/>
      <c r="H11" s="71"/>
      <c r="I11" s="71"/>
      <c r="J11" s="71"/>
      <c r="K11" s="71"/>
      <c r="L11" s="530"/>
      <c r="M11" s="53"/>
    </row>
    <row r="12" spans="2:13" ht="12.95" customHeight="1" x14ac:dyDescent="0.2">
      <c r="B12" s="528"/>
      <c r="C12" s="530"/>
      <c r="D12" s="70" t="s">
        <v>236</v>
      </c>
      <c r="E12" s="71"/>
      <c r="F12" s="165">
        <v>0</v>
      </c>
      <c r="G12" s="679">
        <f t="shared" ref="G12:G17" si="0">F55</f>
        <v>0</v>
      </c>
      <c r="H12" s="679">
        <f t="shared" ref="H12:K13" si="1">G55</f>
        <v>0</v>
      </c>
      <c r="I12" s="679">
        <f t="shared" si="1"/>
        <v>0</v>
      </c>
      <c r="J12" s="679">
        <f t="shared" si="1"/>
        <v>0</v>
      </c>
      <c r="K12" s="679">
        <f t="shared" si="1"/>
        <v>0</v>
      </c>
      <c r="L12" s="530"/>
      <c r="M12" s="53"/>
    </row>
    <row r="13" spans="2:13" ht="12.95" customHeight="1" x14ac:dyDescent="0.2">
      <c r="B13" s="528"/>
      <c r="C13" s="530"/>
      <c r="D13" s="70" t="s">
        <v>237</v>
      </c>
      <c r="E13" s="71"/>
      <c r="F13" s="163">
        <v>0</v>
      </c>
      <c r="G13" s="679">
        <f t="shared" si="0"/>
        <v>0</v>
      </c>
      <c r="H13" s="679">
        <f t="shared" si="1"/>
        <v>0</v>
      </c>
      <c r="I13" s="679">
        <f t="shared" si="1"/>
        <v>0</v>
      </c>
      <c r="J13" s="679">
        <f t="shared" si="1"/>
        <v>0</v>
      </c>
      <c r="K13" s="679">
        <f t="shared" si="1"/>
        <v>0</v>
      </c>
      <c r="L13" s="530"/>
      <c r="M13" s="53"/>
    </row>
    <row r="14" spans="2:13" ht="12.95" customHeight="1" x14ac:dyDescent="0.2">
      <c r="B14" s="528"/>
      <c r="C14" s="530"/>
      <c r="D14" s="161" t="s">
        <v>41</v>
      </c>
      <c r="E14" s="71"/>
      <c r="F14" s="163">
        <v>0</v>
      </c>
      <c r="G14" s="679">
        <f t="shared" si="0"/>
        <v>0</v>
      </c>
      <c r="H14" s="679">
        <f t="shared" ref="H14:K17" si="2">G57</f>
        <v>0</v>
      </c>
      <c r="I14" s="679">
        <f t="shared" si="2"/>
        <v>0</v>
      </c>
      <c r="J14" s="679">
        <f t="shared" si="2"/>
        <v>0</v>
      </c>
      <c r="K14" s="679">
        <f t="shared" si="2"/>
        <v>0</v>
      </c>
      <c r="L14" s="530"/>
      <c r="M14" s="53"/>
    </row>
    <row r="15" spans="2:13" ht="12.95" customHeight="1" x14ac:dyDescent="0.2">
      <c r="B15" s="528"/>
      <c r="C15" s="530"/>
      <c r="D15" s="161" t="s">
        <v>42</v>
      </c>
      <c r="E15" s="71"/>
      <c r="F15" s="163">
        <v>0</v>
      </c>
      <c r="G15" s="679">
        <f t="shared" si="0"/>
        <v>0</v>
      </c>
      <c r="H15" s="679">
        <f t="shared" si="2"/>
        <v>0</v>
      </c>
      <c r="I15" s="679">
        <f t="shared" si="2"/>
        <v>0</v>
      </c>
      <c r="J15" s="679">
        <f t="shared" si="2"/>
        <v>0</v>
      </c>
      <c r="K15" s="679">
        <f t="shared" si="2"/>
        <v>0</v>
      </c>
      <c r="L15" s="530"/>
      <c r="M15" s="53"/>
    </row>
    <row r="16" spans="2:13" ht="12.95" customHeight="1" x14ac:dyDescent="0.2">
      <c r="B16" s="528"/>
      <c r="C16" s="530"/>
      <c r="D16" s="70" t="s">
        <v>277</v>
      </c>
      <c r="E16" s="71"/>
      <c r="F16" s="163">
        <v>0</v>
      </c>
      <c r="G16" s="679">
        <f t="shared" si="0"/>
        <v>0</v>
      </c>
      <c r="H16" s="679">
        <f t="shared" si="2"/>
        <v>0</v>
      </c>
      <c r="I16" s="679">
        <f t="shared" si="2"/>
        <v>0</v>
      </c>
      <c r="J16" s="679">
        <f t="shared" si="2"/>
        <v>0</v>
      </c>
      <c r="K16" s="679">
        <f t="shared" si="2"/>
        <v>0</v>
      </c>
      <c r="L16" s="530"/>
      <c r="M16" s="53"/>
    </row>
    <row r="17" spans="2:13" ht="12.95" customHeight="1" x14ac:dyDescent="0.2">
      <c r="B17" s="528"/>
      <c r="C17" s="530"/>
      <c r="D17" s="70" t="s">
        <v>238</v>
      </c>
      <c r="E17" s="71"/>
      <c r="F17" s="163">
        <v>0</v>
      </c>
      <c r="G17" s="679">
        <f t="shared" si="0"/>
        <v>0</v>
      </c>
      <c r="H17" s="679">
        <f t="shared" si="2"/>
        <v>0</v>
      </c>
      <c r="I17" s="679">
        <f t="shared" si="2"/>
        <v>0</v>
      </c>
      <c r="J17" s="679">
        <f t="shared" si="2"/>
        <v>0</v>
      </c>
      <c r="K17" s="679">
        <f t="shared" si="2"/>
        <v>0</v>
      </c>
      <c r="L17" s="530"/>
      <c r="M17" s="53"/>
    </row>
    <row r="18" spans="2:13" ht="12.95" customHeight="1" x14ac:dyDescent="0.2">
      <c r="B18" s="528"/>
      <c r="C18" s="530"/>
      <c r="D18" s="89"/>
      <c r="E18" s="71"/>
      <c r="F18" s="788">
        <f t="shared" ref="F18:K18" si="3">SUM(F12:F17)</f>
        <v>0</v>
      </c>
      <c r="G18" s="788">
        <f t="shared" si="3"/>
        <v>0</v>
      </c>
      <c r="H18" s="788">
        <f t="shared" si="3"/>
        <v>0</v>
      </c>
      <c r="I18" s="788">
        <f t="shared" si="3"/>
        <v>0</v>
      </c>
      <c r="J18" s="788">
        <f t="shared" si="3"/>
        <v>0</v>
      </c>
      <c r="K18" s="788">
        <f t="shared" si="3"/>
        <v>0</v>
      </c>
      <c r="L18" s="530"/>
      <c r="M18" s="53"/>
    </row>
    <row r="19" spans="2:13" ht="12.95" customHeight="1" x14ac:dyDescent="0.2">
      <c r="B19" s="528"/>
      <c r="C19" s="531"/>
      <c r="D19" s="107"/>
      <c r="E19" s="77"/>
      <c r="F19" s="77"/>
      <c r="G19" s="77"/>
      <c r="H19" s="77"/>
      <c r="I19" s="77"/>
      <c r="J19" s="77"/>
      <c r="K19" s="77"/>
      <c r="L19" s="531"/>
      <c r="M19" s="53"/>
    </row>
    <row r="20" spans="2:13" ht="12.95" customHeight="1" x14ac:dyDescent="0.2">
      <c r="B20" s="49"/>
      <c r="C20" s="50"/>
      <c r="D20" s="50"/>
      <c r="E20" s="50"/>
      <c r="F20" s="50"/>
      <c r="G20" s="50"/>
      <c r="H20" s="50"/>
      <c r="I20" s="50"/>
      <c r="J20" s="50"/>
      <c r="K20" s="50"/>
      <c r="L20" s="50"/>
      <c r="M20" s="53"/>
    </row>
    <row r="21" spans="2:13" ht="12.95" customHeight="1" x14ac:dyDescent="0.2">
      <c r="B21" s="528"/>
      <c r="C21" s="529"/>
      <c r="D21" s="174"/>
      <c r="E21" s="67"/>
      <c r="F21" s="67"/>
      <c r="G21" s="67"/>
      <c r="H21" s="67"/>
      <c r="I21" s="67"/>
      <c r="J21" s="67"/>
      <c r="K21" s="67"/>
      <c r="L21" s="529"/>
      <c r="M21" s="53"/>
    </row>
    <row r="22" spans="2:13" ht="12.95" customHeight="1" x14ac:dyDescent="0.2">
      <c r="B22" s="528"/>
      <c r="C22" s="530"/>
      <c r="D22" s="692" t="s">
        <v>340</v>
      </c>
      <c r="E22" s="71"/>
      <c r="F22" s="89"/>
      <c r="G22" s="71"/>
      <c r="H22" s="71"/>
      <c r="I22" s="71"/>
      <c r="J22" s="71"/>
      <c r="K22" s="71"/>
      <c r="L22" s="530"/>
      <c r="M22" s="53"/>
    </row>
    <row r="23" spans="2:13" ht="12.95" customHeight="1" x14ac:dyDescent="0.2">
      <c r="B23" s="528"/>
      <c r="C23" s="530"/>
      <c r="D23" s="70" t="s">
        <v>236</v>
      </c>
      <c r="E23" s="71"/>
      <c r="F23" s="686">
        <f>(SUMIF(mip!$D14:$D213,"gebouwen en terreinen",mip!Y14:Y213))</f>
        <v>0</v>
      </c>
      <c r="G23" s="686">
        <f>(SUMIF(mip!$D14:$D213,"gebouwen en terreinen",mip!Z14:Z213))</f>
        <v>0</v>
      </c>
      <c r="H23" s="686">
        <f>(SUMIF(mip!$D14:$D213,"gebouwen en terreinen",mip!AA14:AA213))</f>
        <v>0</v>
      </c>
      <c r="I23" s="686">
        <f>(SUMIF(mip!$D14:$D213,"gebouwen en terreinen",mip!AB14:AB213))</f>
        <v>0</v>
      </c>
      <c r="J23" s="686">
        <f>(SUMIF(mip!$D14:$D213,"gebouwen en terreinen",mip!AC14:AC213))</f>
        <v>0</v>
      </c>
      <c r="K23" s="686">
        <f>(SUMIF(mip!$D14:$D213,"gebouwen en terreinen",mip!AE14:AE213))</f>
        <v>0</v>
      </c>
      <c r="L23" s="530"/>
      <c r="M23" s="53"/>
    </row>
    <row r="24" spans="2:13" ht="12.95" customHeight="1" x14ac:dyDescent="0.2">
      <c r="B24" s="528"/>
      <c r="C24" s="530"/>
      <c r="D24" s="70" t="s">
        <v>237</v>
      </c>
      <c r="E24" s="71"/>
      <c r="F24" s="682">
        <f>(SUMIF(mip!$D14:$D213,"inventaris en apparatuur",mip!Y14:Y213))</f>
        <v>0</v>
      </c>
      <c r="G24" s="682">
        <f>(SUMIF(mip!$D14:$D213,"inventaris en apparatuur",mip!Z14:Z213))</f>
        <v>0</v>
      </c>
      <c r="H24" s="682">
        <f>(SUMIF(mip!$D14:$D213,"inventaris en apparatuur",mip!AA14:AA213))</f>
        <v>0</v>
      </c>
      <c r="I24" s="682">
        <f>(SUMIF(mip!$D14:$D213,"inventaris en apparatuur",mip!AB14:AB213))</f>
        <v>0</v>
      </c>
      <c r="J24" s="682">
        <f>(SUMIF(mip!$D14:$D213,"inventaris en apparatuur",mip!AC14:AC213))</f>
        <v>0</v>
      </c>
      <c r="K24" s="682">
        <f>(SUMIF(mip!$D14:$D213,"inventaris en apparatuur",mip!AE14:AE213))</f>
        <v>0</v>
      </c>
      <c r="L24" s="530"/>
      <c r="M24" s="53"/>
    </row>
    <row r="25" spans="2:13" ht="12.95" customHeight="1" x14ac:dyDescent="0.2">
      <c r="B25" s="528"/>
      <c r="C25" s="530"/>
      <c r="D25" s="161" t="s">
        <v>41</v>
      </c>
      <c r="E25" s="71"/>
      <c r="F25" s="682">
        <f>(SUMIF(mip!$D14:$D213,"meubilair",mip!Y14:Y213))</f>
        <v>0</v>
      </c>
      <c r="G25" s="682">
        <f>(SUMIF(mip!$D14:$D213,"meubilair",mip!Z14:Z213))</f>
        <v>0</v>
      </c>
      <c r="H25" s="682">
        <f>(SUMIF(mip!$D14:$D213,"meubilair",mip!AA14:AA213))</f>
        <v>0</v>
      </c>
      <c r="I25" s="682">
        <f>(SUMIF(mip!$D14:$D213,"meubilair",mip!AB14:AB213))</f>
        <v>0</v>
      </c>
      <c r="J25" s="682">
        <f>(SUMIF(mip!$D14:$D213,"meubilair",mip!AC14:AC213))</f>
        <v>0</v>
      </c>
      <c r="K25" s="682">
        <f>(SUMIF(mip!$D14:$D213,"meubilair",mip!AE14:AE213))</f>
        <v>0</v>
      </c>
      <c r="L25" s="530"/>
      <c r="M25" s="53"/>
    </row>
    <row r="26" spans="2:13" ht="12.95" customHeight="1" x14ac:dyDescent="0.2">
      <c r="B26" s="528"/>
      <c r="C26" s="530"/>
      <c r="D26" s="161" t="s">
        <v>42</v>
      </c>
      <c r="E26" s="71"/>
      <c r="F26" s="682">
        <f>(SUMIF(mip!$D14:$D213,"ICT",mip!Y14:Y213))</f>
        <v>0</v>
      </c>
      <c r="G26" s="682">
        <f>(SUMIF(mip!$D14:$D213,"ICT",mip!Z14:Z213))</f>
        <v>0</v>
      </c>
      <c r="H26" s="682">
        <f>(SUMIF(mip!$D14:$D213,"ICT",mip!AA14:AA213))</f>
        <v>0</v>
      </c>
      <c r="I26" s="682">
        <f>(SUMIF(mip!$D14:$D213,"ICT",mip!AB14:AB213))</f>
        <v>0</v>
      </c>
      <c r="J26" s="682">
        <f>(SUMIF(mip!$D14:$D213,"ICT",mip!AC14:AC213))</f>
        <v>0</v>
      </c>
      <c r="K26" s="682">
        <f>(SUMIF(mip!$D14:$D213,"ICT",mip!AE14:AE213))</f>
        <v>0</v>
      </c>
      <c r="L26" s="530"/>
      <c r="M26" s="53"/>
    </row>
    <row r="27" spans="2:13" ht="12.95" customHeight="1" x14ac:dyDescent="0.2">
      <c r="B27" s="528"/>
      <c r="C27" s="530"/>
      <c r="D27" s="70" t="s">
        <v>277</v>
      </c>
      <c r="E27" s="71"/>
      <c r="F27" s="682">
        <f>(SUMIF(mip!$D14:$D213,"Leermiddelen PO",mip!Y14:Y213))</f>
        <v>0</v>
      </c>
      <c r="G27" s="682">
        <f>(SUMIF(mip!$D14:$D213,"Leermiddelen PO",mip!Z14:Z213))</f>
        <v>0</v>
      </c>
      <c r="H27" s="682">
        <f>(SUMIF(mip!$D14:$D213,"Leermiddelen PO",mip!AA14:AA213))</f>
        <v>0</v>
      </c>
      <c r="I27" s="682">
        <f>(SUMIF(mip!$D14:$D213,"Leermiddelen PO",mip!AB14:AB213))</f>
        <v>0</v>
      </c>
      <c r="J27" s="682">
        <f>(SUMIF(mip!$D14:$D213,"Leermiddelen PO",mip!AC14:AC213))</f>
        <v>0</v>
      </c>
      <c r="K27" s="682">
        <f>(SUMIF(mip!$D14:$D213,"Leermiddelen PO",mip!AE14:AE213))</f>
        <v>0</v>
      </c>
      <c r="L27" s="530"/>
      <c r="M27" s="53"/>
    </row>
    <row r="28" spans="2:13" ht="12.95" customHeight="1" x14ac:dyDescent="0.2">
      <c r="B28" s="528"/>
      <c r="C28" s="530"/>
      <c r="D28" s="70" t="s">
        <v>238</v>
      </c>
      <c r="E28" s="71"/>
      <c r="F28" s="682">
        <f>(SUMIF(mip!$D14:$D213,"overige materiële vaste activa",mip!Y14:Y213))</f>
        <v>0</v>
      </c>
      <c r="G28" s="682">
        <f>(SUMIF(mip!$D14:$D213,"overige materiële vaste activa",mip!Z14:Z213))</f>
        <v>0</v>
      </c>
      <c r="H28" s="682">
        <f>(SUMIF(mip!$D14:$D213,"overige materiële vaste activa",mip!AA14:AA213))</f>
        <v>0</v>
      </c>
      <c r="I28" s="682">
        <f>(SUMIF(mip!$D14:$D213,"overige materiële vaste activa",mip!AB14:AB213))</f>
        <v>0</v>
      </c>
      <c r="J28" s="682">
        <f>(SUMIF(mip!$D14:$D213,"overige materiële vaste activa",mip!AC14:AC213))</f>
        <v>0</v>
      </c>
      <c r="K28" s="682">
        <f>(SUMIF(mip!$D14:$D213,"overige materiële vaste activa",mip!AE14:AE213))</f>
        <v>0</v>
      </c>
      <c r="L28" s="530"/>
      <c r="M28" s="53"/>
    </row>
    <row r="29" spans="2:13" ht="12.95" customHeight="1" x14ac:dyDescent="0.2">
      <c r="B29" s="528"/>
      <c r="C29" s="530"/>
      <c r="D29" s="89"/>
      <c r="E29" s="71"/>
      <c r="F29" s="788">
        <f t="shared" ref="F29:K29" si="4">SUM(F23:F28)</f>
        <v>0</v>
      </c>
      <c r="G29" s="788">
        <f t="shared" si="4"/>
        <v>0</v>
      </c>
      <c r="H29" s="788">
        <f t="shared" si="4"/>
        <v>0</v>
      </c>
      <c r="I29" s="788">
        <f t="shared" si="4"/>
        <v>0</v>
      </c>
      <c r="J29" s="788">
        <f t="shared" si="4"/>
        <v>0</v>
      </c>
      <c r="K29" s="788">
        <f t="shared" si="4"/>
        <v>0</v>
      </c>
      <c r="L29" s="530"/>
      <c r="M29" s="53"/>
    </row>
    <row r="30" spans="2:13" ht="12.95" customHeight="1" x14ac:dyDescent="0.2">
      <c r="B30" s="528"/>
      <c r="C30" s="531"/>
      <c r="D30" s="107"/>
      <c r="E30" s="77"/>
      <c r="F30" s="77"/>
      <c r="G30" s="77"/>
      <c r="H30" s="77"/>
      <c r="I30" s="77"/>
      <c r="J30" s="77"/>
      <c r="K30" s="77"/>
      <c r="L30" s="531"/>
      <c r="M30" s="53"/>
    </row>
    <row r="31" spans="2:13" ht="12.95" customHeight="1" x14ac:dyDescent="0.2">
      <c r="B31" s="49"/>
      <c r="C31" s="50"/>
      <c r="D31" s="50"/>
      <c r="E31" s="50"/>
      <c r="F31" s="50"/>
      <c r="G31" s="50"/>
      <c r="H31" s="50"/>
      <c r="I31" s="50"/>
      <c r="J31" s="50"/>
      <c r="K31" s="50"/>
      <c r="L31" s="50"/>
      <c r="M31" s="53"/>
    </row>
    <row r="32" spans="2:13" ht="12.95" customHeight="1" x14ac:dyDescent="0.2">
      <c r="B32" s="49"/>
      <c r="C32" s="66"/>
      <c r="D32" s="103"/>
      <c r="E32" s="67"/>
      <c r="F32" s="67"/>
      <c r="G32" s="67"/>
      <c r="H32" s="532"/>
      <c r="I32" s="67"/>
      <c r="J32" s="67"/>
      <c r="K32" s="67"/>
      <c r="L32" s="66"/>
      <c r="M32" s="53"/>
    </row>
    <row r="33" spans="2:13" ht="12.95" customHeight="1" x14ac:dyDescent="0.2">
      <c r="B33" s="528"/>
      <c r="C33" s="530"/>
      <c r="D33" s="692" t="s">
        <v>249</v>
      </c>
      <c r="E33" s="71"/>
      <c r="F33" s="71"/>
      <c r="G33" s="71"/>
      <c r="H33" s="71"/>
      <c r="I33" s="71"/>
      <c r="J33" s="71"/>
      <c r="K33" s="71"/>
      <c r="L33" s="530"/>
      <c r="M33" s="53"/>
    </row>
    <row r="34" spans="2:13" ht="12.95" customHeight="1" x14ac:dyDescent="0.2">
      <c r="B34" s="528"/>
      <c r="C34" s="530"/>
      <c r="D34" s="70" t="s">
        <v>236</v>
      </c>
      <c r="E34" s="71"/>
      <c r="F34" s="686">
        <f>(SUMIF(mip!$D14:$D213,"gebouwen en terreinen",mip!R14:R213))</f>
        <v>0</v>
      </c>
      <c r="G34" s="679">
        <f>(SUMIF(mip!$D14:$D213,"gebouwen en terreinen",mip!S14:S213))</f>
        <v>0</v>
      </c>
      <c r="H34" s="679">
        <f>(SUMIF(mip!$D14:$D213,"gebouwen en terreinen",mip!T14:T213))</f>
        <v>0</v>
      </c>
      <c r="I34" s="679">
        <f>(SUMIF(mip!$D14:$D213,"gebouwen en terreinen",mip!U14:U213))</f>
        <v>0</v>
      </c>
      <c r="J34" s="679">
        <f>(SUMIF(mip!$D14:$D213,"gebouwen en terreinen",mip!V14:V213))</f>
        <v>0</v>
      </c>
      <c r="K34" s="679">
        <f>(SUMIF(mip!$D14:$D213,"gebouwen en terreinen",mip!X14:X213))</f>
        <v>0</v>
      </c>
      <c r="L34" s="530"/>
      <c r="M34" s="53"/>
    </row>
    <row r="35" spans="2:13" ht="12.95" customHeight="1" x14ac:dyDescent="0.2">
      <c r="B35" s="528"/>
      <c r="C35" s="530"/>
      <c r="D35" s="70" t="s">
        <v>237</v>
      </c>
      <c r="E35" s="71"/>
      <c r="F35" s="682">
        <f>(SUMIF(mip!$D14:$D213,"inventaris en apparatuur",mip!R14:R213))</f>
        <v>0</v>
      </c>
      <c r="G35" s="679">
        <f>(SUMIF(mip!$D14:$D213,"inventaris en apparatuur",mip!S14:S213))</f>
        <v>0</v>
      </c>
      <c r="H35" s="679">
        <f>(SUMIF(mip!$D14:$D213,"inventaris en apparatuur",mip!T14:T213))</f>
        <v>0</v>
      </c>
      <c r="I35" s="679">
        <f>(SUMIF(mip!$D14:$D213,"inventaris en apparatuur",mip!U14:U213))</f>
        <v>0</v>
      </c>
      <c r="J35" s="679">
        <f>(SUMIF(mip!$D14:$D213,"inventaris en apparatuur",mip!V14:V213))</f>
        <v>0</v>
      </c>
      <c r="K35" s="679">
        <f>(SUMIF(mip!$D14:$D213,"inventaris en apparatuur",mip!X14:X213))</f>
        <v>0</v>
      </c>
      <c r="L35" s="530"/>
      <c r="M35" s="53"/>
    </row>
    <row r="36" spans="2:13" ht="12.95" customHeight="1" x14ac:dyDescent="0.2">
      <c r="B36" s="528"/>
      <c r="C36" s="530"/>
      <c r="D36" s="161" t="s">
        <v>41</v>
      </c>
      <c r="E36" s="71"/>
      <c r="F36" s="682">
        <f>(SUMIF(mip!$D14:$D213,"meubilair",mip!R14:R213))</f>
        <v>0</v>
      </c>
      <c r="G36" s="679">
        <f>(SUMIF(mip!$D14:$D213,"meubilair",mip!S14:S213))</f>
        <v>0</v>
      </c>
      <c r="H36" s="679">
        <f>(SUMIF(mip!$D14:$D213,"meubilair",mip!T14:T213))</f>
        <v>0</v>
      </c>
      <c r="I36" s="679">
        <f>(SUMIF(mip!$D14:$D213,"meubilair",mip!U14:U213))</f>
        <v>0</v>
      </c>
      <c r="J36" s="679">
        <f>(SUMIF(mip!$D14:$D213,"meubilair",mip!V14:V213))</f>
        <v>0</v>
      </c>
      <c r="K36" s="679">
        <f>(SUMIF(mip!$D14:$D213,"meubilair",mip!W14:W213))</f>
        <v>0</v>
      </c>
      <c r="L36" s="530"/>
      <c r="M36" s="53"/>
    </row>
    <row r="37" spans="2:13" ht="12.95" customHeight="1" x14ac:dyDescent="0.2">
      <c r="B37" s="528"/>
      <c r="C37" s="530"/>
      <c r="D37" s="161" t="s">
        <v>42</v>
      </c>
      <c r="E37" s="71"/>
      <c r="F37" s="682">
        <f>(SUMIF(mip!$D14:$D213,"ICT",mip!R14:R213))</f>
        <v>0</v>
      </c>
      <c r="G37" s="679">
        <f>(SUMIF(mip!$D14:$D213,"ICT",mip!S14:S213))</f>
        <v>0</v>
      </c>
      <c r="H37" s="679">
        <f>(SUMIF(mip!$D14:$D213,"ICT",mip!T14:T213))</f>
        <v>0</v>
      </c>
      <c r="I37" s="679">
        <f>(SUMIF(mip!$D14:$D213,"ICT",mip!U14:U213))</f>
        <v>0</v>
      </c>
      <c r="J37" s="679">
        <f>(SUMIF(mip!$D14:$D213,"ICT",mip!V14:V213))</f>
        <v>0</v>
      </c>
      <c r="K37" s="679">
        <f>(SUMIF(mip!$D14:$D213,"ICT",mip!X14:X213))</f>
        <v>0</v>
      </c>
      <c r="L37" s="530"/>
      <c r="M37" s="53"/>
    </row>
    <row r="38" spans="2:13" ht="12.95" customHeight="1" x14ac:dyDescent="0.2">
      <c r="B38" s="528"/>
      <c r="C38" s="530"/>
      <c r="D38" s="70" t="s">
        <v>277</v>
      </c>
      <c r="E38" s="71"/>
      <c r="F38" s="682">
        <f>(SUMIF(mip!$D14:$D213,"Leermiddelen PO",mip!R14:R213))</f>
        <v>0</v>
      </c>
      <c r="G38" s="679">
        <f>(SUMIF(mip!$D14:$D213,"Leermiddelen PO",mip!S14:S213))</f>
        <v>0</v>
      </c>
      <c r="H38" s="679">
        <f>(SUMIF(mip!$D14:$D213,"Leermiddelen PO",mip!T14:T213))</f>
        <v>0</v>
      </c>
      <c r="I38" s="679">
        <f>(SUMIF(mip!$D14:$D213,"Leermiddelen PO",mip!U14:U213))</f>
        <v>0</v>
      </c>
      <c r="J38" s="679">
        <f>(SUMIF(mip!$D14:$D213,"Leermiddelen PO",mip!V14:V213))</f>
        <v>0</v>
      </c>
      <c r="K38" s="679">
        <f>(SUMIF(mip!$D14:$D213,"Leermiddelen PO",mip!X14:X213))</f>
        <v>0</v>
      </c>
      <c r="L38" s="530"/>
      <c r="M38" s="53"/>
    </row>
    <row r="39" spans="2:13" ht="12.95" customHeight="1" x14ac:dyDescent="0.2">
      <c r="B39" s="528"/>
      <c r="C39" s="530"/>
      <c r="D39" s="70" t="s">
        <v>238</v>
      </c>
      <c r="E39" s="71"/>
      <c r="F39" s="682">
        <f>(SUMIF(mip!$D14:$D213,"overige materiële vaste activa",mip!R14:R213))</f>
        <v>0</v>
      </c>
      <c r="G39" s="679">
        <f>(SUMIF(mip!$D14:$D213,"overige materiële vaste activa",mip!S14:S213))</f>
        <v>0</v>
      </c>
      <c r="H39" s="679">
        <f>(SUMIF(mip!$D14:$D213,"overige materiële vaste activa",mip!T14:T213))</f>
        <v>0</v>
      </c>
      <c r="I39" s="679">
        <f>(SUMIF(mip!$D14:$D213,"overige materiële vaste activa",mip!U14:U213))</f>
        <v>0</v>
      </c>
      <c r="J39" s="679">
        <f>(SUMIF(mip!$D14:$D213,"overige materiële vaste activa",mip!V14:V213))</f>
        <v>0</v>
      </c>
      <c r="K39" s="679">
        <f>(SUMIF(mip!$D14:$D213,"overige materiële vaste activa",mip!X14:X213))</f>
        <v>0</v>
      </c>
      <c r="L39" s="530"/>
      <c r="M39" s="53"/>
    </row>
    <row r="40" spans="2:13" ht="12.95" customHeight="1" x14ac:dyDescent="0.2">
      <c r="B40" s="488"/>
      <c r="C40" s="533"/>
      <c r="D40" s="534"/>
      <c r="E40" s="153"/>
      <c r="F40" s="719">
        <f t="shared" ref="F40:K40" si="5">SUM(F34:F39)</f>
        <v>0</v>
      </c>
      <c r="G40" s="719">
        <f t="shared" si="5"/>
        <v>0</v>
      </c>
      <c r="H40" s="719">
        <f t="shared" si="5"/>
        <v>0</v>
      </c>
      <c r="I40" s="719">
        <f t="shared" si="5"/>
        <v>0</v>
      </c>
      <c r="J40" s="719">
        <f t="shared" si="5"/>
        <v>0</v>
      </c>
      <c r="K40" s="719">
        <f t="shared" si="5"/>
        <v>0</v>
      </c>
      <c r="L40" s="533"/>
      <c r="M40" s="97"/>
    </row>
    <row r="41" spans="2:13" ht="12.95" hidden="1" customHeight="1" x14ac:dyDescent="0.2">
      <c r="B41" s="528"/>
      <c r="C41" s="530"/>
      <c r="D41" s="692" t="s">
        <v>465</v>
      </c>
      <c r="E41" s="71"/>
      <c r="F41" s="71"/>
      <c r="G41" s="71"/>
      <c r="H41" s="71"/>
      <c r="I41" s="71"/>
      <c r="J41" s="71"/>
      <c r="K41" s="71"/>
      <c r="L41" s="530"/>
      <c r="M41" s="53"/>
    </row>
    <row r="42" spans="2:13" ht="12.95" hidden="1" customHeight="1" x14ac:dyDescent="0.2">
      <c r="B42" s="528"/>
      <c r="C42" s="530"/>
      <c r="D42" s="70" t="s">
        <v>236</v>
      </c>
      <c r="E42" s="71"/>
      <c r="F42" s="165">
        <v>0</v>
      </c>
      <c r="G42" s="495">
        <v>0</v>
      </c>
      <c r="H42" s="495">
        <v>0</v>
      </c>
      <c r="I42" s="495">
        <v>0</v>
      </c>
      <c r="J42" s="495">
        <v>0</v>
      </c>
      <c r="K42" s="495">
        <v>0</v>
      </c>
      <c r="L42" s="530"/>
      <c r="M42" s="53"/>
    </row>
    <row r="43" spans="2:13" ht="12.95" hidden="1" customHeight="1" x14ac:dyDescent="0.2">
      <c r="B43" s="528"/>
      <c r="C43" s="530"/>
      <c r="D43" s="70" t="s">
        <v>237</v>
      </c>
      <c r="E43" s="71"/>
      <c r="F43" s="163">
        <v>0</v>
      </c>
      <c r="G43" s="495">
        <v>0</v>
      </c>
      <c r="H43" s="495">
        <v>0</v>
      </c>
      <c r="I43" s="495">
        <v>0</v>
      </c>
      <c r="J43" s="495">
        <v>0</v>
      </c>
      <c r="K43" s="495">
        <v>0</v>
      </c>
      <c r="L43" s="530"/>
      <c r="M43" s="53"/>
    </row>
    <row r="44" spans="2:13" ht="12.95" hidden="1" customHeight="1" x14ac:dyDescent="0.2">
      <c r="B44" s="528"/>
      <c r="C44" s="530"/>
      <c r="D44" s="161" t="s">
        <v>41</v>
      </c>
      <c r="E44" s="71"/>
      <c r="F44" s="163">
        <v>0</v>
      </c>
      <c r="G44" s="495">
        <v>0</v>
      </c>
      <c r="H44" s="495">
        <v>0</v>
      </c>
      <c r="I44" s="495">
        <v>0</v>
      </c>
      <c r="J44" s="495">
        <v>0</v>
      </c>
      <c r="K44" s="495">
        <v>0</v>
      </c>
      <c r="L44" s="530"/>
      <c r="M44" s="53"/>
    </row>
    <row r="45" spans="2:13" ht="12.95" hidden="1" customHeight="1" x14ac:dyDescent="0.2">
      <c r="B45" s="528"/>
      <c r="C45" s="530"/>
      <c r="D45" s="161" t="s">
        <v>42</v>
      </c>
      <c r="E45" s="71"/>
      <c r="F45" s="163">
        <v>0</v>
      </c>
      <c r="G45" s="495">
        <v>0</v>
      </c>
      <c r="H45" s="495">
        <v>0</v>
      </c>
      <c r="I45" s="495">
        <v>0</v>
      </c>
      <c r="J45" s="495">
        <v>0</v>
      </c>
      <c r="K45" s="495">
        <v>0</v>
      </c>
      <c r="L45" s="530"/>
      <c r="M45" s="53"/>
    </row>
    <row r="46" spans="2:13" ht="12.95" hidden="1" customHeight="1" x14ac:dyDescent="0.2">
      <c r="B46" s="528"/>
      <c r="C46" s="530"/>
      <c r="D46" s="70" t="s">
        <v>277</v>
      </c>
      <c r="E46" s="71"/>
      <c r="F46" s="163">
        <v>0</v>
      </c>
      <c r="G46" s="495">
        <v>0</v>
      </c>
      <c r="H46" s="495">
        <v>0</v>
      </c>
      <c r="I46" s="495">
        <v>0</v>
      </c>
      <c r="J46" s="495">
        <v>0</v>
      </c>
      <c r="K46" s="495">
        <v>0</v>
      </c>
      <c r="L46" s="530"/>
      <c r="M46" s="53"/>
    </row>
    <row r="47" spans="2:13" ht="12.95" hidden="1" customHeight="1" x14ac:dyDescent="0.2">
      <c r="B47" s="528"/>
      <c r="C47" s="530"/>
      <c r="D47" s="70" t="s">
        <v>238</v>
      </c>
      <c r="E47" s="71"/>
      <c r="F47" s="163">
        <v>0</v>
      </c>
      <c r="G47" s="495">
        <v>0</v>
      </c>
      <c r="H47" s="495">
        <v>0</v>
      </c>
      <c r="I47" s="495">
        <v>0</v>
      </c>
      <c r="J47" s="495">
        <v>0</v>
      </c>
      <c r="K47" s="495">
        <v>0</v>
      </c>
      <c r="L47" s="530"/>
      <c r="M47" s="53"/>
    </row>
    <row r="48" spans="2:13" ht="12.95" hidden="1" customHeight="1" x14ac:dyDescent="0.2">
      <c r="B48" s="488"/>
      <c r="C48" s="533"/>
      <c r="D48" s="534"/>
      <c r="E48" s="153"/>
      <c r="F48" s="789">
        <f t="shared" ref="F48:K48" si="6">SUM(F42:F47)</f>
        <v>0</v>
      </c>
      <c r="G48" s="789">
        <f t="shared" si="6"/>
        <v>0</v>
      </c>
      <c r="H48" s="789">
        <f t="shared" si="6"/>
        <v>0</v>
      </c>
      <c r="I48" s="789">
        <f t="shared" si="6"/>
        <v>0</v>
      </c>
      <c r="J48" s="789">
        <f t="shared" si="6"/>
        <v>0</v>
      </c>
      <c r="K48" s="789">
        <f t="shared" si="6"/>
        <v>0</v>
      </c>
      <c r="L48" s="533"/>
      <c r="M48" s="97"/>
    </row>
    <row r="49" spans="2:13" ht="12.95" hidden="1" customHeight="1" x14ac:dyDescent="0.2">
      <c r="B49" s="49"/>
      <c r="C49" s="69"/>
      <c r="D49" s="71"/>
      <c r="E49" s="71"/>
      <c r="F49" s="71"/>
      <c r="G49" s="71"/>
      <c r="H49" s="149"/>
      <c r="I49" s="71"/>
      <c r="J49" s="71"/>
      <c r="K49" s="71"/>
      <c r="L49" s="69"/>
      <c r="M49" s="53"/>
    </row>
    <row r="50" spans="2:13" s="134" customFormat="1" ht="12.95" hidden="1" customHeight="1" x14ac:dyDescent="0.2">
      <c r="B50" s="116"/>
      <c r="C50" s="121"/>
      <c r="D50" s="96" t="s">
        <v>163</v>
      </c>
      <c r="E50" s="96"/>
      <c r="F50" s="786">
        <f t="shared" ref="F50:K50" si="7">F40+F48</f>
        <v>0</v>
      </c>
      <c r="G50" s="786">
        <f t="shared" si="7"/>
        <v>0</v>
      </c>
      <c r="H50" s="786">
        <f t="shared" si="7"/>
        <v>0</v>
      </c>
      <c r="I50" s="786">
        <f t="shared" si="7"/>
        <v>0</v>
      </c>
      <c r="J50" s="786">
        <f t="shared" si="7"/>
        <v>0</v>
      </c>
      <c r="K50" s="786">
        <f t="shared" si="7"/>
        <v>0</v>
      </c>
      <c r="L50" s="121"/>
      <c r="M50" s="122"/>
    </row>
    <row r="51" spans="2:13" ht="12.95" customHeight="1" x14ac:dyDescent="0.2">
      <c r="B51" s="49"/>
      <c r="C51" s="76"/>
      <c r="D51" s="77"/>
      <c r="E51" s="77"/>
      <c r="F51" s="77"/>
      <c r="G51" s="77"/>
      <c r="H51" s="306"/>
      <c r="I51" s="77"/>
      <c r="J51" s="77"/>
      <c r="K51" s="77"/>
      <c r="L51" s="76"/>
      <c r="M51" s="53"/>
    </row>
    <row r="52" spans="2:13" ht="12.95" customHeight="1" x14ac:dyDescent="0.2">
      <c r="B52" s="49"/>
      <c r="C52" s="50"/>
      <c r="D52" s="50"/>
      <c r="E52" s="50"/>
      <c r="F52" s="50"/>
      <c r="G52" s="50"/>
      <c r="H52" s="50"/>
      <c r="I52" s="50"/>
      <c r="J52" s="50"/>
      <c r="K52" s="50"/>
      <c r="L52" s="50"/>
      <c r="M52" s="53"/>
    </row>
    <row r="53" spans="2:13" ht="12.95" customHeight="1" x14ac:dyDescent="0.2">
      <c r="B53" s="528"/>
      <c r="C53" s="529"/>
      <c r="D53" s="174"/>
      <c r="E53" s="67"/>
      <c r="F53" s="67"/>
      <c r="G53" s="67"/>
      <c r="H53" s="67"/>
      <c r="I53" s="67"/>
      <c r="J53" s="67"/>
      <c r="K53" s="67"/>
      <c r="L53" s="529"/>
      <c r="M53" s="53"/>
    </row>
    <row r="54" spans="2:13" ht="12.95" customHeight="1" x14ac:dyDescent="0.2">
      <c r="B54" s="528"/>
      <c r="C54" s="530"/>
      <c r="D54" s="692" t="s">
        <v>280</v>
      </c>
      <c r="E54" s="71"/>
      <c r="F54" s="71"/>
      <c r="G54" s="71"/>
      <c r="H54" s="71"/>
      <c r="I54" s="71"/>
      <c r="J54" s="71"/>
      <c r="K54" s="71"/>
      <c r="L54" s="530"/>
      <c r="M54" s="53"/>
    </row>
    <row r="55" spans="2:13" ht="12.95" customHeight="1" x14ac:dyDescent="0.2">
      <c r="B55" s="528"/>
      <c r="C55" s="530"/>
      <c r="D55" s="70" t="s">
        <v>236</v>
      </c>
      <c r="E55" s="71"/>
      <c r="F55" s="679">
        <f t="shared" ref="F55:J60" si="8">F12+F23-F34-F42</f>
        <v>0</v>
      </c>
      <c r="G55" s="679">
        <f t="shared" si="8"/>
        <v>0</v>
      </c>
      <c r="H55" s="679">
        <f t="shared" si="8"/>
        <v>0</v>
      </c>
      <c r="I55" s="679">
        <f t="shared" si="8"/>
        <v>0</v>
      </c>
      <c r="J55" s="679">
        <f t="shared" si="8"/>
        <v>0</v>
      </c>
      <c r="K55" s="679">
        <f t="shared" ref="K55:K60" si="9">K12+K23-K34-K42</f>
        <v>0</v>
      </c>
      <c r="L55" s="530"/>
      <c r="M55" s="53"/>
    </row>
    <row r="56" spans="2:13" ht="12.95" customHeight="1" x14ac:dyDescent="0.2">
      <c r="B56" s="528"/>
      <c r="C56" s="530"/>
      <c r="D56" s="70" t="s">
        <v>237</v>
      </c>
      <c r="E56" s="71"/>
      <c r="F56" s="679">
        <f t="shared" si="8"/>
        <v>0</v>
      </c>
      <c r="G56" s="679">
        <f t="shared" si="8"/>
        <v>0</v>
      </c>
      <c r="H56" s="679">
        <f t="shared" si="8"/>
        <v>0</v>
      </c>
      <c r="I56" s="679">
        <f t="shared" si="8"/>
        <v>0</v>
      </c>
      <c r="J56" s="679">
        <f t="shared" si="8"/>
        <v>0</v>
      </c>
      <c r="K56" s="679">
        <f t="shared" si="9"/>
        <v>0</v>
      </c>
      <c r="L56" s="530"/>
      <c r="M56" s="53"/>
    </row>
    <row r="57" spans="2:13" ht="12.95" customHeight="1" x14ac:dyDescent="0.2">
      <c r="B57" s="528"/>
      <c r="C57" s="530"/>
      <c r="D57" s="161" t="s">
        <v>41</v>
      </c>
      <c r="E57" s="71"/>
      <c r="F57" s="679">
        <f t="shared" si="8"/>
        <v>0</v>
      </c>
      <c r="G57" s="679">
        <f t="shared" si="8"/>
        <v>0</v>
      </c>
      <c r="H57" s="679">
        <f t="shared" si="8"/>
        <v>0</v>
      </c>
      <c r="I57" s="679">
        <f t="shared" si="8"/>
        <v>0</v>
      </c>
      <c r="J57" s="679">
        <f t="shared" si="8"/>
        <v>0</v>
      </c>
      <c r="K57" s="679">
        <f t="shared" si="9"/>
        <v>0</v>
      </c>
      <c r="L57" s="530"/>
      <c r="M57" s="53"/>
    </row>
    <row r="58" spans="2:13" ht="12.95" customHeight="1" x14ac:dyDescent="0.2">
      <c r="B58" s="528"/>
      <c r="C58" s="530"/>
      <c r="D58" s="161" t="s">
        <v>42</v>
      </c>
      <c r="E58" s="71"/>
      <c r="F58" s="679">
        <f t="shared" si="8"/>
        <v>0</v>
      </c>
      <c r="G58" s="679">
        <f t="shared" si="8"/>
        <v>0</v>
      </c>
      <c r="H58" s="679">
        <f t="shared" si="8"/>
        <v>0</v>
      </c>
      <c r="I58" s="679">
        <f t="shared" si="8"/>
        <v>0</v>
      </c>
      <c r="J58" s="679">
        <f t="shared" si="8"/>
        <v>0</v>
      </c>
      <c r="K58" s="679">
        <f t="shared" si="9"/>
        <v>0</v>
      </c>
      <c r="L58" s="530"/>
      <c r="M58" s="53"/>
    </row>
    <row r="59" spans="2:13" ht="12.95" customHeight="1" x14ac:dyDescent="0.2">
      <c r="B59" s="528"/>
      <c r="C59" s="530"/>
      <c r="D59" s="70" t="s">
        <v>277</v>
      </c>
      <c r="E59" s="71"/>
      <c r="F59" s="679">
        <f t="shared" si="8"/>
        <v>0</v>
      </c>
      <c r="G59" s="679">
        <f t="shared" si="8"/>
        <v>0</v>
      </c>
      <c r="H59" s="679">
        <f t="shared" si="8"/>
        <v>0</v>
      </c>
      <c r="I59" s="679">
        <f t="shared" si="8"/>
        <v>0</v>
      </c>
      <c r="J59" s="679">
        <f t="shared" si="8"/>
        <v>0</v>
      </c>
      <c r="K59" s="679">
        <f t="shared" si="9"/>
        <v>0</v>
      </c>
      <c r="L59" s="530"/>
      <c r="M59" s="53"/>
    </row>
    <row r="60" spans="2:13" ht="12.95" customHeight="1" x14ac:dyDescent="0.2">
      <c r="B60" s="528"/>
      <c r="C60" s="530"/>
      <c r="D60" s="70" t="s">
        <v>238</v>
      </c>
      <c r="E60" s="71"/>
      <c r="F60" s="679">
        <f t="shared" si="8"/>
        <v>0</v>
      </c>
      <c r="G60" s="679">
        <f t="shared" si="8"/>
        <v>0</v>
      </c>
      <c r="H60" s="679">
        <f t="shared" si="8"/>
        <v>0</v>
      </c>
      <c r="I60" s="679">
        <f t="shared" si="8"/>
        <v>0</v>
      </c>
      <c r="J60" s="679">
        <f t="shared" si="8"/>
        <v>0</v>
      </c>
      <c r="K60" s="679">
        <f t="shared" si="9"/>
        <v>0</v>
      </c>
      <c r="L60" s="530"/>
      <c r="M60" s="53"/>
    </row>
    <row r="61" spans="2:13" ht="12.95" customHeight="1" x14ac:dyDescent="0.2">
      <c r="B61" s="535"/>
      <c r="C61" s="536"/>
      <c r="D61" s="89"/>
      <c r="E61" s="96"/>
      <c r="F61" s="787">
        <f t="shared" ref="F61:K61" si="10">SUM(F55:F60)</f>
        <v>0</v>
      </c>
      <c r="G61" s="787">
        <f t="shared" si="10"/>
        <v>0</v>
      </c>
      <c r="H61" s="787">
        <f t="shared" si="10"/>
        <v>0</v>
      </c>
      <c r="I61" s="787">
        <f t="shared" si="10"/>
        <v>0</v>
      </c>
      <c r="J61" s="787">
        <f t="shared" si="10"/>
        <v>0</v>
      </c>
      <c r="K61" s="787">
        <f t="shared" si="10"/>
        <v>0</v>
      </c>
      <c r="L61" s="536"/>
      <c r="M61" s="122"/>
    </row>
    <row r="62" spans="2:13" ht="12.95" customHeight="1" x14ac:dyDescent="0.2">
      <c r="B62" s="49"/>
      <c r="C62" s="76"/>
      <c r="D62" s="77"/>
      <c r="E62" s="77"/>
      <c r="F62" s="77"/>
      <c r="G62" s="77"/>
      <c r="H62" s="77"/>
      <c r="I62" s="77"/>
      <c r="J62" s="77"/>
      <c r="K62" s="77"/>
      <c r="L62" s="76"/>
      <c r="M62" s="53"/>
    </row>
    <row r="63" spans="2:13" ht="12.95" customHeight="1" x14ac:dyDescent="0.2">
      <c r="B63" s="49"/>
      <c r="C63" s="50"/>
      <c r="D63" s="50"/>
      <c r="E63" s="50"/>
      <c r="F63" s="50"/>
      <c r="G63" s="50"/>
      <c r="H63" s="50"/>
      <c r="I63" s="50"/>
      <c r="J63" s="50"/>
      <c r="K63" s="50"/>
      <c r="L63" s="50"/>
      <c r="M63" s="53"/>
    </row>
    <row r="64" spans="2:13" ht="12.95" customHeight="1" x14ac:dyDescent="0.2">
      <c r="B64" s="124"/>
      <c r="C64" s="125"/>
      <c r="D64" s="125"/>
      <c r="E64" s="125"/>
      <c r="F64" s="125"/>
      <c r="G64" s="125"/>
      <c r="H64" s="125"/>
      <c r="I64" s="125"/>
      <c r="J64" s="125"/>
      <c r="K64" s="125"/>
      <c r="L64" s="125"/>
      <c r="M64" s="126"/>
    </row>
    <row r="65" ht="12.6" customHeight="1" x14ac:dyDescent="0.2"/>
    <row r="66" ht="12.6" customHeight="1" x14ac:dyDescent="0.2"/>
  </sheetData>
  <sheetProtection algorithmName="SHA-512" hashValue="HfM49IGy/fbwuKvRsNbezdTltFtxgMr2s05Wf6ZhP9kx8bR544fJIEte5mQvQcsnyyhFrMZ1klUaR5xrD3YHbw==" saltValue="JRHppboClcnE5grCL13vNQ==" spinCount="100000" sheet="1" objects="1" scenarios="1"/>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dimension ref="B1:W122"/>
  <sheetViews>
    <sheetView showGridLines="0" zoomScale="85" zoomScaleNormal="85" zoomScaleSheetLayoutView="75" workbookViewId="0">
      <selection activeCell="B2" sqref="B2"/>
    </sheetView>
  </sheetViews>
  <sheetFormatPr defaultColWidth="9.140625" defaultRowHeight="12.75" x14ac:dyDescent="0.2"/>
  <cols>
    <col min="1" max="1" width="3.7109375" style="48" customWidth="1"/>
    <col min="2" max="3" width="2.7109375" style="48" customWidth="1"/>
    <col min="4" max="4" width="36.28515625" style="48" customWidth="1"/>
    <col min="5" max="5" width="0.85546875" style="48" customWidth="1"/>
    <col min="6" max="6" width="35.85546875" style="48" customWidth="1"/>
    <col min="7" max="7" width="0.85546875" style="48" customWidth="1"/>
    <col min="8" max="8" width="30.85546875" style="48" customWidth="1"/>
    <col min="9" max="11" width="8.7109375" style="48" customWidth="1"/>
    <col min="12" max="12" width="10.7109375" style="288" customWidth="1"/>
    <col min="13" max="13" width="0.85546875" style="48" customWidth="1"/>
    <col min="14" max="14" width="31.140625" style="48" customWidth="1"/>
    <col min="15" max="15" width="10.7109375" style="646" customWidth="1"/>
    <col min="16" max="16" width="0.85546875" style="48" customWidth="1"/>
    <col min="17" max="17" width="31" style="48" customWidth="1"/>
    <col min="18" max="18" width="10.7109375" style="48" customWidth="1"/>
    <col min="19" max="19" width="2.7109375" style="48" customWidth="1"/>
    <col min="20" max="20" width="10.7109375" style="48" customWidth="1"/>
    <col min="21" max="22" width="2.7109375" style="48" customWidth="1"/>
    <col min="23" max="23" width="15.42578125" style="48" customWidth="1"/>
    <col min="24" max="25" width="5.7109375" style="48" customWidth="1"/>
    <col min="26" max="16384" width="9.140625" style="48"/>
  </cols>
  <sheetData>
    <row r="1" spans="2:23" ht="12.75" customHeight="1" x14ac:dyDescent="0.2"/>
    <row r="2" spans="2:23" x14ac:dyDescent="0.2">
      <c r="B2" s="43"/>
      <c r="C2" s="44"/>
      <c r="D2" s="44"/>
      <c r="E2" s="44"/>
      <c r="F2" s="44"/>
      <c r="G2" s="44"/>
      <c r="H2" s="44"/>
      <c r="I2" s="44"/>
      <c r="J2" s="44"/>
      <c r="K2" s="44"/>
      <c r="L2" s="349"/>
      <c r="M2" s="44"/>
      <c r="N2" s="44"/>
      <c r="O2" s="647"/>
      <c r="P2" s="44"/>
      <c r="Q2" s="44"/>
      <c r="R2" s="44"/>
      <c r="S2" s="44"/>
      <c r="T2" s="44"/>
      <c r="U2" s="44"/>
      <c r="V2" s="47"/>
    </row>
    <row r="3" spans="2:23" x14ac:dyDescent="0.2">
      <c r="B3" s="49"/>
      <c r="C3" s="50"/>
      <c r="D3" s="50"/>
      <c r="E3" s="50"/>
      <c r="F3" s="50"/>
      <c r="G3" s="50"/>
      <c r="H3" s="50"/>
      <c r="I3" s="50"/>
      <c r="J3" s="50"/>
      <c r="K3" s="50"/>
      <c r="L3" s="352"/>
      <c r="M3" s="50"/>
      <c r="N3" s="50"/>
      <c r="O3" s="648"/>
      <c r="P3" s="50"/>
      <c r="Q3" s="50"/>
      <c r="R3" s="50"/>
      <c r="S3" s="50"/>
      <c r="T3" s="50"/>
      <c r="U3" s="50"/>
      <c r="V3" s="53"/>
    </row>
    <row r="4" spans="2:23" s="81" customFormat="1" ht="18.75" x14ac:dyDescent="0.3">
      <c r="B4" s="55"/>
      <c r="C4" s="673" t="s">
        <v>548</v>
      </c>
      <c r="D4" s="56"/>
      <c r="E4" s="57"/>
      <c r="F4" s="537"/>
      <c r="G4" s="57"/>
      <c r="H4" s="57"/>
      <c r="I4" s="57"/>
      <c r="J4" s="57"/>
      <c r="K4" s="57"/>
      <c r="L4" s="656"/>
      <c r="M4" s="57"/>
      <c r="N4" s="57"/>
      <c r="O4" s="649"/>
      <c r="P4" s="57"/>
      <c r="Q4" s="57"/>
      <c r="R4" s="57"/>
      <c r="S4" s="57"/>
      <c r="T4" s="57"/>
      <c r="U4" s="57"/>
      <c r="V4" s="58"/>
    </row>
    <row r="5" spans="2:23" ht="18.75" x14ac:dyDescent="0.3">
      <c r="B5" s="483"/>
      <c r="C5" s="61" t="str">
        <f>geg!G12</f>
        <v>voorbeeld Basisschool</v>
      </c>
      <c r="D5" s="487"/>
      <c r="E5" s="50"/>
      <c r="F5" s="538"/>
      <c r="G5" s="50"/>
      <c r="H5" s="50"/>
      <c r="I5" s="50"/>
      <c r="J5" s="50"/>
      <c r="K5" s="50"/>
      <c r="L5" s="352"/>
      <c r="M5" s="50"/>
      <c r="N5" s="50"/>
      <c r="O5" s="648"/>
      <c r="P5" s="50"/>
      <c r="Q5" s="50"/>
      <c r="R5" s="50"/>
      <c r="S5" s="50"/>
      <c r="T5" s="50"/>
      <c r="U5" s="50"/>
      <c r="V5" s="53"/>
    </row>
    <row r="6" spans="2:23" x14ac:dyDescent="0.2">
      <c r="B6" s="49"/>
      <c r="C6" s="50"/>
      <c r="D6" s="50"/>
      <c r="E6" s="50"/>
      <c r="F6" s="50"/>
      <c r="G6" s="50"/>
      <c r="H6" s="50"/>
      <c r="I6" s="50"/>
      <c r="J6" s="50"/>
      <c r="K6" s="50"/>
      <c r="L6" s="352"/>
      <c r="M6" s="50"/>
      <c r="N6" s="50"/>
      <c r="O6" s="648"/>
      <c r="P6" s="50"/>
      <c r="Q6" s="50"/>
      <c r="R6" s="50"/>
      <c r="S6" s="50"/>
      <c r="T6" s="50"/>
      <c r="U6" s="50"/>
      <c r="V6" s="53"/>
    </row>
    <row r="7" spans="2:23" x14ac:dyDescent="0.2">
      <c r="B7" s="49"/>
      <c r="C7" s="50"/>
      <c r="D7" s="50"/>
      <c r="E7" s="50"/>
      <c r="F7" s="50"/>
      <c r="G7" s="50"/>
      <c r="H7" s="50"/>
      <c r="I7" s="50"/>
      <c r="J7" s="50"/>
      <c r="K7" s="50"/>
      <c r="L7" s="352"/>
      <c r="M7" s="50"/>
      <c r="N7" s="50"/>
      <c r="O7" s="648"/>
      <c r="P7" s="50"/>
      <c r="Q7" s="50"/>
      <c r="R7" s="50"/>
      <c r="S7" s="50"/>
      <c r="T7" s="50"/>
      <c r="U7" s="50"/>
      <c r="V7" s="53"/>
    </row>
    <row r="8" spans="2:23" x14ac:dyDescent="0.2">
      <c r="B8" s="49"/>
      <c r="C8" s="50"/>
      <c r="D8" s="50"/>
      <c r="E8" s="541"/>
      <c r="F8" s="50"/>
      <c r="G8" s="541"/>
      <c r="H8" s="50"/>
      <c r="I8" s="50"/>
      <c r="J8" s="50"/>
      <c r="K8" s="50"/>
      <c r="L8" s="352"/>
      <c r="M8" s="541"/>
      <c r="N8" s="50"/>
      <c r="O8" s="648"/>
      <c r="P8" s="541"/>
      <c r="Q8" s="50"/>
      <c r="R8" s="50"/>
      <c r="S8" s="541"/>
      <c r="T8" s="50"/>
      <c r="U8" s="541"/>
      <c r="V8" s="542"/>
      <c r="W8" s="543"/>
    </row>
    <row r="9" spans="2:23" x14ac:dyDescent="0.2">
      <c r="B9" s="49"/>
      <c r="C9" s="66"/>
      <c r="D9" s="67"/>
      <c r="E9" s="545"/>
      <c r="F9" s="67"/>
      <c r="G9" s="545"/>
      <c r="H9" s="67"/>
      <c r="I9" s="67"/>
      <c r="J9" s="67"/>
      <c r="K9" s="67"/>
      <c r="L9" s="433"/>
      <c r="M9" s="545"/>
      <c r="N9" s="67"/>
      <c r="O9" s="650"/>
      <c r="P9" s="545"/>
      <c r="Q9" s="119"/>
      <c r="R9" s="67"/>
      <c r="S9" s="545"/>
      <c r="T9" s="119"/>
      <c r="U9" s="545"/>
      <c r="V9" s="542"/>
      <c r="W9" s="543"/>
    </row>
    <row r="10" spans="2:23" s="710" customFormat="1" x14ac:dyDescent="0.2">
      <c r="B10" s="1044"/>
      <c r="C10" s="757"/>
      <c r="D10" s="144" t="s">
        <v>424</v>
      </c>
      <c r="E10" s="1026"/>
      <c r="G10" s="1027"/>
      <c r="H10" s="1028" t="s">
        <v>448</v>
      </c>
      <c r="I10" s="713"/>
      <c r="J10" s="764"/>
      <c r="K10" s="764"/>
      <c r="L10" s="1029"/>
      <c r="M10" s="1030"/>
      <c r="N10" s="1031" t="s">
        <v>447</v>
      </c>
      <c r="O10" s="1032"/>
      <c r="P10" s="1030"/>
      <c r="Q10" s="1033" t="s">
        <v>429</v>
      </c>
      <c r="S10" s="1030"/>
      <c r="T10" s="1034" t="s">
        <v>446</v>
      </c>
      <c r="U10" s="1026"/>
      <c r="V10" s="1046"/>
      <c r="W10" s="1027"/>
    </row>
    <row r="11" spans="2:23" s="710" customFormat="1" x14ac:dyDescent="0.2">
      <c r="B11" s="1044"/>
      <c r="C11" s="757"/>
      <c r="D11" s="1035" t="s">
        <v>425</v>
      </c>
      <c r="E11" s="1026"/>
      <c r="F11" s="767" t="s">
        <v>426</v>
      </c>
      <c r="G11" s="1027"/>
      <c r="H11" s="767" t="s">
        <v>428</v>
      </c>
      <c r="I11" s="732" t="s">
        <v>201</v>
      </c>
      <c r="J11" s="732" t="s">
        <v>229</v>
      </c>
      <c r="K11" s="706" t="s">
        <v>122</v>
      </c>
      <c r="L11" s="1036" t="s">
        <v>228</v>
      </c>
      <c r="M11" s="1037"/>
      <c r="N11" s="767" t="s">
        <v>428</v>
      </c>
      <c r="O11" s="1038" t="s">
        <v>228</v>
      </c>
      <c r="P11" s="1037"/>
      <c r="Q11" s="767" t="s">
        <v>428</v>
      </c>
      <c r="R11" s="706" t="s">
        <v>228</v>
      </c>
      <c r="S11" s="1037"/>
      <c r="T11" s="706"/>
      <c r="U11" s="1026"/>
      <c r="V11" s="1046"/>
      <c r="W11" s="1027"/>
    </row>
    <row r="12" spans="2:23" x14ac:dyDescent="0.2">
      <c r="B12" s="49"/>
      <c r="C12" s="69"/>
      <c r="D12" s="633"/>
      <c r="E12" s="120"/>
      <c r="F12" s="633"/>
      <c r="G12" s="120"/>
      <c r="H12" s="633"/>
      <c r="I12" s="99"/>
      <c r="J12" s="99"/>
      <c r="K12" s="291"/>
      <c r="L12" s="1043">
        <f>(((IF(I12="",0,VLOOKUP(I12,tab!#REF!,J12+2,FALSE)))*K12)*12)*(1+tab!$C$62)</f>
        <v>0</v>
      </c>
      <c r="M12" s="120"/>
      <c r="N12" s="633"/>
      <c r="O12" s="657">
        <v>0</v>
      </c>
      <c r="P12" s="120"/>
      <c r="Q12" s="634"/>
      <c r="R12" s="657">
        <v>0</v>
      </c>
      <c r="S12" s="120"/>
      <c r="T12" s="1042">
        <f>L12+O12+R12</f>
        <v>0</v>
      </c>
      <c r="U12" s="120"/>
      <c r="V12" s="53"/>
    </row>
    <row r="13" spans="2:23" x14ac:dyDescent="0.2">
      <c r="B13" s="49"/>
      <c r="C13" s="76"/>
      <c r="D13" s="633"/>
      <c r="E13" s="100"/>
      <c r="F13" s="633"/>
      <c r="G13" s="100"/>
      <c r="H13" s="633"/>
      <c r="I13" s="99"/>
      <c r="J13" s="99"/>
      <c r="K13" s="291"/>
      <c r="L13" s="1043">
        <f>(((IF(I13="",0,VLOOKUP(I13,tab!#REF!,J13+2,FALSE)))*K13)*12)*(1+tab!$C$62)</f>
        <v>0</v>
      </c>
      <c r="M13" s="100"/>
      <c r="N13" s="633"/>
      <c r="O13" s="657">
        <v>0</v>
      </c>
      <c r="P13" s="100"/>
      <c r="Q13" s="635"/>
      <c r="R13" s="657">
        <v>0</v>
      </c>
      <c r="S13" s="100"/>
      <c r="T13" s="1042">
        <f t="shared" ref="T13:T18" si="0">L13+O13+R13</f>
        <v>0</v>
      </c>
      <c r="U13" s="100"/>
      <c r="V13" s="53"/>
    </row>
    <row r="14" spans="2:23" x14ac:dyDescent="0.2">
      <c r="B14" s="49"/>
      <c r="C14" s="76"/>
      <c r="D14" s="633"/>
      <c r="E14" s="100"/>
      <c r="F14" s="633"/>
      <c r="G14" s="100"/>
      <c r="H14" s="633"/>
      <c r="I14" s="99"/>
      <c r="J14" s="99"/>
      <c r="K14" s="291"/>
      <c r="L14" s="1043">
        <f>(((IF(I14="",0,VLOOKUP(I14,tab!#REF!,J14+2,FALSE)))*K14)*12)*(1+tab!$C$62)</f>
        <v>0</v>
      </c>
      <c r="M14" s="100"/>
      <c r="N14" s="633"/>
      <c r="O14" s="657">
        <v>0</v>
      </c>
      <c r="P14" s="100"/>
      <c r="Q14" s="635"/>
      <c r="R14" s="657">
        <v>0</v>
      </c>
      <c r="S14" s="100"/>
      <c r="T14" s="1042">
        <f t="shared" si="0"/>
        <v>0</v>
      </c>
      <c r="U14" s="100"/>
      <c r="V14" s="53"/>
    </row>
    <row r="15" spans="2:23" x14ac:dyDescent="0.2">
      <c r="B15" s="49"/>
      <c r="C15" s="76"/>
      <c r="D15" s="633"/>
      <c r="E15" s="100"/>
      <c r="F15" s="633"/>
      <c r="G15" s="100"/>
      <c r="H15" s="633"/>
      <c r="I15" s="99"/>
      <c r="J15" s="99"/>
      <c r="K15" s="291"/>
      <c r="L15" s="1043">
        <f>(((IF(I15="",0,VLOOKUP(I15,tab!#REF!,J15+2,FALSE)))*K15)*12)*(1+tab!$C$62)</f>
        <v>0</v>
      </c>
      <c r="M15" s="100"/>
      <c r="N15" s="633"/>
      <c r="O15" s="657">
        <v>0</v>
      </c>
      <c r="P15" s="100"/>
      <c r="Q15" s="635"/>
      <c r="R15" s="657">
        <v>0</v>
      </c>
      <c r="S15" s="100"/>
      <c r="T15" s="1042">
        <f t="shared" si="0"/>
        <v>0</v>
      </c>
      <c r="U15" s="100"/>
      <c r="V15" s="53"/>
    </row>
    <row r="16" spans="2:23" x14ac:dyDescent="0.2">
      <c r="B16" s="49"/>
      <c r="C16" s="76"/>
      <c r="D16" s="633"/>
      <c r="E16" s="100"/>
      <c r="F16" s="633"/>
      <c r="G16" s="100"/>
      <c r="H16" s="633"/>
      <c r="I16" s="99"/>
      <c r="J16" s="99"/>
      <c r="K16" s="291"/>
      <c r="L16" s="1043">
        <f>(((IF(I16="",0,VLOOKUP(I16,tab!#REF!,J16+2,FALSE)))*K16)*12)*(1+tab!$C$62)</f>
        <v>0</v>
      </c>
      <c r="M16" s="100"/>
      <c r="N16" s="633"/>
      <c r="O16" s="657">
        <v>0</v>
      </c>
      <c r="P16" s="100"/>
      <c r="Q16" s="635"/>
      <c r="R16" s="657">
        <v>0</v>
      </c>
      <c r="S16" s="100"/>
      <c r="T16" s="1042">
        <f t="shared" si="0"/>
        <v>0</v>
      </c>
      <c r="U16" s="100"/>
      <c r="V16" s="53"/>
    </row>
    <row r="17" spans="2:23" x14ac:dyDescent="0.2">
      <c r="B17" s="49"/>
      <c r="C17" s="76"/>
      <c r="D17" s="633"/>
      <c r="E17" s="100"/>
      <c r="F17" s="633"/>
      <c r="G17" s="100"/>
      <c r="H17" s="633"/>
      <c r="I17" s="99"/>
      <c r="J17" s="99"/>
      <c r="K17" s="291"/>
      <c r="L17" s="1043">
        <f>(((IF(I17="",0,VLOOKUP(I17,tab!#REF!,J17+2,FALSE)))*K17)*12)*(1+tab!$C$62)</f>
        <v>0</v>
      </c>
      <c r="M17" s="100"/>
      <c r="N17" s="633"/>
      <c r="O17" s="657">
        <v>0</v>
      </c>
      <c r="P17" s="100"/>
      <c r="Q17" s="635"/>
      <c r="R17" s="657">
        <v>0</v>
      </c>
      <c r="S17" s="100"/>
      <c r="T17" s="1042">
        <f t="shared" si="0"/>
        <v>0</v>
      </c>
      <c r="U17" s="100"/>
      <c r="V17" s="53"/>
    </row>
    <row r="18" spans="2:23" x14ac:dyDescent="0.2">
      <c r="B18" s="49"/>
      <c r="C18" s="639"/>
      <c r="D18" s="636"/>
      <c r="E18" s="639"/>
      <c r="F18" s="636"/>
      <c r="G18" s="639"/>
      <c r="H18" s="636"/>
      <c r="I18" s="636"/>
      <c r="J18" s="636"/>
      <c r="K18" s="636"/>
      <c r="L18" s="1041">
        <f>SUM(L12:L17)</f>
        <v>0</v>
      </c>
      <c r="M18" s="639"/>
      <c r="N18" s="636"/>
      <c r="O18" s="1039">
        <f>SUM(O12:O17)</f>
        <v>0</v>
      </c>
      <c r="P18" s="639"/>
      <c r="Q18" s="636"/>
      <c r="R18" s="1039">
        <f>SUM(R12:R17)</f>
        <v>0</v>
      </c>
      <c r="S18" s="639"/>
      <c r="T18" s="1040">
        <f t="shared" si="0"/>
        <v>0</v>
      </c>
      <c r="U18" s="639"/>
      <c r="V18" s="53"/>
    </row>
    <row r="19" spans="2:23" x14ac:dyDescent="0.2">
      <c r="B19" s="49"/>
      <c r="E19" s="493"/>
      <c r="F19" s="493"/>
      <c r="G19" s="493"/>
      <c r="H19" s="493"/>
      <c r="I19" s="493"/>
      <c r="J19" s="493"/>
      <c r="K19" s="493"/>
      <c r="L19" s="658"/>
      <c r="M19" s="493"/>
      <c r="N19" s="493"/>
      <c r="O19" s="651"/>
      <c r="P19" s="493"/>
      <c r="Q19" s="493"/>
      <c r="R19" s="493"/>
      <c r="S19" s="493"/>
      <c r="T19" s="493"/>
      <c r="U19" s="493"/>
      <c r="V19" s="53"/>
    </row>
    <row r="20" spans="2:23" x14ac:dyDescent="0.2">
      <c r="B20" s="49"/>
      <c r="C20" s="50"/>
      <c r="D20" s="50"/>
      <c r="E20" s="538"/>
      <c r="F20" s="538"/>
      <c r="G20" s="538"/>
      <c r="H20" s="538"/>
      <c r="I20" s="538"/>
      <c r="J20" s="538"/>
      <c r="K20" s="538"/>
      <c r="L20" s="659"/>
      <c r="M20" s="538"/>
      <c r="N20" s="538"/>
      <c r="O20" s="652"/>
      <c r="P20" s="538"/>
      <c r="Q20" s="538"/>
      <c r="R20" s="538"/>
      <c r="S20" s="538"/>
      <c r="T20" s="538"/>
      <c r="U20" s="538"/>
      <c r="V20" s="53"/>
    </row>
    <row r="21" spans="2:23" x14ac:dyDescent="0.2">
      <c r="B21" s="49"/>
      <c r="C21" s="66"/>
      <c r="D21" s="67"/>
      <c r="E21" s="545"/>
      <c r="F21" s="67"/>
      <c r="G21" s="545"/>
      <c r="H21" s="67"/>
      <c r="I21" s="67"/>
      <c r="J21" s="67"/>
      <c r="K21" s="67"/>
      <c r="L21" s="433"/>
      <c r="M21" s="545"/>
      <c r="N21" s="67"/>
      <c r="O21" s="650"/>
      <c r="P21" s="545"/>
      <c r="Q21" s="119"/>
      <c r="R21" s="67"/>
      <c r="S21" s="545"/>
      <c r="T21" s="119"/>
      <c r="U21" s="545"/>
      <c r="V21" s="53"/>
    </row>
    <row r="22" spans="2:23" s="710" customFormat="1" x14ac:dyDescent="0.2">
      <c r="B22" s="1044"/>
      <c r="C22" s="757"/>
      <c r="D22" s="144" t="s">
        <v>427</v>
      </c>
      <c r="E22" s="1026"/>
      <c r="G22" s="1027"/>
      <c r="H22" s="1028" t="s">
        <v>448</v>
      </c>
      <c r="I22" s="713"/>
      <c r="J22" s="764"/>
      <c r="K22" s="764"/>
      <c r="L22" s="1029"/>
      <c r="M22" s="1030"/>
      <c r="N22" s="1031" t="s">
        <v>447</v>
      </c>
      <c r="O22" s="1032"/>
      <c r="P22" s="1030"/>
      <c r="Q22" s="1033" t="s">
        <v>429</v>
      </c>
      <c r="S22" s="1030"/>
      <c r="T22" s="1034" t="s">
        <v>446</v>
      </c>
      <c r="U22" s="1026"/>
      <c r="V22" s="1045"/>
    </row>
    <row r="23" spans="2:23" s="710" customFormat="1" x14ac:dyDescent="0.2">
      <c r="B23" s="1044"/>
      <c r="C23" s="757"/>
      <c r="D23" s="1035" t="s">
        <v>425</v>
      </c>
      <c r="E23" s="1026"/>
      <c r="F23" s="767" t="s">
        <v>426</v>
      </c>
      <c r="G23" s="1027"/>
      <c r="H23" s="767" t="s">
        <v>428</v>
      </c>
      <c r="I23" s="732" t="s">
        <v>201</v>
      </c>
      <c r="J23" s="732" t="s">
        <v>229</v>
      </c>
      <c r="K23" s="706" t="s">
        <v>122</v>
      </c>
      <c r="L23" s="1036" t="s">
        <v>446</v>
      </c>
      <c r="M23" s="1037"/>
      <c r="N23" s="767" t="s">
        <v>428</v>
      </c>
      <c r="O23" s="1038" t="s">
        <v>446</v>
      </c>
      <c r="P23" s="1037"/>
      <c r="Q23" s="767" t="s">
        <v>428</v>
      </c>
      <c r="R23" s="706" t="s">
        <v>446</v>
      </c>
      <c r="S23" s="1037"/>
      <c r="T23" s="706"/>
      <c r="U23" s="1026"/>
      <c r="V23" s="1046"/>
      <c r="W23" s="1027"/>
    </row>
    <row r="24" spans="2:23" x14ac:dyDescent="0.2">
      <c r="B24" s="49"/>
      <c r="C24" s="69"/>
      <c r="D24" s="633"/>
      <c r="E24" s="120"/>
      <c r="F24" s="633"/>
      <c r="G24" s="120"/>
      <c r="H24" s="633"/>
      <c r="I24" s="99"/>
      <c r="J24" s="99"/>
      <c r="K24" s="291"/>
      <c r="L24" s="1043">
        <f>(((IF(I24="",0,VLOOKUP(I24,tab!#REF!,J24+2,FALSE)))*K24)*12)*(1+tab!$C$62)</f>
        <v>0</v>
      </c>
      <c r="M24" s="120"/>
      <c r="N24" s="633"/>
      <c r="O24" s="657">
        <v>0</v>
      </c>
      <c r="P24" s="120"/>
      <c r="Q24" s="634"/>
      <c r="R24" s="657">
        <v>0</v>
      </c>
      <c r="S24" s="120"/>
      <c r="T24" s="1042">
        <f t="shared" ref="T24:T30" si="1">L24+O24+R24</f>
        <v>0</v>
      </c>
      <c r="U24" s="120"/>
      <c r="V24" s="53"/>
    </row>
    <row r="25" spans="2:23" x14ac:dyDescent="0.2">
      <c r="B25" s="49"/>
      <c r="C25" s="76"/>
      <c r="D25" s="633"/>
      <c r="E25" s="100"/>
      <c r="F25" s="633"/>
      <c r="G25" s="100"/>
      <c r="H25" s="633"/>
      <c r="I25" s="99"/>
      <c r="J25" s="99"/>
      <c r="K25" s="291"/>
      <c r="L25" s="1043">
        <f>(((IF(I25="",0,VLOOKUP(I25,tab!#REF!,J25+2,FALSE)))*K25)*12)*(1+tab!$C$62)</f>
        <v>0</v>
      </c>
      <c r="M25" s="100"/>
      <c r="N25" s="633"/>
      <c r="O25" s="657">
        <v>0</v>
      </c>
      <c r="P25" s="100"/>
      <c r="Q25" s="635"/>
      <c r="R25" s="657">
        <v>0</v>
      </c>
      <c r="S25" s="100"/>
      <c r="T25" s="1042">
        <f t="shared" si="1"/>
        <v>0</v>
      </c>
      <c r="U25" s="100"/>
      <c r="V25" s="53"/>
    </row>
    <row r="26" spans="2:23" x14ac:dyDescent="0.2">
      <c r="B26" s="49"/>
      <c r="C26" s="76"/>
      <c r="D26" s="633"/>
      <c r="E26" s="100"/>
      <c r="F26" s="633"/>
      <c r="G26" s="100"/>
      <c r="H26" s="633"/>
      <c r="I26" s="99"/>
      <c r="J26" s="99"/>
      <c r="K26" s="291"/>
      <c r="L26" s="1043">
        <f>(((IF(I26="",0,VLOOKUP(I26,tab!#REF!,J26+2,FALSE)))*K26)*12)*(1+tab!$C$62)</f>
        <v>0</v>
      </c>
      <c r="M26" s="100"/>
      <c r="N26" s="633"/>
      <c r="O26" s="657">
        <v>0</v>
      </c>
      <c r="P26" s="100"/>
      <c r="Q26" s="635"/>
      <c r="R26" s="657">
        <v>0</v>
      </c>
      <c r="S26" s="100"/>
      <c r="T26" s="1042">
        <f t="shared" si="1"/>
        <v>0</v>
      </c>
      <c r="U26" s="100"/>
      <c r="V26" s="53"/>
    </row>
    <row r="27" spans="2:23" x14ac:dyDescent="0.2">
      <c r="B27" s="49"/>
      <c r="C27" s="76"/>
      <c r="D27" s="633"/>
      <c r="E27" s="100"/>
      <c r="F27" s="633"/>
      <c r="G27" s="100"/>
      <c r="H27" s="633"/>
      <c r="I27" s="99"/>
      <c r="J27" s="99"/>
      <c r="K27" s="291"/>
      <c r="L27" s="1043">
        <f>(((IF(I27="",0,VLOOKUP(I27,tab!#REF!,J27+2,FALSE)))*K27)*12)*(1+tab!$C$62)</f>
        <v>0</v>
      </c>
      <c r="M27" s="100"/>
      <c r="N27" s="633"/>
      <c r="O27" s="657">
        <v>0</v>
      </c>
      <c r="P27" s="100"/>
      <c r="Q27" s="635"/>
      <c r="R27" s="657">
        <v>0</v>
      </c>
      <c r="S27" s="100"/>
      <c r="T27" s="1042">
        <f t="shared" si="1"/>
        <v>0</v>
      </c>
      <c r="U27" s="100"/>
      <c r="V27" s="53"/>
    </row>
    <row r="28" spans="2:23" x14ac:dyDescent="0.2">
      <c r="B28" s="49"/>
      <c r="C28" s="76"/>
      <c r="D28" s="633"/>
      <c r="E28" s="100"/>
      <c r="F28" s="633"/>
      <c r="G28" s="100"/>
      <c r="H28" s="633"/>
      <c r="I28" s="99"/>
      <c r="J28" s="99"/>
      <c r="K28" s="291"/>
      <c r="L28" s="1043">
        <f>(((IF(I28="",0,VLOOKUP(I28,tab!#REF!,J28+2,FALSE)))*K28)*12)*(1+tab!$C$62)</f>
        <v>0</v>
      </c>
      <c r="M28" s="100"/>
      <c r="N28" s="633"/>
      <c r="O28" s="657">
        <v>0</v>
      </c>
      <c r="P28" s="100"/>
      <c r="Q28" s="635"/>
      <c r="R28" s="657">
        <v>0</v>
      </c>
      <c r="S28" s="100"/>
      <c r="T28" s="1042">
        <f t="shared" si="1"/>
        <v>0</v>
      </c>
      <c r="U28" s="100"/>
      <c r="V28" s="53"/>
    </row>
    <row r="29" spans="2:23" x14ac:dyDescent="0.2">
      <c r="B29" s="49"/>
      <c r="C29" s="76"/>
      <c r="D29" s="633"/>
      <c r="E29" s="100"/>
      <c r="F29" s="633"/>
      <c r="G29" s="100"/>
      <c r="H29" s="633"/>
      <c r="I29" s="99"/>
      <c r="J29" s="99"/>
      <c r="K29" s="291"/>
      <c r="L29" s="1043">
        <f>(((IF(I29="",0,VLOOKUP(I29,tab!#REF!,J29+2,FALSE)))*K29)*12)*(1+tab!$C$62)</f>
        <v>0</v>
      </c>
      <c r="M29" s="100"/>
      <c r="N29" s="633"/>
      <c r="O29" s="657">
        <v>0</v>
      </c>
      <c r="P29" s="100"/>
      <c r="Q29" s="635"/>
      <c r="R29" s="657">
        <v>0</v>
      </c>
      <c r="S29" s="100"/>
      <c r="T29" s="1042">
        <f t="shared" si="1"/>
        <v>0</v>
      </c>
      <c r="U29" s="100"/>
      <c r="V29" s="53"/>
    </row>
    <row r="30" spans="2:23" x14ac:dyDescent="0.2">
      <c r="B30" s="49"/>
      <c r="C30" s="639"/>
      <c r="D30" s="636"/>
      <c r="E30" s="639"/>
      <c r="F30" s="636"/>
      <c r="G30" s="639"/>
      <c r="H30" s="636"/>
      <c r="I30" s="636"/>
      <c r="J30" s="636"/>
      <c r="K30" s="636"/>
      <c r="L30" s="1041">
        <f>SUM(L24:L29)</f>
        <v>0</v>
      </c>
      <c r="M30" s="639"/>
      <c r="N30" s="636"/>
      <c r="O30" s="1039">
        <f>SUM(O24:O29)</f>
        <v>0</v>
      </c>
      <c r="P30" s="639"/>
      <c r="Q30" s="636"/>
      <c r="R30" s="1039">
        <f>SUM(R24:R29)</f>
        <v>0</v>
      </c>
      <c r="S30" s="639"/>
      <c r="T30" s="1040">
        <f t="shared" si="1"/>
        <v>0</v>
      </c>
      <c r="U30" s="640"/>
      <c r="V30" s="53"/>
    </row>
    <row r="31" spans="2:23" x14ac:dyDescent="0.2">
      <c r="B31" s="49"/>
      <c r="E31" s="493"/>
      <c r="F31" s="493"/>
      <c r="G31" s="493"/>
      <c r="H31" s="493"/>
      <c r="I31" s="493"/>
      <c r="J31" s="493"/>
      <c r="K31" s="493"/>
      <c r="L31" s="658"/>
      <c r="M31" s="493"/>
      <c r="N31" s="493"/>
      <c r="O31" s="651"/>
      <c r="P31" s="493"/>
      <c r="Q31" s="493"/>
      <c r="R31" s="493"/>
      <c r="S31" s="493"/>
      <c r="T31" s="493"/>
      <c r="U31" s="493"/>
      <c r="V31" s="53"/>
    </row>
    <row r="32" spans="2:23" x14ac:dyDescent="0.2">
      <c r="B32" s="49"/>
      <c r="C32" s="50"/>
      <c r="D32" s="469"/>
      <c r="E32" s="50"/>
      <c r="F32" s="428"/>
      <c r="G32" s="50"/>
      <c r="H32" s="428"/>
      <c r="I32" s="428"/>
      <c r="J32" s="428"/>
      <c r="K32" s="428"/>
      <c r="L32" s="629"/>
      <c r="M32" s="50"/>
      <c r="N32" s="428"/>
      <c r="O32" s="653"/>
      <c r="P32" s="50"/>
      <c r="Q32" s="428"/>
      <c r="R32" s="428"/>
      <c r="S32" s="50"/>
      <c r="T32" s="428"/>
      <c r="U32" s="50"/>
      <c r="V32" s="53"/>
    </row>
    <row r="33" spans="2:23" x14ac:dyDescent="0.2">
      <c r="B33" s="49"/>
      <c r="C33" s="66"/>
      <c r="D33" s="67"/>
      <c r="E33" s="545"/>
      <c r="F33" s="67"/>
      <c r="G33" s="545"/>
      <c r="H33" s="67"/>
      <c r="I33" s="67"/>
      <c r="J33" s="67"/>
      <c r="K33" s="67"/>
      <c r="L33" s="433"/>
      <c r="M33" s="545"/>
      <c r="N33" s="67"/>
      <c r="O33" s="650"/>
      <c r="P33" s="545"/>
      <c r="Q33" s="119"/>
      <c r="R33" s="67"/>
      <c r="S33" s="545"/>
      <c r="T33" s="119"/>
      <c r="U33" s="545"/>
      <c r="V33" s="53"/>
    </row>
    <row r="34" spans="2:23" s="710" customFormat="1" x14ac:dyDescent="0.2">
      <c r="B34" s="1044"/>
      <c r="C34" s="757"/>
      <c r="D34" s="144" t="s">
        <v>430</v>
      </c>
      <c r="E34" s="1026"/>
      <c r="G34" s="1027"/>
      <c r="H34" s="1028" t="s">
        <v>448</v>
      </c>
      <c r="I34" s="713"/>
      <c r="J34" s="764"/>
      <c r="K34" s="764"/>
      <c r="L34" s="1029"/>
      <c r="M34" s="1030"/>
      <c r="N34" s="1031" t="s">
        <v>447</v>
      </c>
      <c r="O34" s="1032"/>
      <c r="P34" s="1030"/>
      <c r="Q34" s="1033" t="s">
        <v>429</v>
      </c>
      <c r="S34" s="1030"/>
      <c r="T34" s="1034" t="s">
        <v>446</v>
      </c>
      <c r="U34" s="1026"/>
      <c r="V34" s="1045"/>
    </row>
    <row r="35" spans="2:23" s="710" customFormat="1" x14ac:dyDescent="0.2">
      <c r="B35" s="1044"/>
      <c r="C35" s="757"/>
      <c r="D35" s="1035" t="s">
        <v>425</v>
      </c>
      <c r="E35" s="1026"/>
      <c r="F35" s="767" t="s">
        <v>426</v>
      </c>
      <c r="G35" s="1027"/>
      <c r="H35" s="767" t="s">
        <v>428</v>
      </c>
      <c r="I35" s="732" t="s">
        <v>201</v>
      </c>
      <c r="J35" s="732" t="s">
        <v>229</v>
      </c>
      <c r="K35" s="706" t="s">
        <v>122</v>
      </c>
      <c r="L35" s="1036" t="s">
        <v>446</v>
      </c>
      <c r="M35" s="1037"/>
      <c r="N35" s="767" t="s">
        <v>428</v>
      </c>
      <c r="O35" s="1038" t="s">
        <v>446</v>
      </c>
      <c r="P35" s="1037"/>
      <c r="Q35" s="767" t="s">
        <v>428</v>
      </c>
      <c r="R35" s="706" t="s">
        <v>446</v>
      </c>
      <c r="S35" s="1037"/>
      <c r="T35" s="706"/>
      <c r="U35" s="1026"/>
      <c r="V35" s="1046"/>
      <c r="W35" s="1027"/>
    </row>
    <row r="36" spans="2:23" x14ac:dyDescent="0.2">
      <c r="B36" s="49"/>
      <c r="C36" s="69"/>
      <c r="D36" s="633"/>
      <c r="E36" s="120"/>
      <c r="F36" s="633"/>
      <c r="G36" s="120"/>
      <c r="H36" s="633"/>
      <c r="I36" s="99"/>
      <c r="J36" s="99"/>
      <c r="K36" s="291"/>
      <c r="L36" s="1043">
        <f>(((IF(I36="",0,VLOOKUP(I36,tab!#REF!,J36+2,FALSE)))*K36)*12)*(1+tab!$C$62)</f>
        <v>0</v>
      </c>
      <c r="M36" s="120"/>
      <c r="N36" s="633"/>
      <c r="O36" s="657">
        <v>0</v>
      </c>
      <c r="P36" s="120"/>
      <c r="Q36" s="634"/>
      <c r="R36" s="657">
        <v>0</v>
      </c>
      <c r="S36" s="120"/>
      <c r="T36" s="1042">
        <f t="shared" ref="T36:T42" si="2">L36+O36+R36</f>
        <v>0</v>
      </c>
      <c r="U36" s="120"/>
      <c r="V36" s="53"/>
    </row>
    <row r="37" spans="2:23" x14ac:dyDescent="0.2">
      <c r="B37" s="49"/>
      <c r="C37" s="76"/>
      <c r="D37" s="633"/>
      <c r="E37" s="100"/>
      <c r="F37" s="633"/>
      <c r="G37" s="100"/>
      <c r="H37" s="633"/>
      <c r="I37" s="99"/>
      <c r="J37" s="99"/>
      <c r="K37" s="291"/>
      <c r="L37" s="1043">
        <f>(((IF(I37="",0,VLOOKUP(I37,tab!#REF!,J37+2,FALSE)))*K37)*12)*(1+tab!$C$62)</f>
        <v>0</v>
      </c>
      <c r="M37" s="100"/>
      <c r="N37" s="633"/>
      <c r="O37" s="657">
        <v>0</v>
      </c>
      <c r="P37" s="100"/>
      <c r="Q37" s="635"/>
      <c r="R37" s="657">
        <v>0</v>
      </c>
      <c r="S37" s="100"/>
      <c r="T37" s="1042">
        <f t="shared" si="2"/>
        <v>0</v>
      </c>
      <c r="U37" s="100"/>
      <c r="V37" s="53"/>
    </row>
    <row r="38" spans="2:23" x14ac:dyDescent="0.2">
      <c r="B38" s="49"/>
      <c r="C38" s="76"/>
      <c r="D38" s="633"/>
      <c r="E38" s="100"/>
      <c r="F38" s="633"/>
      <c r="G38" s="100"/>
      <c r="H38" s="633"/>
      <c r="I38" s="99"/>
      <c r="J38" s="99"/>
      <c r="K38" s="291"/>
      <c r="L38" s="1043">
        <f>(((IF(I38="",0,VLOOKUP(I38,tab!#REF!,J38+2,FALSE)))*K38)*12)*(1+tab!$C$62)</f>
        <v>0</v>
      </c>
      <c r="M38" s="100"/>
      <c r="N38" s="633"/>
      <c r="O38" s="657">
        <v>0</v>
      </c>
      <c r="P38" s="100"/>
      <c r="Q38" s="635"/>
      <c r="R38" s="657">
        <v>0</v>
      </c>
      <c r="S38" s="100"/>
      <c r="T38" s="1042">
        <f t="shared" si="2"/>
        <v>0</v>
      </c>
      <c r="U38" s="100"/>
      <c r="V38" s="53"/>
    </row>
    <row r="39" spans="2:23" x14ac:dyDescent="0.2">
      <c r="B39" s="49"/>
      <c r="C39" s="76"/>
      <c r="D39" s="633"/>
      <c r="E39" s="100"/>
      <c r="F39" s="633"/>
      <c r="G39" s="100"/>
      <c r="H39" s="633"/>
      <c r="I39" s="99"/>
      <c r="J39" s="99"/>
      <c r="K39" s="291"/>
      <c r="L39" s="1043">
        <f>(((IF(I39="",0,VLOOKUP(I39,tab!#REF!,J39+2,FALSE)))*K39)*12)*(1+tab!$C$62)</f>
        <v>0</v>
      </c>
      <c r="M39" s="100"/>
      <c r="N39" s="633"/>
      <c r="O39" s="657">
        <v>0</v>
      </c>
      <c r="P39" s="100"/>
      <c r="Q39" s="635"/>
      <c r="R39" s="657">
        <v>0</v>
      </c>
      <c r="S39" s="100"/>
      <c r="T39" s="1042">
        <f t="shared" si="2"/>
        <v>0</v>
      </c>
      <c r="U39" s="100"/>
      <c r="V39" s="53"/>
    </row>
    <row r="40" spans="2:23" x14ac:dyDescent="0.2">
      <c r="B40" s="49"/>
      <c r="C40" s="76"/>
      <c r="D40" s="633"/>
      <c r="E40" s="100"/>
      <c r="F40" s="633"/>
      <c r="G40" s="100"/>
      <c r="H40" s="633"/>
      <c r="I40" s="99"/>
      <c r="J40" s="99"/>
      <c r="K40" s="291"/>
      <c r="L40" s="1043">
        <f>(((IF(I40="",0,VLOOKUP(I40,tab!#REF!,J40+2,FALSE)))*K40)*12)*(1+tab!$C$62)</f>
        <v>0</v>
      </c>
      <c r="M40" s="100"/>
      <c r="N40" s="633"/>
      <c r="O40" s="657">
        <v>0</v>
      </c>
      <c r="P40" s="100"/>
      <c r="Q40" s="635"/>
      <c r="R40" s="657">
        <v>0</v>
      </c>
      <c r="S40" s="100"/>
      <c r="T40" s="1042">
        <f t="shared" si="2"/>
        <v>0</v>
      </c>
      <c r="U40" s="100"/>
      <c r="V40" s="53"/>
    </row>
    <row r="41" spans="2:23" x14ac:dyDescent="0.2">
      <c r="B41" s="49"/>
      <c r="C41" s="76"/>
      <c r="D41" s="633"/>
      <c r="E41" s="100"/>
      <c r="F41" s="633"/>
      <c r="G41" s="100"/>
      <c r="H41" s="633"/>
      <c r="I41" s="99"/>
      <c r="J41" s="99"/>
      <c r="K41" s="291"/>
      <c r="L41" s="1043">
        <f>(((IF(I41="",0,VLOOKUP(I41,tab!#REF!,J41+2,FALSE)))*K41)*12)*(1+tab!$C$62)</f>
        <v>0</v>
      </c>
      <c r="M41" s="100"/>
      <c r="N41" s="633"/>
      <c r="O41" s="657">
        <v>0</v>
      </c>
      <c r="P41" s="100"/>
      <c r="Q41" s="635"/>
      <c r="R41" s="657">
        <v>0</v>
      </c>
      <c r="S41" s="100"/>
      <c r="T41" s="1042">
        <f t="shared" si="2"/>
        <v>0</v>
      </c>
      <c r="U41" s="100"/>
      <c r="V41" s="53"/>
    </row>
    <row r="42" spans="2:23" x14ac:dyDescent="0.2">
      <c r="B42" s="49"/>
      <c r="C42" s="639"/>
      <c r="D42" s="636"/>
      <c r="E42" s="639"/>
      <c r="F42" s="636"/>
      <c r="G42" s="639"/>
      <c r="H42" s="636"/>
      <c r="I42" s="636"/>
      <c r="J42" s="636"/>
      <c r="K42" s="636"/>
      <c r="L42" s="1041">
        <f>SUM(L36:L41)</f>
        <v>0</v>
      </c>
      <c r="M42" s="639"/>
      <c r="N42" s="636"/>
      <c r="O42" s="1039">
        <f>SUM(O36:O41)</f>
        <v>0</v>
      </c>
      <c r="P42" s="639"/>
      <c r="Q42" s="636"/>
      <c r="R42" s="1039">
        <f>SUM(R36:R41)</f>
        <v>0</v>
      </c>
      <c r="S42" s="639"/>
      <c r="T42" s="1040">
        <f t="shared" si="2"/>
        <v>0</v>
      </c>
      <c r="U42" s="640"/>
      <c r="V42" s="53"/>
    </row>
    <row r="43" spans="2:23" x14ac:dyDescent="0.2">
      <c r="B43" s="49"/>
      <c r="E43" s="493"/>
      <c r="F43" s="493"/>
      <c r="G43" s="493"/>
      <c r="H43" s="493"/>
      <c r="I43" s="493"/>
      <c r="J43" s="493"/>
      <c r="K43" s="493"/>
      <c r="L43" s="658"/>
      <c r="M43" s="493"/>
      <c r="N43" s="493"/>
      <c r="O43" s="651"/>
      <c r="P43" s="493"/>
      <c r="Q43" s="493"/>
      <c r="R43" s="493"/>
      <c r="S43" s="493"/>
      <c r="T43" s="493"/>
      <c r="U43" s="493"/>
      <c r="V43" s="53"/>
    </row>
    <row r="44" spans="2:23" x14ac:dyDescent="0.2">
      <c r="B44" s="49"/>
      <c r="C44" s="50"/>
      <c r="D44" s="469"/>
      <c r="E44" s="50"/>
      <c r="F44" s="428"/>
      <c r="G44" s="50"/>
      <c r="H44" s="428"/>
      <c r="I44" s="428"/>
      <c r="J44" s="428"/>
      <c r="K44" s="428"/>
      <c r="L44" s="629"/>
      <c r="M44" s="50"/>
      <c r="N44" s="428"/>
      <c r="O44" s="653"/>
      <c r="P44" s="50"/>
      <c r="Q44" s="428"/>
      <c r="R44" s="428"/>
      <c r="S44" s="50"/>
      <c r="T44" s="428"/>
      <c r="U44" s="50"/>
      <c r="V44" s="53"/>
    </row>
    <row r="45" spans="2:23" x14ac:dyDescent="0.2">
      <c r="B45" s="49"/>
      <c r="C45" s="66"/>
      <c r="D45" s="67"/>
      <c r="E45" s="545"/>
      <c r="F45" s="67"/>
      <c r="G45" s="545"/>
      <c r="H45" s="67"/>
      <c r="I45" s="67"/>
      <c r="J45" s="67"/>
      <c r="K45" s="67"/>
      <c r="L45" s="433"/>
      <c r="M45" s="545"/>
      <c r="N45" s="67"/>
      <c r="O45" s="650"/>
      <c r="P45" s="545"/>
      <c r="Q45" s="119"/>
      <c r="R45" s="67"/>
      <c r="S45" s="545"/>
      <c r="T45" s="119"/>
      <c r="U45" s="545"/>
      <c r="V45" s="53"/>
    </row>
    <row r="46" spans="2:23" s="710" customFormat="1" x14ac:dyDescent="0.2">
      <c r="B46" s="1044"/>
      <c r="C46" s="757"/>
      <c r="D46" s="144" t="s">
        <v>449</v>
      </c>
      <c r="E46" s="1026"/>
      <c r="G46" s="1027"/>
      <c r="H46" s="1028" t="s">
        <v>448</v>
      </c>
      <c r="I46" s="713"/>
      <c r="J46" s="764"/>
      <c r="K46" s="764"/>
      <c r="L46" s="1029"/>
      <c r="M46" s="1030"/>
      <c r="N46" s="1031" t="s">
        <v>447</v>
      </c>
      <c r="O46" s="1032"/>
      <c r="P46" s="1030"/>
      <c r="Q46" s="1033" t="s">
        <v>429</v>
      </c>
      <c r="S46" s="1030"/>
      <c r="T46" s="1034" t="s">
        <v>446</v>
      </c>
      <c r="U46" s="1026"/>
      <c r="V46" s="1045"/>
    </row>
    <row r="47" spans="2:23" s="710" customFormat="1" x14ac:dyDescent="0.2">
      <c r="B47" s="1044"/>
      <c r="C47" s="757"/>
      <c r="D47" s="1035" t="s">
        <v>425</v>
      </c>
      <c r="E47" s="1026"/>
      <c r="F47" s="767" t="s">
        <v>426</v>
      </c>
      <c r="G47" s="1027"/>
      <c r="H47" s="767" t="s">
        <v>428</v>
      </c>
      <c r="I47" s="732" t="s">
        <v>201</v>
      </c>
      <c r="J47" s="732" t="s">
        <v>229</v>
      </c>
      <c r="K47" s="706" t="s">
        <v>122</v>
      </c>
      <c r="L47" s="1036" t="s">
        <v>446</v>
      </c>
      <c r="M47" s="1037"/>
      <c r="N47" s="767" t="s">
        <v>428</v>
      </c>
      <c r="O47" s="1038" t="s">
        <v>446</v>
      </c>
      <c r="P47" s="1037"/>
      <c r="Q47" s="767" t="s">
        <v>428</v>
      </c>
      <c r="R47" s="706" t="s">
        <v>446</v>
      </c>
      <c r="S47" s="1037"/>
      <c r="T47" s="706"/>
      <c r="U47" s="1026"/>
      <c r="V47" s="1045"/>
    </row>
    <row r="48" spans="2:23" x14ac:dyDescent="0.2">
      <c r="B48" s="49"/>
      <c r="C48" s="69"/>
      <c r="D48" s="633"/>
      <c r="E48" s="120"/>
      <c r="F48" s="633"/>
      <c r="G48" s="120"/>
      <c r="H48" s="633"/>
      <c r="I48" s="99"/>
      <c r="J48" s="99"/>
      <c r="K48" s="291"/>
      <c r="L48" s="1043">
        <f>(((IF(I48="",0,VLOOKUP(I48,tab!#REF!,J48+2,FALSE)))*K48)*12)*(1+tab!$C$62)</f>
        <v>0</v>
      </c>
      <c r="M48" s="120"/>
      <c r="N48" s="633"/>
      <c r="O48" s="657">
        <v>0</v>
      </c>
      <c r="P48" s="120"/>
      <c r="Q48" s="634"/>
      <c r="R48" s="657">
        <v>0</v>
      </c>
      <c r="S48" s="120"/>
      <c r="T48" s="1042">
        <f t="shared" ref="T48:T54" si="3">L48+O48+R48</f>
        <v>0</v>
      </c>
      <c r="U48" s="120"/>
      <c r="V48" s="53"/>
    </row>
    <row r="49" spans="2:22" x14ac:dyDescent="0.2">
      <c r="B49" s="49"/>
      <c r="C49" s="76"/>
      <c r="D49" s="633"/>
      <c r="E49" s="100"/>
      <c r="F49" s="633"/>
      <c r="G49" s="100"/>
      <c r="H49" s="633"/>
      <c r="I49" s="99"/>
      <c r="J49" s="99"/>
      <c r="K49" s="291"/>
      <c r="L49" s="1043">
        <f>(((IF(I49="",0,VLOOKUP(I49,tab!#REF!,J49+2,FALSE)))*K49)*12)*(1+tab!$C$62)</f>
        <v>0</v>
      </c>
      <c r="M49" s="100"/>
      <c r="N49" s="633"/>
      <c r="O49" s="657">
        <v>0</v>
      </c>
      <c r="P49" s="100"/>
      <c r="Q49" s="635"/>
      <c r="R49" s="657">
        <v>0</v>
      </c>
      <c r="S49" s="100"/>
      <c r="T49" s="1042">
        <f t="shared" si="3"/>
        <v>0</v>
      </c>
      <c r="U49" s="100"/>
      <c r="V49" s="53"/>
    </row>
    <row r="50" spans="2:22" x14ac:dyDescent="0.2">
      <c r="B50" s="49"/>
      <c r="C50" s="76"/>
      <c r="D50" s="633"/>
      <c r="E50" s="100"/>
      <c r="F50" s="633"/>
      <c r="G50" s="100"/>
      <c r="H50" s="633"/>
      <c r="I50" s="99"/>
      <c r="J50" s="99"/>
      <c r="K50" s="291"/>
      <c r="L50" s="1043">
        <f>(((IF(I50="",0,VLOOKUP(I50,tab!#REF!,J50+2,FALSE)))*K50)*12)*(1+tab!$C$62)</f>
        <v>0</v>
      </c>
      <c r="M50" s="100"/>
      <c r="N50" s="633"/>
      <c r="O50" s="657">
        <v>0</v>
      </c>
      <c r="P50" s="100"/>
      <c r="Q50" s="635"/>
      <c r="R50" s="657">
        <v>0</v>
      </c>
      <c r="S50" s="100"/>
      <c r="T50" s="1042">
        <f t="shared" si="3"/>
        <v>0</v>
      </c>
      <c r="U50" s="100"/>
      <c r="V50" s="53"/>
    </row>
    <row r="51" spans="2:22" x14ac:dyDescent="0.2">
      <c r="B51" s="49"/>
      <c r="C51" s="76"/>
      <c r="D51" s="633"/>
      <c r="E51" s="100"/>
      <c r="F51" s="633"/>
      <c r="G51" s="100"/>
      <c r="H51" s="633"/>
      <c r="I51" s="99"/>
      <c r="J51" s="99"/>
      <c r="K51" s="291"/>
      <c r="L51" s="1043">
        <f>(((IF(I51="",0,VLOOKUP(I51,tab!#REF!,J51+2,FALSE)))*K51)*12)*(1+tab!$C$62)</f>
        <v>0</v>
      </c>
      <c r="M51" s="100"/>
      <c r="N51" s="633"/>
      <c r="O51" s="657">
        <v>0</v>
      </c>
      <c r="P51" s="100"/>
      <c r="Q51" s="635"/>
      <c r="R51" s="657">
        <v>0</v>
      </c>
      <c r="S51" s="100"/>
      <c r="T51" s="1042">
        <f t="shared" si="3"/>
        <v>0</v>
      </c>
      <c r="U51" s="100"/>
      <c r="V51" s="53"/>
    </row>
    <row r="52" spans="2:22" x14ac:dyDescent="0.2">
      <c r="B52" s="49"/>
      <c r="C52" s="76"/>
      <c r="D52" s="633"/>
      <c r="E52" s="100"/>
      <c r="F52" s="633"/>
      <c r="G52" s="100"/>
      <c r="H52" s="633"/>
      <c r="I52" s="99"/>
      <c r="J52" s="99"/>
      <c r="K52" s="291"/>
      <c r="L52" s="1043">
        <f>(((IF(I52="",0,VLOOKUP(I52,tab!#REF!,J52+2,FALSE)))*K52)*12)*(1+tab!$C$62)</f>
        <v>0</v>
      </c>
      <c r="M52" s="100"/>
      <c r="N52" s="633"/>
      <c r="O52" s="657">
        <v>0</v>
      </c>
      <c r="P52" s="100"/>
      <c r="Q52" s="635"/>
      <c r="R52" s="657">
        <v>0</v>
      </c>
      <c r="S52" s="100"/>
      <c r="T52" s="1042">
        <f t="shared" si="3"/>
        <v>0</v>
      </c>
      <c r="U52" s="100"/>
      <c r="V52" s="53"/>
    </row>
    <row r="53" spans="2:22" x14ac:dyDescent="0.2">
      <c r="B53" s="49"/>
      <c r="C53" s="76"/>
      <c r="D53" s="633"/>
      <c r="E53" s="100"/>
      <c r="F53" s="633"/>
      <c r="G53" s="100"/>
      <c r="H53" s="633"/>
      <c r="I53" s="99"/>
      <c r="J53" s="99"/>
      <c r="K53" s="291"/>
      <c r="L53" s="1043">
        <f>(((IF(I53="",0,VLOOKUP(I53,tab!#REF!,J53+2,FALSE)))*K53)*12)*(1+tab!$C$62)</f>
        <v>0</v>
      </c>
      <c r="M53" s="100"/>
      <c r="N53" s="633"/>
      <c r="O53" s="657">
        <v>0</v>
      </c>
      <c r="P53" s="100"/>
      <c r="Q53" s="635"/>
      <c r="R53" s="657">
        <v>0</v>
      </c>
      <c r="S53" s="100"/>
      <c r="T53" s="1042">
        <f t="shared" si="3"/>
        <v>0</v>
      </c>
      <c r="U53" s="100"/>
      <c r="V53" s="53"/>
    </row>
    <row r="54" spans="2:22" x14ac:dyDescent="0.2">
      <c r="B54" s="49"/>
      <c r="C54" s="639"/>
      <c r="D54" s="636"/>
      <c r="E54" s="639"/>
      <c r="F54" s="636"/>
      <c r="G54" s="639"/>
      <c r="H54" s="636"/>
      <c r="I54" s="636"/>
      <c r="J54" s="636"/>
      <c r="K54" s="636"/>
      <c r="L54" s="1041">
        <f>SUM(L48:L53)</f>
        <v>0</v>
      </c>
      <c r="M54" s="639"/>
      <c r="N54" s="636"/>
      <c r="O54" s="1039">
        <f>SUM(O48:O53)</f>
        <v>0</v>
      </c>
      <c r="P54" s="639"/>
      <c r="Q54" s="636"/>
      <c r="R54" s="1039">
        <f>SUM(R48:R53)</f>
        <v>0</v>
      </c>
      <c r="S54" s="639"/>
      <c r="T54" s="1040">
        <f t="shared" si="3"/>
        <v>0</v>
      </c>
      <c r="U54" s="640"/>
      <c r="V54" s="53"/>
    </row>
    <row r="55" spans="2:22" x14ac:dyDescent="0.2">
      <c r="B55" s="49"/>
      <c r="E55" s="493"/>
      <c r="F55" s="493"/>
      <c r="G55" s="493"/>
      <c r="H55" s="493"/>
      <c r="I55" s="493"/>
      <c r="J55" s="493"/>
      <c r="K55" s="493"/>
      <c r="L55" s="658"/>
      <c r="M55" s="493"/>
      <c r="N55" s="493"/>
      <c r="O55" s="651"/>
      <c r="P55" s="493"/>
      <c r="Q55" s="493"/>
      <c r="R55" s="493"/>
      <c r="S55" s="493"/>
      <c r="T55" s="493"/>
      <c r="U55" s="493"/>
      <c r="V55" s="53"/>
    </row>
    <row r="56" spans="2:22" x14ac:dyDescent="0.2">
      <c r="B56" s="49"/>
      <c r="C56" s="50"/>
      <c r="D56" s="469"/>
      <c r="E56" s="50"/>
      <c r="F56" s="428"/>
      <c r="G56" s="50"/>
      <c r="H56" s="428"/>
      <c r="I56" s="428"/>
      <c r="J56" s="428"/>
      <c r="K56" s="428"/>
      <c r="L56" s="629"/>
      <c r="M56" s="50"/>
      <c r="N56" s="428"/>
      <c r="O56" s="653"/>
      <c r="P56" s="50"/>
      <c r="Q56" s="428"/>
      <c r="R56" s="428"/>
      <c r="S56" s="50"/>
      <c r="T56" s="428"/>
      <c r="U56" s="50"/>
      <c r="V56" s="53"/>
    </row>
    <row r="57" spans="2:22" x14ac:dyDescent="0.2">
      <c r="B57" s="49"/>
      <c r="C57" s="66"/>
      <c r="D57" s="67"/>
      <c r="E57" s="545"/>
      <c r="F57" s="67"/>
      <c r="G57" s="545"/>
      <c r="H57" s="67"/>
      <c r="I57" s="67"/>
      <c r="J57" s="67"/>
      <c r="K57" s="67"/>
      <c r="L57" s="433"/>
      <c r="M57" s="545"/>
      <c r="N57" s="67"/>
      <c r="O57" s="650"/>
      <c r="P57" s="545"/>
      <c r="Q57" s="119"/>
      <c r="R57" s="67"/>
      <c r="S57" s="545"/>
      <c r="T57" s="119"/>
      <c r="U57" s="545"/>
      <c r="V57" s="53"/>
    </row>
    <row r="58" spans="2:22" s="710" customFormat="1" x14ac:dyDescent="0.2">
      <c r="B58" s="1044"/>
      <c r="C58" s="757"/>
      <c r="D58" s="144" t="s">
        <v>452</v>
      </c>
      <c r="E58" s="1026"/>
      <c r="G58" s="1027"/>
      <c r="H58" s="1028" t="s">
        <v>448</v>
      </c>
      <c r="I58" s="713"/>
      <c r="J58" s="764"/>
      <c r="K58" s="764"/>
      <c r="L58" s="1029"/>
      <c r="M58" s="1030"/>
      <c r="N58" s="1031" t="s">
        <v>447</v>
      </c>
      <c r="O58" s="1032"/>
      <c r="P58" s="1030"/>
      <c r="Q58" s="1033" t="s">
        <v>429</v>
      </c>
      <c r="S58" s="1030"/>
      <c r="T58" s="1034" t="s">
        <v>446</v>
      </c>
      <c r="U58" s="1026"/>
      <c r="V58" s="1045"/>
    </row>
    <row r="59" spans="2:22" s="710" customFormat="1" x14ac:dyDescent="0.2">
      <c r="B59" s="1044"/>
      <c r="C59" s="757"/>
      <c r="D59" s="1035" t="s">
        <v>425</v>
      </c>
      <c r="E59" s="1026"/>
      <c r="F59" s="767" t="s">
        <v>426</v>
      </c>
      <c r="G59" s="1027"/>
      <c r="H59" s="767" t="s">
        <v>428</v>
      </c>
      <c r="I59" s="732" t="s">
        <v>201</v>
      </c>
      <c r="J59" s="732" t="s">
        <v>229</v>
      </c>
      <c r="K59" s="706" t="s">
        <v>122</v>
      </c>
      <c r="L59" s="1036" t="s">
        <v>446</v>
      </c>
      <c r="M59" s="1037"/>
      <c r="N59" s="767" t="s">
        <v>428</v>
      </c>
      <c r="O59" s="1038" t="s">
        <v>446</v>
      </c>
      <c r="P59" s="1037"/>
      <c r="Q59" s="767" t="s">
        <v>428</v>
      </c>
      <c r="R59" s="706" t="s">
        <v>446</v>
      </c>
      <c r="S59" s="1037"/>
      <c r="T59" s="706"/>
      <c r="U59" s="1026"/>
      <c r="V59" s="1045"/>
    </row>
    <row r="60" spans="2:22" x14ac:dyDescent="0.2">
      <c r="B60" s="49"/>
      <c r="C60" s="69"/>
      <c r="D60" s="633"/>
      <c r="E60" s="120"/>
      <c r="F60" s="633"/>
      <c r="G60" s="120"/>
      <c r="H60" s="633"/>
      <c r="I60" s="99"/>
      <c r="J60" s="99"/>
      <c r="K60" s="291"/>
      <c r="L60" s="1043">
        <f>(((IF(I60="",0,VLOOKUP(I60,tab!#REF!,J60+2,FALSE)))*K60)*12)*(1+tab!$C$62)</f>
        <v>0</v>
      </c>
      <c r="M60" s="120"/>
      <c r="N60" s="633"/>
      <c r="O60" s="657">
        <v>0</v>
      </c>
      <c r="P60" s="120"/>
      <c r="Q60" s="634"/>
      <c r="R60" s="657">
        <v>0</v>
      </c>
      <c r="S60" s="120"/>
      <c r="T60" s="1042">
        <f t="shared" ref="T60:T66" si="4">L60+O60+R60</f>
        <v>0</v>
      </c>
      <c r="U60" s="120"/>
      <c r="V60" s="53"/>
    </row>
    <row r="61" spans="2:22" x14ac:dyDescent="0.2">
      <c r="B61" s="49"/>
      <c r="C61" s="76"/>
      <c r="D61" s="633"/>
      <c r="E61" s="100"/>
      <c r="F61" s="633"/>
      <c r="G61" s="100"/>
      <c r="H61" s="633"/>
      <c r="I61" s="99"/>
      <c r="J61" s="99"/>
      <c r="K61" s="291"/>
      <c r="L61" s="1043">
        <f>(((IF(I61="",0,VLOOKUP(I61,tab!#REF!,J61+2,FALSE)))*K61)*12)*(1+tab!$C$62)</f>
        <v>0</v>
      </c>
      <c r="M61" s="100"/>
      <c r="N61" s="633"/>
      <c r="O61" s="657">
        <v>0</v>
      </c>
      <c r="P61" s="100"/>
      <c r="Q61" s="635"/>
      <c r="R61" s="657">
        <v>0</v>
      </c>
      <c r="S61" s="100"/>
      <c r="T61" s="1042">
        <f t="shared" si="4"/>
        <v>0</v>
      </c>
      <c r="U61" s="100"/>
      <c r="V61" s="53"/>
    </row>
    <row r="62" spans="2:22" x14ac:dyDescent="0.2">
      <c r="B62" s="49"/>
      <c r="C62" s="76"/>
      <c r="D62" s="633"/>
      <c r="E62" s="100"/>
      <c r="F62" s="633"/>
      <c r="G62" s="100"/>
      <c r="H62" s="633"/>
      <c r="I62" s="99"/>
      <c r="J62" s="99"/>
      <c r="K62" s="291"/>
      <c r="L62" s="1043">
        <f>(((IF(I62="",0,VLOOKUP(I62,tab!#REF!,J62+2,FALSE)))*K62)*12)*(1+tab!$C$62)</f>
        <v>0</v>
      </c>
      <c r="M62" s="100"/>
      <c r="N62" s="633"/>
      <c r="O62" s="657">
        <v>0</v>
      </c>
      <c r="P62" s="100"/>
      <c r="Q62" s="635"/>
      <c r="R62" s="657">
        <v>0</v>
      </c>
      <c r="S62" s="100"/>
      <c r="T62" s="1042">
        <f t="shared" si="4"/>
        <v>0</v>
      </c>
      <c r="U62" s="100"/>
      <c r="V62" s="53"/>
    </row>
    <row r="63" spans="2:22" x14ac:dyDescent="0.2">
      <c r="B63" s="49"/>
      <c r="C63" s="76"/>
      <c r="D63" s="633"/>
      <c r="E63" s="100"/>
      <c r="F63" s="633"/>
      <c r="G63" s="100"/>
      <c r="H63" s="633"/>
      <c r="I63" s="99"/>
      <c r="J63" s="99"/>
      <c r="K63" s="291"/>
      <c r="L63" s="1043">
        <f>(((IF(I63="",0,VLOOKUP(I63,tab!#REF!,J63+2,FALSE)))*K63)*12)*(1+tab!$C$62)</f>
        <v>0</v>
      </c>
      <c r="M63" s="100"/>
      <c r="N63" s="633"/>
      <c r="O63" s="657">
        <v>0</v>
      </c>
      <c r="P63" s="100"/>
      <c r="Q63" s="635"/>
      <c r="R63" s="657">
        <v>0</v>
      </c>
      <c r="S63" s="100"/>
      <c r="T63" s="1042">
        <f t="shared" si="4"/>
        <v>0</v>
      </c>
      <c r="U63" s="100"/>
      <c r="V63" s="53"/>
    </row>
    <row r="64" spans="2:22" x14ac:dyDescent="0.2">
      <c r="B64" s="49"/>
      <c r="C64" s="76"/>
      <c r="D64" s="633"/>
      <c r="E64" s="100"/>
      <c r="F64" s="633"/>
      <c r="G64" s="100"/>
      <c r="H64" s="633"/>
      <c r="I64" s="99"/>
      <c r="J64" s="99"/>
      <c r="K64" s="291"/>
      <c r="L64" s="1043">
        <f>(((IF(I64="",0,VLOOKUP(I64,tab!#REF!,J64+2,FALSE)))*K64)*12)*(1+tab!$C$62)</f>
        <v>0</v>
      </c>
      <c r="M64" s="100"/>
      <c r="N64" s="633"/>
      <c r="O64" s="657">
        <v>0</v>
      </c>
      <c r="P64" s="100"/>
      <c r="Q64" s="635"/>
      <c r="R64" s="657">
        <v>0</v>
      </c>
      <c r="S64" s="100"/>
      <c r="T64" s="1042">
        <f t="shared" si="4"/>
        <v>0</v>
      </c>
      <c r="U64" s="100"/>
      <c r="V64" s="53"/>
    </row>
    <row r="65" spans="2:22" x14ac:dyDescent="0.2">
      <c r="B65" s="49"/>
      <c r="C65" s="76"/>
      <c r="D65" s="633"/>
      <c r="E65" s="100"/>
      <c r="F65" s="633"/>
      <c r="G65" s="100"/>
      <c r="H65" s="633"/>
      <c r="I65" s="99"/>
      <c r="J65" s="99"/>
      <c r="K65" s="291"/>
      <c r="L65" s="1043">
        <f>(((IF(I65="",0,VLOOKUP(I65,tab!#REF!,J65+2,FALSE)))*K65)*12)*(1+tab!$C$62)</f>
        <v>0</v>
      </c>
      <c r="M65" s="100"/>
      <c r="N65" s="633"/>
      <c r="O65" s="657">
        <v>0</v>
      </c>
      <c r="P65" s="100"/>
      <c r="Q65" s="635"/>
      <c r="R65" s="657">
        <v>0</v>
      </c>
      <c r="S65" s="100"/>
      <c r="T65" s="1042">
        <f t="shared" si="4"/>
        <v>0</v>
      </c>
      <c r="U65" s="100"/>
      <c r="V65" s="53"/>
    </row>
    <row r="66" spans="2:22" x14ac:dyDescent="0.2">
      <c r="B66" s="49"/>
      <c r="C66" s="639"/>
      <c r="D66" s="636"/>
      <c r="E66" s="639"/>
      <c r="F66" s="636"/>
      <c r="G66" s="639"/>
      <c r="H66" s="636"/>
      <c r="I66" s="636"/>
      <c r="J66" s="636"/>
      <c r="K66" s="636"/>
      <c r="L66" s="1041">
        <f>SUM(L60:L65)</f>
        <v>0</v>
      </c>
      <c r="M66" s="639"/>
      <c r="N66" s="636"/>
      <c r="O66" s="1039">
        <f>SUM(O60:O65)</f>
        <v>0</v>
      </c>
      <c r="P66" s="639"/>
      <c r="Q66" s="636"/>
      <c r="R66" s="1039">
        <f>SUM(R60:R65)</f>
        <v>0</v>
      </c>
      <c r="S66" s="639"/>
      <c r="T66" s="1040">
        <f t="shared" si="4"/>
        <v>0</v>
      </c>
      <c r="U66" s="640"/>
      <c r="V66" s="53"/>
    </row>
    <row r="67" spans="2:22" x14ac:dyDescent="0.2">
      <c r="B67" s="49"/>
      <c r="E67" s="493"/>
      <c r="F67" s="493"/>
      <c r="G67" s="493"/>
      <c r="H67" s="493"/>
      <c r="I67" s="493"/>
      <c r="J67" s="493"/>
      <c r="K67" s="493"/>
      <c r="L67" s="658"/>
      <c r="M67" s="493"/>
      <c r="N67" s="493"/>
      <c r="O67" s="651"/>
      <c r="P67" s="493"/>
      <c r="Q67" s="493"/>
      <c r="R67" s="493"/>
      <c r="S67" s="493"/>
      <c r="T67" s="493"/>
      <c r="U67" s="493"/>
      <c r="V67" s="53"/>
    </row>
    <row r="68" spans="2:22" x14ac:dyDescent="0.2">
      <c r="B68" s="49"/>
      <c r="C68" s="50"/>
      <c r="D68" s="469"/>
      <c r="E68" s="50"/>
      <c r="F68" s="428"/>
      <c r="G68" s="50"/>
      <c r="H68" s="428"/>
      <c r="I68" s="428"/>
      <c r="J68" s="428"/>
      <c r="K68" s="428"/>
      <c r="L68" s="629"/>
      <c r="M68" s="50"/>
      <c r="N68" s="428"/>
      <c r="O68" s="653"/>
      <c r="P68" s="50"/>
      <c r="Q68" s="428"/>
      <c r="R68" s="428"/>
      <c r="S68" s="50"/>
      <c r="T68" s="428"/>
      <c r="U68" s="50"/>
      <c r="V68" s="53"/>
    </row>
    <row r="69" spans="2:22" ht="15" x14ac:dyDescent="0.25">
      <c r="B69" s="124"/>
      <c r="C69" s="125"/>
      <c r="D69" s="562"/>
      <c r="E69" s="114"/>
      <c r="F69" s="355"/>
      <c r="G69" s="114"/>
      <c r="H69" s="355"/>
      <c r="I69" s="355"/>
      <c r="J69" s="355"/>
      <c r="K69" s="355"/>
      <c r="L69" s="660"/>
      <c r="M69" s="114"/>
      <c r="N69" s="355"/>
      <c r="O69" s="654"/>
      <c r="P69" s="114"/>
      <c r="Q69" s="355"/>
      <c r="R69" s="355"/>
      <c r="S69" s="114"/>
      <c r="T69" s="355"/>
      <c r="U69" s="114" t="s">
        <v>384</v>
      </c>
      <c r="V69" s="126"/>
    </row>
    <row r="70" spans="2:22" x14ac:dyDescent="0.2">
      <c r="D70" s="475"/>
      <c r="F70" s="328"/>
      <c r="H70" s="328"/>
      <c r="I70" s="328"/>
      <c r="J70" s="328"/>
      <c r="K70" s="328"/>
      <c r="L70" s="661"/>
      <c r="N70" s="328"/>
      <c r="O70" s="655"/>
      <c r="Q70" s="328"/>
      <c r="R70" s="328"/>
      <c r="T70" s="328"/>
    </row>
    <row r="71" spans="2:22" x14ac:dyDescent="0.2">
      <c r="H71" s="216"/>
      <c r="I71" s="216"/>
      <c r="J71" s="216"/>
      <c r="K71" s="216"/>
      <c r="N71" s="216"/>
    </row>
    <row r="72" spans="2:22" x14ac:dyDescent="0.2">
      <c r="H72" s="216"/>
      <c r="I72" s="216"/>
      <c r="J72" s="216"/>
      <c r="K72" s="216"/>
      <c r="N72" s="216"/>
    </row>
    <row r="73" spans="2:22" x14ac:dyDescent="0.2">
      <c r="H73" s="216"/>
      <c r="I73" s="216"/>
      <c r="J73" s="216"/>
      <c r="K73" s="216"/>
      <c r="N73" s="216"/>
    </row>
    <row r="74" spans="2:22" x14ac:dyDescent="0.2">
      <c r="H74" s="216"/>
      <c r="I74" s="216"/>
      <c r="J74" s="216"/>
      <c r="K74" s="216"/>
      <c r="N74" s="216"/>
    </row>
    <row r="75" spans="2:22" x14ac:dyDescent="0.2">
      <c r="D75" s="662" t="s">
        <v>129</v>
      </c>
      <c r="H75" s="216"/>
      <c r="I75" s="216"/>
      <c r="J75" s="216"/>
      <c r="K75" s="216"/>
      <c r="N75" s="216"/>
    </row>
    <row r="76" spans="2:22" x14ac:dyDescent="0.2">
      <c r="D76" s="662" t="s">
        <v>130</v>
      </c>
      <c r="H76" s="216"/>
      <c r="I76" s="216"/>
      <c r="J76" s="216"/>
      <c r="K76" s="216"/>
      <c r="N76" s="216"/>
    </row>
    <row r="77" spans="2:22" x14ac:dyDescent="0.2">
      <c r="D77" s="662" t="s">
        <v>131</v>
      </c>
      <c r="H77" s="216"/>
      <c r="I77" s="216"/>
      <c r="J77" s="216"/>
      <c r="K77" s="216"/>
      <c r="N77" s="216"/>
    </row>
    <row r="78" spans="2:22" x14ac:dyDescent="0.2">
      <c r="D78" s="662" t="s">
        <v>132</v>
      </c>
      <c r="H78" s="216"/>
      <c r="I78" s="216"/>
      <c r="J78" s="216"/>
      <c r="K78" s="216"/>
      <c r="N78" s="216"/>
    </row>
    <row r="79" spans="2:22" x14ac:dyDescent="0.2">
      <c r="D79" s="662" t="s">
        <v>135</v>
      </c>
      <c r="H79" s="216"/>
      <c r="I79" s="216"/>
      <c r="J79" s="216"/>
      <c r="K79" s="216"/>
      <c r="N79" s="216"/>
    </row>
    <row r="80" spans="2:22" x14ac:dyDescent="0.2">
      <c r="D80" s="662" t="s">
        <v>123</v>
      </c>
      <c r="H80" s="216"/>
      <c r="I80" s="216"/>
      <c r="J80" s="216"/>
      <c r="K80" s="216"/>
      <c r="N80" s="216"/>
    </row>
    <row r="81" spans="4:14" x14ac:dyDescent="0.2">
      <c r="D81" s="662" t="s">
        <v>124</v>
      </c>
      <c r="H81" s="216"/>
      <c r="I81" s="216"/>
      <c r="J81" s="216"/>
      <c r="K81" s="216"/>
      <c r="N81" s="216"/>
    </row>
    <row r="82" spans="4:14" x14ac:dyDescent="0.2">
      <c r="D82" s="662" t="s">
        <v>148</v>
      </c>
      <c r="H82" s="216"/>
      <c r="I82" s="216"/>
      <c r="J82" s="216"/>
      <c r="K82" s="216"/>
      <c r="N82" s="216"/>
    </row>
    <row r="83" spans="4:14" x14ac:dyDescent="0.2">
      <c r="D83" s="662" t="s">
        <v>125</v>
      </c>
      <c r="H83" s="216"/>
      <c r="I83" s="216"/>
      <c r="J83" s="216"/>
      <c r="K83" s="216"/>
      <c r="N83" s="216"/>
    </row>
    <row r="84" spans="4:14" x14ac:dyDescent="0.2">
      <c r="D84" s="662" t="s">
        <v>149</v>
      </c>
      <c r="H84" s="216"/>
      <c r="I84" s="216"/>
      <c r="J84" s="216"/>
      <c r="K84" s="216"/>
      <c r="N84" s="216"/>
    </row>
    <row r="85" spans="4:14" x14ac:dyDescent="0.2">
      <c r="D85" s="662" t="s">
        <v>133</v>
      </c>
      <c r="H85" s="216"/>
      <c r="I85" s="216"/>
      <c r="J85" s="216"/>
      <c r="K85" s="216"/>
      <c r="N85" s="216"/>
    </row>
    <row r="86" spans="4:14" x14ac:dyDescent="0.2">
      <c r="D86" s="662" t="s">
        <v>134</v>
      </c>
      <c r="H86" s="216"/>
      <c r="I86" s="216"/>
      <c r="J86" s="216"/>
      <c r="K86" s="216"/>
      <c r="N86" s="216"/>
    </row>
    <row r="87" spans="4:14" x14ac:dyDescent="0.2">
      <c r="D87" s="205" t="s">
        <v>152</v>
      </c>
      <c r="H87" s="216"/>
      <c r="I87" s="216"/>
      <c r="J87" s="216"/>
      <c r="K87" s="216"/>
      <c r="N87" s="216"/>
    </row>
    <row r="88" spans="4:14" x14ac:dyDescent="0.2">
      <c r="D88" s="205" t="s">
        <v>162</v>
      </c>
      <c r="H88" s="216"/>
      <c r="I88" s="216"/>
      <c r="J88" s="216"/>
      <c r="K88" s="216"/>
      <c r="N88" s="216"/>
    </row>
    <row r="89" spans="4:14" x14ac:dyDescent="0.2">
      <c r="D89" s="205" t="s">
        <v>153</v>
      </c>
      <c r="H89" s="216"/>
      <c r="I89" s="216"/>
      <c r="J89" s="216"/>
      <c r="K89" s="216"/>
      <c r="N89" s="216"/>
    </row>
    <row r="90" spans="4:14" x14ac:dyDescent="0.2">
      <c r="D90" s="662" t="s">
        <v>126</v>
      </c>
      <c r="H90" s="216"/>
      <c r="I90" s="216"/>
      <c r="J90" s="216"/>
      <c r="K90" s="216"/>
      <c r="N90" s="216"/>
    </row>
    <row r="91" spans="4:14" x14ac:dyDescent="0.2">
      <c r="D91" s="662" t="s">
        <v>127</v>
      </c>
      <c r="H91" s="216"/>
      <c r="I91" s="216"/>
      <c r="J91" s="216"/>
      <c r="K91" s="216"/>
      <c r="N91" s="216"/>
    </row>
    <row r="92" spans="4:14" x14ac:dyDescent="0.2">
      <c r="D92" s="662" t="s">
        <v>128</v>
      </c>
      <c r="H92" s="216"/>
      <c r="I92" s="216"/>
      <c r="J92" s="216"/>
      <c r="K92" s="216"/>
      <c r="N92" s="216"/>
    </row>
    <row r="93" spans="4:14" x14ac:dyDescent="0.2">
      <c r="D93" s="662" t="s">
        <v>136</v>
      </c>
      <c r="H93" s="216"/>
      <c r="I93" s="216"/>
      <c r="J93" s="216"/>
      <c r="K93" s="216"/>
      <c r="N93" s="216"/>
    </row>
    <row r="94" spans="4:14" x14ac:dyDescent="0.2">
      <c r="D94" s="662" t="s">
        <v>137</v>
      </c>
      <c r="H94" s="216"/>
      <c r="I94" s="216"/>
      <c r="J94" s="216"/>
      <c r="K94" s="216"/>
      <c r="N94" s="216"/>
    </row>
    <row r="95" spans="4:14" x14ac:dyDescent="0.2">
      <c r="D95" s="205" t="s">
        <v>150</v>
      </c>
      <c r="H95" s="216"/>
      <c r="I95" s="216"/>
      <c r="J95" s="216"/>
      <c r="K95" s="216"/>
      <c r="N95" s="216"/>
    </row>
    <row r="96" spans="4:14" x14ac:dyDescent="0.2">
      <c r="D96" s="205" t="s">
        <v>151</v>
      </c>
      <c r="H96" s="216"/>
      <c r="I96" s="216"/>
      <c r="J96" s="216"/>
      <c r="K96" s="216"/>
      <c r="N96" s="216"/>
    </row>
    <row r="97" spans="4:14" x14ac:dyDescent="0.2">
      <c r="D97" s="663" t="s">
        <v>335</v>
      </c>
      <c r="H97" s="216"/>
      <c r="I97" s="216"/>
      <c r="J97" s="216"/>
      <c r="K97" s="216"/>
      <c r="N97" s="216"/>
    </row>
    <row r="98" spans="4:14" x14ac:dyDescent="0.2">
      <c r="D98" s="663" t="s">
        <v>329</v>
      </c>
      <c r="H98" s="216"/>
      <c r="I98" s="216"/>
      <c r="J98" s="216"/>
      <c r="K98" s="216"/>
      <c r="N98" s="216"/>
    </row>
    <row r="99" spans="4:14" x14ac:dyDescent="0.2">
      <c r="D99" s="663" t="s">
        <v>330</v>
      </c>
      <c r="H99" s="216"/>
      <c r="I99" s="216"/>
      <c r="J99" s="216"/>
      <c r="K99" s="216"/>
      <c r="N99" s="216"/>
    </row>
    <row r="100" spans="4:14" x14ac:dyDescent="0.2">
      <c r="D100" s="663" t="s">
        <v>332</v>
      </c>
      <c r="H100" s="216"/>
      <c r="I100" s="216"/>
      <c r="J100" s="216"/>
      <c r="K100" s="216"/>
      <c r="N100" s="216"/>
    </row>
    <row r="101" spans="4:14" x14ac:dyDescent="0.2">
      <c r="D101" s="663" t="s">
        <v>331</v>
      </c>
      <c r="H101" s="216"/>
      <c r="I101" s="216"/>
      <c r="J101" s="216"/>
      <c r="K101" s="216"/>
      <c r="N101" s="216"/>
    </row>
    <row r="102" spans="4:14" x14ac:dyDescent="0.2">
      <c r="D102" s="205">
        <v>1</v>
      </c>
      <c r="H102" s="216"/>
      <c r="I102" s="216"/>
      <c r="J102" s="216"/>
      <c r="K102" s="216"/>
      <c r="N102" s="216"/>
    </row>
    <row r="103" spans="4:14" x14ac:dyDescent="0.2">
      <c r="D103" s="205">
        <v>2</v>
      </c>
      <c r="H103" s="216"/>
      <c r="I103" s="216"/>
      <c r="J103" s="216"/>
      <c r="K103" s="216"/>
      <c r="N103" s="216"/>
    </row>
    <row r="104" spans="4:14" x14ac:dyDescent="0.2">
      <c r="D104" s="205">
        <v>3</v>
      </c>
      <c r="H104" s="216"/>
      <c r="I104" s="216"/>
      <c r="J104" s="216"/>
      <c r="K104" s="216"/>
      <c r="N104" s="216"/>
    </row>
    <row r="105" spans="4:14" x14ac:dyDescent="0.2">
      <c r="D105" s="205">
        <v>4</v>
      </c>
      <c r="H105" s="216"/>
      <c r="I105" s="216"/>
      <c r="J105" s="216"/>
      <c r="K105" s="216"/>
      <c r="N105" s="216"/>
    </row>
    <row r="106" spans="4:14" x14ac:dyDescent="0.2">
      <c r="D106" s="205">
        <v>5</v>
      </c>
      <c r="H106" s="216"/>
      <c r="I106" s="216"/>
      <c r="J106" s="216"/>
      <c r="K106" s="216"/>
      <c r="N106" s="216"/>
    </row>
    <row r="107" spans="4:14" x14ac:dyDescent="0.2">
      <c r="D107" s="205">
        <v>6</v>
      </c>
      <c r="H107" s="216"/>
      <c r="I107" s="216"/>
      <c r="J107" s="216"/>
      <c r="K107" s="216"/>
      <c r="N107" s="216"/>
    </row>
    <row r="108" spans="4:14" x14ac:dyDescent="0.2">
      <c r="D108" s="205">
        <v>7</v>
      </c>
      <c r="H108" s="216"/>
      <c r="I108" s="216"/>
      <c r="J108" s="216"/>
      <c r="K108" s="216"/>
      <c r="N108" s="216"/>
    </row>
    <row r="109" spans="4:14" x14ac:dyDescent="0.2">
      <c r="D109" s="205">
        <v>8</v>
      </c>
      <c r="H109" s="216"/>
      <c r="I109" s="216"/>
      <c r="J109" s="216"/>
      <c r="K109" s="216"/>
      <c r="N109" s="216"/>
    </row>
    <row r="110" spans="4:14" x14ac:dyDescent="0.2">
      <c r="D110" s="205">
        <v>9</v>
      </c>
      <c r="H110" s="216"/>
      <c r="I110" s="216"/>
      <c r="J110" s="216"/>
      <c r="K110" s="216"/>
      <c r="N110" s="216"/>
    </row>
    <row r="111" spans="4:14" x14ac:dyDescent="0.2">
      <c r="D111" s="205">
        <v>10</v>
      </c>
      <c r="H111" s="216"/>
      <c r="I111" s="216"/>
      <c r="J111" s="216"/>
      <c r="K111" s="216"/>
      <c r="N111" s="216"/>
    </row>
    <row r="112" spans="4:14" x14ac:dyDescent="0.2">
      <c r="D112" s="205">
        <v>11</v>
      </c>
      <c r="H112" s="216"/>
      <c r="I112" s="216"/>
      <c r="J112" s="216"/>
      <c r="K112" s="216"/>
      <c r="N112" s="216"/>
    </row>
    <row r="113" spans="4:14" x14ac:dyDescent="0.2">
      <c r="D113" s="205">
        <v>12</v>
      </c>
      <c r="H113" s="216"/>
      <c r="I113" s="216"/>
      <c r="J113" s="216"/>
      <c r="K113" s="216"/>
      <c r="N113" s="216"/>
    </row>
    <row r="114" spans="4:14" x14ac:dyDescent="0.2">
      <c r="D114" s="205">
        <v>13</v>
      </c>
      <c r="H114" s="216"/>
      <c r="I114" s="216"/>
      <c r="J114" s="216"/>
      <c r="K114" s="216"/>
      <c r="N114" s="216"/>
    </row>
    <row r="115" spans="4:14" x14ac:dyDescent="0.2">
      <c r="D115" s="205">
        <v>14</v>
      </c>
      <c r="H115" s="216"/>
      <c r="I115" s="216"/>
      <c r="J115" s="216"/>
      <c r="K115" s="216"/>
      <c r="N115" s="216"/>
    </row>
    <row r="116" spans="4:14" x14ac:dyDescent="0.2">
      <c r="D116" s="205">
        <v>15</v>
      </c>
      <c r="H116" s="216"/>
      <c r="I116" s="216"/>
      <c r="J116" s="216"/>
      <c r="K116" s="216"/>
      <c r="N116" s="216"/>
    </row>
    <row r="117" spans="4:14" x14ac:dyDescent="0.2">
      <c r="D117" s="205">
        <v>16</v>
      </c>
      <c r="H117" s="216"/>
      <c r="I117" s="216"/>
      <c r="J117" s="216"/>
      <c r="K117" s="216"/>
      <c r="N117" s="216"/>
    </row>
    <row r="118" spans="4:14" x14ac:dyDescent="0.2">
      <c r="H118" s="216"/>
      <c r="I118" s="216"/>
      <c r="J118" s="216"/>
      <c r="K118" s="216"/>
      <c r="N118" s="216"/>
    </row>
    <row r="119" spans="4:14" x14ac:dyDescent="0.2">
      <c r="H119" s="216"/>
      <c r="I119" s="216"/>
      <c r="J119" s="216"/>
      <c r="K119" s="216"/>
      <c r="N119" s="216"/>
    </row>
    <row r="120" spans="4:14" x14ac:dyDescent="0.2">
      <c r="H120" s="216"/>
      <c r="I120" s="216"/>
      <c r="J120" s="216"/>
      <c r="K120" s="216"/>
      <c r="N120" s="216"/>
    </row>
    <row r="121" spans="4:14" x14ac:dyDescent="0.2">
      <c r="H121" s="216"/>
      <c r="I121" s="216"/>
      <c r="J121" s="216"/>
      <c r="K121" s="216"/>
      <c r="N121" s="216"/>
    </row>
    <row r="122" spans="4:14" x14ac:dyDescent="0.2">
      <c r="H122" s="216"/>
      <c r="I122" s="216"/>
      <c r="J122" s="216"/>
      <c r="K122" s="216"/>
      <c r="N122" s="216"/>
    </row>
  </sheetData>
  <sheetProtection algorithmName="SHA-512" hashValue="fa1mbv8AdNMo9vvp6QHc3TqXFofpvgL1ETZNudIOfUbBMqoDoxSUN1ldmmwFGzQB9+fM9U08O2h7TeBpAW/bJA==" saltValue="yErAgR/6rtxUUe9PVaHJgg==" spinCount="100000" sheet="1" objects="1" scenarios="1"/>
  <dataValidations count="1">
    <dataValidation type="list" allowBlank="1" showInputMessage="1" showErrorMessage="1" sqref="I12:I17 I24:I29 I36:I41 I48:I53 I60:I65">
      <formula1>$D$75:$D$117</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&amp;L&amp;"Arial,Vet"PO-Raad&amp;C&amp;"Arial,Vet"&amp;D&amp;R&amp;"Arial,Vet"pagina &amp;P</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B1:N107"/>
  <sheetViews>
    <sheetView showGridLines="0" zoomScale="85" zoomScaleNormal="85" zoomScaleSheetLayoutView="7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48" customWidth="1"/>
    <col min="2" max="3" width="2.7109375" style="48" customWidth="1"/>
    <col min="4" max="4" width="40.7109375" style="48" customWidth="1"/>
    <col min="5" max="5" width="2.7109375" style="48" customWidth="1"/>
    <col min="6" max="11" width="14.7109375" style="48" customWidth="1"/>
    <col min="12" max="13" width="2.7109375" style="48" customWidth="1"/>
    <col min="14" max="14" width="15.42578125" style="48" customWidth="1"/>
    <col min="15" max="16" width="5.7109375" style="48" customWidth="1"/>
    <col min="17" max="16384" width="9.140625" style="48"/>
  </cols>
  <sheetData>
    <row r="1" spans="2:14" ht="12.75" customHeight="1" x14ac:dyDescent="0.2"/>
    <row r="2" spans="2:14" ht="12.95" customHeight="1" x14ac:dyDescent="0.2">
      <c r="B2" s="43"/>
      <c r="C2" s="44"/>
      <c r="D2" s="44"/>
      <c r="E2" s="44"/>
      <c r="F2" s="44"/>
      <c r="G2" s="44"/>
      <c r="H2" s="44"/>
      <c r="I2" s="44"/>
      <c r="J2" s="44"/>
      <c r="K2" s="44"/>
      <c r="L2" s="44"/>
      <c r="M2" s="47"/>
    </row>
    <row r="3" spans="2:14" ht="12.95" customHeight="1" x14ac:dyDescent="0.2">
      <c r="B3" s="49"/>
      <c r="C3" s="50"/>
      <c r="D3" s="50"/>
      <c r="E3" s="50"/>
      <c r="F3" s="50"/>
      <c r="G3" s="50"/>
      <c r="H3" s="50"/>
      <c r="I3" s="50"/>
      <c r="J3" s="50"/>
      <c r="K3" s="50"/>
      <c r="L3" s="50"/>
      <c r="M3" s="53"/>
    </row>
    <row r="4" spans="2:14" s="81" customFormat="1" ht="18.75" x14ac:dyDescent="0.3">
      <c r="B4" s="55"/>
      <c r="C4" s="673" t="s">
        <v>364</v>
      </c>
      <c r="D4" s="56"/>
      <c r="E4" s="57"/>
      <c r="F4" s="537"/>
      <c r="G4" s="537"/>
      <c r="H4" s="57"/>
      <c r="I4" s="57"/>
      <c r="J4" s="57"/>
      <c r="K4" s="57"/>
      <c r="L4" s="673"/>
      <c r="M4" s="58"/>
    </row>
    <row r="5" spans="2:14" ht="18.75" x14ac:dyDescent="0.3">
      <c r="B5" s="483"/>
      <c r="C5" s="61" t="str">
        <f>geg!G12</f>
        <v>voorbeeld Basisschool</v>
      </c>
      <c r="D5" s="487"/>
      <c r="E5" s="50"/>
      <c r="F5" s="538"/>
      <c r="G5" s="538"/>
      <c r="H5" s="50"/>
      <c r="I5" s="50"/>
      <c r="J5" s="50"/>
      <c r="K5" s="50"/>
      <c r="L5" s="61"/>
      <c r="M5" s="53"/>
    </row>
    <row r="6" spans="2:14" ht="12.95" customHeight="1" x14ac:dyDescent="0.2">
      <c r="B6" s="49"/>
      <c r="C6" s="50"/>
      <c r="D6" s="50"/>
      <c r="E6" s="50"/>
      <c r="F6" s="50"/>
      <c r="G6" s="50"/>
      <c r="H6" s="50"/>
      <c r="I6" s="50"/>
      <c r="J6" s="50"/>
      <c r="K6" s="50"/>
      <c r="L6" s="50"/>
      <c r="M6" s="53"/>
    </row>
    <row r="7" spans="2:14" ht="12.95" customHeight="1" x14ac:dyDescent="0.2">
      <c r="B7" s="49"/>
      <c r="C7" s="50"/>
      <c r="D7" s="50"/>
      <c r="E7" s="50"/>
      <c r="F7" s="50"/>
      <c r="G7" s="50"/>
      <c r="H7" s="50"/>
      <c r="I7" s="50"/>
      <c r="J7" s="50"/>
      <c r="K7" s="50"/>
      <c r="L7" s="50"/>
      <c r="M7" s="53"/>
    </row>
    <row r="8" spans="2:14" s="81" customFormat="1" ht="12.95" customHeight="1" x14ac:dyDescent="0.2">
      <c r="B8" s="79"/>
      <c r="C8" s="57"/>
      <c r="D8" s="374"/>
      <c r="E8" s="486"/>
      <c r="F8" s="688">
        <f>tab!E4</f>
        <v>2019</v>
      </c>
      <c r="G8" s="688">
        <f>tab!F4</f>
        <v>2020</v>
      </c>
      <c r="H8" s="688">
        <f>tab!G4</f>
        <v>2021</v>
      </c>
      <c r="I8" s="688">
        <f>tab!H4</f>
        <v>2022</v>
      </c>
      <c r="J8" s="688">
        <f>tab!I4</f>
        <v>2023</v>
      </c>
      <c r="K8" s="688">
        <f>tab!J4</f>
        <v>2024</v>
      </c>
      <c r="L8" s="57"/>
      <c r="M8" s="539"/>
      <c r="N8" s="540"/>
    </row>
    <row r="9" spans="2:14" ht="12.95" customHeight="1" x14ac:dyDescent="0.2">
      <c r="B9" s="49"/>
      <c r="C9" s="50"/>
      <c r="D9" s="50"/>
      <c r="E9" s="484"/>
      <c r="F9" s="50"/>
      <c r="G9" s="50"/>
      <c r="H9" s="50"/>
      <c r="I9" s="50"/>
      <c r="J9" s="50"/>
      <c r="K9" s="50"/>
      <c r="L9" s="50"/>
      <c r="M9" s="542"/>
      <c r="N9" s="543"/>
    </row>
    <row r="10" spans="2:14" ht="12.95" customHeight="1" x14ac:dyDescent="0.2">
      <c r="B10" s="49"/>
      <c r="C10" s="66"/>
      <c r="D10" s="67"/>
      <c r="E10" s="544"/>
      <c r="F10" s="67"/>
      <c r="G10" s="67"/>
      <c r="H10" s="67"/>
      <c r="I10" s="67"/>
      <c r="J10" s="67"/>
      <c r="K10" s="67"/>
      <c r="L10" s="66"/>
      <c r="M10" s="542"/>
      <c r="N10" s="543"/>
    </row>
    <row r="11" spans="2:14" ht="12.95" customHeight="1" x14ac:dyDescent="0.2">
      <c r="B11" s="49"/>
      <c r="C11" s="69"/>
      <c r="D11" s="690" t="s">
        <v>385</v>
      </c>
      <c r="E11" s="546"/>
      <c r="F11" s="71"/>
      <c r="G11" s="71"/>
      <c r="H11" s="71"/>
      <c r="I11" s="71"/>
      <c r="J11" s="71"/>
      <c r="K11" s="71"/>
      <c r="L11" s="69"/>
      <c r="M11" s="542"/>
      <c r="N11" s="543"/>
    </row>
    <row r="12" spans="2:14" ht="12.95" customHeight="1" x14ac:dyDescent="0.2">
      <c r="B12" s="49"/>
      <c r="C12" s="69"/>
      <c r="D12" s="71"/>
      <c r="E12" s="546"/>
      <c r="F12" s="71"/>
      <c r="G12" s="71"/>
      <c r="H12" s="71"/>
      <c r="I12" s="71"/>
      <c r="J12" s="71"/>
      <c r="K12" s="71"/>
      <c r="L12" s="69"/>
      <c r="M12" s="542"/>
      <c r="N12" s="543"/>
    </row>
    <row r="13" spans="2:14" ht="12.95" customHeight="1" x14ac:dyDescent="0.2">
      <c r="B13" s="49"/>
      <c r="C13" s="69"/>
      <c r="D13" s="701" t="s">
        <v>19</v>
      </c>
      <c r="E13" s="546"/>
      <c r="F13" s="71"/>
      <c r="G13" s="71"/>
      <c r="H13" s="71"/>
      <c r="I13" s="71"/>
      <c r="J13" s="71"/>
      <c r="K13" s="71"/>
      <c r="L13" s="69"/>
      <c r="M13" s="542"/>
      <c r="N13" s="543"/>
    </row>
    <row r="14" spans="2:14" ht="12.95" customHeight="1" x14ac:dyDescent="0.2">
      <c r="B14" s="49"/>
      <c r="C14" s="69"/>
      <c r="D14" s="70" t="s">
        <v>393</v>
      </c>
      <c r="E14" s="71"/>
      <c r="F14" s="666">
        <v>0</v>
      </c>
      <c r="G14" s="677">
        <f>pers!I152+mat!I50</f>
        <v>2178373.4364145836</v>
      </c>
      <c r="H14" s="677">
        <f>pers!J152+mat!J50</f>
        <v>2147256.1312395837</v>
      </c>
      <c r="I14" s="677">
        <f>pers!K152+mat!K50</f>
        <v>2122820.0800145837</v>
      </c>
      <c r="J14" s="677">
        <f>pers!L152+mat!L50</f>
        <v>2114457.4751333338</v>
      </c>
      <c r="K14" s="677">
        <f>pers!M152+mat!M50</f>
        <v>2128597.6951333336</v>
      </c>
      <c r="L14" s="69"/>
      <c r="M14" s="53"/>
    </row>
    <row r="15" spans="2:14" ht="12.95" customHeight="1" x14ac:dyDescent="0.2">
      <c r="B15" s="49"/>
      <c r="C15" s="69"/>
      <c r="D15" s="70" t="s">
        <v>394</v>
      </c>
      <c r="E15" s="71"/>
      <c r="F15" s="667">
        <v>0</v>
      </c>
      <c r="G15" s="792">
        <f>pers!I154+mat!I62</f>
        <v>0</v>
      </c>
      <c r="H15" s="792">
        <f>pers!J154+mat!J62</f>
        <v>0</v>
      </c>
      <c r="I15" s="792">
        <f>pers!K154+mat!K62</f>
        <v>0</v>
      </c>
      <c r="J15" s="792">
        <f>pers!L154+mat!L62</f>
        <v>0</v>
      </c>
      <c r="K15" s="792">
        <f>pers!M154+mat!M62</f>
        <v>0</v>
      </c>
      <c r="L15" s="69"/>
      <c r="M15" s="53"/>
    </row>
    <row r="16" spans="2:14" ht="12.95" customHeight="1" x14ac:dyDescent="0.2">
      <c r="B16" s="49"/>
      <c r="C16" s="69"/>
      <c r="D16" s="70" t="s">
        <v>396</v>
      </c>
      <c r="E16" s="71"/>
      <c r="F16" s="666">
        <v>0</v>
      </c>
      <c r="G16" s="677">
        <v>0</v>
      </c>
      <c r="H16" s="677">
        <v>0</v>
      </c>
      <c r="I16" s="677">
        <v>0</v>
      </c>
      <c r="J16" s="677">
        <v>0</v>
      </c>
      <c r="K16" s="677">
        <v>0</v>
      </c>
      <c r="L16" s="69"/>
      <c r="M16" s="53"/>
    </row>
    <row r="17" spans="2:13" ht="12.95" customHeight="1" x14ac:dyDescent="0.2">
      <c r="B17" s="49"/>
      <c r="C17" s="69"/>
      <c r="D17" s="70" t="s">
        <v>397</v>
      </c>
      <c r="E17" s="71"/>
      <c r="F17" s="666">
        <v>0</v>
      </c>
      <c r="G17" s="677">
        <f>pers!I155+mat!I68</f>
        <v>0</v>
      </c>
      <c r="H17" s="677">
        <f>pers!J155+mat!J68</f>
        <v>0</v>
      </c>
      <c r="I17" s="677">
        <f>pers!K155+mat!K68</f>
        <v>0</v>
      </c>
      <c r="J17" s="677">
        <f>pers!L155+mat!L68</f>
        <v>0</v>
      </c>
      <c r="K17" s="677">
        <f>pers!M155+mat!M68</f>
        <v>0</v>
      </c>
      <c r="L17" s="69"/>
      <c r="M17" s="53"/>
    </row>
    <row r="18" spans="2:13" ht="12.95" customHeight="1" x14ac:dyDescent="0.2">
      <c r="B18" s="49"/>
      <c r="C18" s="69"/>
      <c r="D18" s="70" t="s">
        <v>395</v>
      </c>
      <c r="E18" s="71"/>
      <c r="F18" s="666">
        <v>0</v>
      </c>
      <c r="G18" s="677">
        <f>pers!I158+(mat!I77-mat!I68)</f>
        <v>0</v>
      </c>
      <c r="H18" s="677">
        <f>pers!J158+(mat!J77-mat!J68)</f>
        <v>0</v>
      </c>
      <c r="I18" s="677">
        <f>pers!K158+(mat!K77-mat!K68)</f>
        <v>0</v>
      </c>
      <c r="J18" s="677">
        <f>pers!L158+(mat!L77-mat!L68)</f>
        <v>0</v>
      </c>
      <c r="K18" s="677">
        <f>pers!M158+(mat!M77-mat!M68)</f>
        <v>0</v>
      </c>
      <c r="L18" s="69"/>
      <c r="M18" s="53"/>
    </row>
    <row r="19" spans="2:13" ht="12.95" customHeight="1" x14ac:dyDescent="0.2">
      <c r="B19" s="49"/>
      <c r="C19" s="69"/>
      <c r="D19" s="89"/>
      <c r="E19" s="96"/>
      <c r="F19" s="791">
        <f t="shared" ref="F19:K19" si="0">SUM(F14:F18)</f>
        <v>0</v>
      </c>
      <c r="G19" s="791">
        <f t="shared" si="0"/>
        <v>2178373.4364145836</v>
      </c>
      <c r="H19" s="791">
        <f t="shared" si="0"/>
        <v>2147256.1312395837</v>
      </c>
      <c r="I19" s="791">
        <f t="shared" si="0"/>
        <v>2122820.0800145837</v>
      </c>
      <c r="J19" s="791">
        <f t="shared" si="0"/>
        <v>2114457.4751333338</v>
      </c>
      <c r="K19" s="791">
        <f t="shared" si="0"/>
        <v>2128597.6951333336</v>
      </c>
      <c r="L19" s="69"/>
      <c r="M19" s="53"/>
    </row>
    <row r="20" spans="2:13" ht="12.95" customHeight="1" x14ac:dyDescent="0.2">
      <c r="B20" s="547"/>
      <c r="C20" s="548"/>
      <c r="D20" s="701" t="s">
        <v>78</v>
      </c>
      <c r="E20" s="96"/>
      <c r="F20" s="549"/>
      <c r="G20" s="549"/>
      <c r="H20" s="549"/>
      <c r="I20" s="549"/>
      <c r="J20" s="549"/>
      <c r="K20" s="549"/>
      <c r="L20" s="548"/>
      <c r="M20" s="53"/>
    </row>
    <row r="21" spans="2:13" ht="12.95" customHeight="1" x14ac:dyDescent="0.2">
      <c r="B21" s="49"/>
      <c r="C21" s="69"/>
      <c r="D21" s="159" t="s">
        <v>316</v>
      </c>
      <c r="E21" s="153"/>
      <c r="F21" s="1110">
        <f>pers!H163</f>
        <v>0</v>
      </c>
      <c r="G21" s="393">
        <f>pers!I163</f>
        <v>7507.2</v>
      </c>
      <c r="H21" s="393">
        <f>pers!J163</f>
        <v>7507.2</v>
      </c>
      <c r="I21" s="393">
        <f>pers!K163</f>
        <v>7507.2</v>
      </c>
      <c r="J21" s="393">
        <f>pers!L163</f>
        <v>7507.2</v>
      </c>
      <c r="K21" s="393">
        <f>pers!M163</f>
        <v>7507.2</v>
      </c>
      <c r="L21" s="69"/>
      <c r="M21" s="53"/>
    </row>
    <row r="22" spans="2:13" ht="12.95" customHeight="1" x14ac:dyDescent="0.2">
      <c r="B22" s="49"/>
      <c r="C22" s="69"/>
      <c r="D22" s="550" t="s">
        <v>338</v>
      </c>
      <c r="E22" s="153"/>
      <c r="F22" s="1110">
        <f>pers!H164</f>
        <v>0</v>
      </c>
      <c r="G22" s="393">
        <f>pers!I164</f>
        <v>0</v>
      </c>
      <c r="H22" s="393">
        <f>pers!J164</f>
        <v>0</v>
      </c>
      <c r="I22" s="393">
        <f>pers!K164</f>
        <v>0</v>
      </c>
      <c r="J22" s="393">
        <f>pers!L164</f>
        <v>0</v>
      </c>
      <c r="K22" s="393">
        <f>pers!M164</f>
        <v>0</v>
      </c>
      <c r="L22" s="69"/>
      <c r="M22" s="53"/>
    </row>
    <row r="23" spans="2:13" ht="12.95" customHeight="1" x14ac:dyDescent="0.2">
      <c r="B23" s="49"/>
      <c r="C23" s="69"/>
      <c r="D23" s="196" t="s">
        <v>398</v>
      </c>
      <c r="E23" s="153"/>
      <c r="F23" s="667">
        <v>0</v>
      </c>
      <c r="G23" s="792">
        <f>G21+G22</f>
        <v>7507.2</v>
      </c>
      <c r="H23" s="792">
        <f>H21+H22</f>
        <v>7507.2</v>
      </c>
      <c r="I23" s="792">
        <f>I21+I22</f>
        <v>7507.2</v>
      </c>
      <c r="J23" s="792">
        <f>J21+J22</f>
        <v>7507.2</v>
      </c>
      <c r="K23" s="792">
        <f>K21+K22</f>
        <v>7507.2</v>
      </c>
      <c r="L23" s="69"/>
      <c r="M23" s="53"/>
    </row>
    <row r="24" spans="2:13" ht="12.95" customHeight="1" x14ac:dyDescent="0.2">
      <c r="B24" s="49"/>
      <c r="C24" s="69"/>
      <c r="D24" s="71" t="s">
        <v>399</v>
      </c>
      <c r="E24" s="71"/>
      <c r="F24" s="792">
        <f>act!F40</f>
        <v>0</v>
      </c>
      <c r="G24" s="792">
        <f>act!G40</f>
        <v>0</v>
      </c>
      <c r="H24" s="792">
        <f>act!H40</f>
        <v>0</v>
      </c>
      <c r="I24" s="792">
        <f>act!I40</f>
        <v>0</v>
      </c>
      <c r="J24" s="792">
        <f>act!J40</f>
        <v>0</v>
      </c>
      <c r="K24" s="792">
        <f>act!K50</f>
        <v>0</v>
      </c>
      <c r="L24" s="69"/>
      <c r="M24" s="53"/>
    </row>
    <row r="25" spans="2:13" ht="12.95" customHeight="1" x14ac:dyDescent="0.2">
      <c r="B25" s="49"/>
      <c r="C25" s="69"/>
      <c r="D25" s="71" t="s">
        <v>400</v>
      </c>
      <c r="E25" s="71"/>
      <c r="F25" s="792">
        <f>mat!H116</f>
        <v>0</v>
      </c>
      <c r="G25" s="792">
        <f>mat!I116</f>
        <v>0</v>
      </c>
      <c r="H25" s="792">
        <f>mat!J116</f>
        <v>0</v>
      </c>
      <c r="I25" s="792">
        <f>mat!K116</f>
        <v>0</v>
      </c>
      <c r="J25" s="792">
        <f>mat!L116</f>
        <v>0</v>
      </c>
      <c r="K25" s="792">
        <f>mat!M116</f>
        <v>0</v>
      </c>
      <c r="L25" s="69"/>
      <c r="M25" s="53"/>
    </row>
    <row r="26" spans="2:13" ht="12.95" customHeight="1" x14ac:dyDescent="0.2">
      <c r="B26" s="49"/>
      <c r="C26" s="69"/>
      <c r="D26" s="71" t="s">
        <v>401</v>
      </c>
      <c r="E26" s="71"/>
      <c r="F26" s="677">
        <f>mat!H158</f>
        <v>0</v>
      </c>
      <c r="G26" s="677">
        <f>mat!I158</f>
        <v>0</v>
      </c>
      <c r="H26" s="677">
        <f>mat!J158</f>
        <v>0</v>
      </c>
      <c r="I26" s="677">
        <f>mat!K158</f>
        <v>0</v>
      </c>
      <c r="J26" s="677">
        <f>mat!L158</f>
        <v>0</v>
      </c>
      <c r="K26" s="677">
        <f>mat!M158</f>
        <v>0</v>
      </c>
      <c r="L26" s="69"/>
      <c r="M26" s="53"/>
    </row>
    <row r="27" spans="2:13" ht="12.95" customHeight="1" x14ac:dyDescent="0.2">
      <c r="B27" s="49"/>
      <c r="C27" s="69"/>
      <c r="D27" s="89"/>
      <c r="E27" s="71"/>
      <c r="F27" s="791">
        <f t="shared" ref="F27:K27" si="1">SUM(F23:F26)</f>
        <v>0</v>
      </c>
      <c r="G27" s="791">
        <f t="shared" si="1"/>
        <v>7507.2</v>
      </c>
      <c r="H27" s="791">
        <f t="shared" si="1"/>
        <v>7507.2</v>
      </c>
      <c r="I27" s="791">
        <f t="shared" si="1"/>
        <v>7507.2</v>
      </c>
      <c r="J27" s="791">
        <f t="shared" si="1"/>
        <v>7507.2</v>
      </c>
      <c r="K27" s="791">
        <f t="shared" si="1"/>
        <v>7507.2</v>
      </c>
      <c r="L27" s="69"/>
      <c r="M27" s="53"/>
    </row>
    <row r="28" spans="2:13" ht="12.95" customHeight="1" x14ac:dyDescent="0.2">
      <c r="B28" s="49"/>
      <c r="C28" s="69"/>
      <c r="D28" s="105"/>
      <c r="E28" s="153"/>
      <c r="F28" s="551"/>
      <c r="G28" s="551"/>
      <c r="H28" s="551"/>
      <c r="I28" s="551"/>
      <c r="J28" s="551"/>
      <c r="K28" s="551"/>
      <c r="L28" s="69"/>
      <c r="M28" s="53"/>
    </row>
    <row r="29" spans="2:13" ht="12.95" customHeight="1" x14ac:dyDescent="0.2">
      <c r="B29" s="116"/>
      <c r="C29" s="121"/>
      <c r="D29" s="89" t="s">
        <v>20</v>
      </c>
      <c r="E29" s="153"/>
      <c r="F29" s="790">
        <f t="shared" ref="F29:K29" si="2">F19-F27</f>
        <v>0</v>
      </c>
      <c r="G29" s="790">
        <f t="shared" si="2"/>
        <v>2170866.2364145834</v>
      </c>
      <c r="H29" s="790">
        <f t="shared" si="2"/>
        <v>2139748.9312395835</v>
      </c>
      <c r="I29" s="790">
        <f t="shared" si="2"/>
        <v>2115312.8800145835</v>
      </c>
      <c r="J29" s="790">
        <f t="shared" si="2"/>
        <v>2106950.2751333336</v>
      </c>
      <c r="K29" s="790">
        <f t="shared" si="2"/>
        <v>2121090.4951333334</v>
      </c>
      <c r="L29" s="121"/>
      <c r="M29" s="53"/>
    </row>
    <row r="30" spans="2:13" ht="12.95" customHeight="1" x14ac:dyDescent="0.2">
      <c r="B30" s="49"/>
      <c r="C30" s="76"/>
      <c r="D30" s="552"/>
      <c r="E30" s="553"/>
      <c r="F30" s="554"/>
      <c r="G30" s="554"/>
      <c r="H30" s="554"/>
      <c r="I30" s="554"/>
      <c r="J30" s="554"/>
      <c r="K30" s="554"/>
      <c r="L30" s="76"/>
      <c r="M30" s="53"/>
    </row>
    <row r="31" spans="2:13" ht="12.95" customHeight="1" x14ac:dyDescent="0.2">
      <c r="B31" s="49"/>
      <c r="C31" s="50"/>
      <c r="D31" s="504"/>
      <c r="E31" s="108"/>
      <c r="F31" s="555"/>
      <c r="G31" s="555"/>
      <c r="H31" s="555"/>
      <c r="I31" s="555"/>
      <c r="J31" s="555"/>
      <c r="K31" s="555"/>
      <c r="L31" s="50"/>
      <c r="M31" s="53"/>
    </row>
    <row r="32" spans="2:13" ht="12.95" customHeight="1" x14ac:dyDescent="0.2">
      <c r="B32" s="49"/>
      <c r="C32" s="66"/>
      <c r="D32" s="507"/>
      <c r="E32" s="556"/>
      <c r="F32" s="557"/>
      <c r="G32" s="557"/>
      <c r="H32" s="557"/>
      <c r="I32" s="557"/>
      <c r="J32" s="557"/>
      <c r="K32" s="557"/>
      <c r="L32" s="66"/>
      <c r="M32" s="53"/>
    </row>
    <row r="33" spans="2:13" ht="12.95" customHeight="1" x14ac:dyDescent="0.2">
      <c r="B33" s="49"/>
      <c r="C33" s="69"/>
      <c r="D33" s="692" t="s">
        <v>379</v>
      </c>
      <c r="E33" s="153"/>
      <c r="F33" s="396"/>
      <c r="G33" s="396"/>
      <c r="H33" s="396"/>
      <c r="I33" s="396"/>
      <c r="J33" s="396"/>
      <c r="K33" s="396"/>
      <c r="L33" s="69"/>
      <c r="M33" s="53"/>
    </row>
    <row r="34" spans="2:13" ht="12.95" customHeight="1" x14ac:dyDescent="0.2">
      <c r="B34" s="49"/>
      <c r="C34" s="69"/>
      <c r="D34" s="159"/>
      <c r="E34" s="153"/>
      <c r="F34" s="396"/>
      <c r="G34" s="396"/>
      <c r="H34" s="396"/>
      <c r="I34" s="396"/>
      <c r="J34" s="396"/>
      <c r="K34" s="396"/>
      <c r="L34" s="69"/>
      <c r="M34" s="53"/>
    </row>
    <row r="35" spans="2:13" ht="12.95" customHeight="1" x14ac:dyDescent="0.2">
      <c r="B35" s="49"/>
      <c r="C35" s="69"/>
      <c r="D35" s="70" t="s">
        <v>402</v>
      </c>
      <c r="E35" s="153"/>
      <c r="F35" s="558">
        <v>0</v>
      </c>
      <c r="G35" s="558">
        <v>0</v>
      </c>
      <c r="H35" s="558">
        <f t="shared" ref="H35:K36" si="3">G35</f>
        <v>0</v>
      </c>
      <c r="I35" s="558">
        <f t="shared" si="3"/>
        <v>0</v>
      </c>
      <c r="J35" s="558">
        <f t="shared" si="3"/>
        <v>0</v>
      </c>
      <c r="K35" s="558">
        <f t="shared" si="3"/>
        <v>0</v>
      </c>
      <c r="L35" s="69"/>
      <c r="M35" s="53"/>
    </row>
    <row r="36" spans="2:13" ht="12.95" customHeight="1" x14ac:dyDescent="0.2">
      <c r="B36" s="49"/>
      <c r="C36" s="69"/>
      <c r="D36" s="70" t="s">
        <v>403</v>
      </c>
      <c r="E36" s="153"/>
      <c r="F36" s="558">
        <v>0</v>
      </c>
      <c r="G36" s="558">
        <v>0</v>
      </c>
      <c r="H36" s="558">
        <f t="shared" si="3"/>
        <v>0</v>
      </c>
      <c r="I36" s="558">
        <f t="shared" si="3"/>
        <v>0</v>
      </c>
      <c r="J36" s="558">
        <f>I36</f>
        <v>0</v>
      </c>
      <c r="K36" s="558">
        <f>J36</f>
        <v>0</v>
      </c>
      <c r="L36" s="69"/>
      <c r="M36" s="53"/>
    </row>
    <row r="37" spans="2:13" ht="12.95" customHeight="1" x14ac:dyDescent="0.2">
      <c r="B37" s="49"/>
      <c r="C37" s="69"/>
      <c r="D37" s="70"/>
      <c r="E37" s="153"/>
      <c r="F37" s="396"/>
      <c r="G37" s="396"/>
      <c r="H37" s="396"/>
      <c r="I37" s="396"/>
      <c r="J37" s="396"/>
      <c r="K37" s="396"/>
      <c r="L37" s="69"/>
      <c r="M37" s="53"/>
    </row>
    <row r="38" spans="2:13" s="134" customFormat="1" ht="12.95" customHeight="1" x14ac:dyDescent="0.2">
      <c r="B38" s="116"/>
      <c r="C38" s="121"/>
      <c r="D38" s="89" t="s">
        <v>221</v>
      </c>
      <c r="E38" s="96"/>
      <c r="F38" s="790">
        <f t="shared" ref="F38:K38" si="4">F35-F36</f>
        <v>0</v>
      </c>
      <c r="G38" s="790">
        <f t="shared" si="4"/>
        <v>0</v>
      </c>
      <c r="H38" s="790">
        <f t="shared" si="4"/>
        <v>0</v>
      </c>
      <c r="I38" s="790">
        <f t="shared" si="4"/>
        <v>0</v>
      </c>
      <c r="J38" s="790">
        <f t="shared" si="4"/>
        <v>0</v>
      </c>
      <c r="K38" s="790">
        <f t="shared" si="4"/>
        <v>0</v>
      </c>
      <c r="L38" s="121"/>
      <c r="M38" s="122"/>
    </row>
    <row r="39" spans="2:13" ht="12.95" customHeight="1" x14ac:dyDescent="0.2">
      <c r="B39" s="49"/>
      <c r="C39" s="69"/>
      <c r="D39" s="70"/>
      <c r="E39" s="153"/>
      <c r="F39" s="396"/>
      <c r="G39" s="396"/>
      <c r="H39" s="396"/>
      <c r="I39" s="396"/>
      <c r="J39" s="396"/>
      <c r="K39" s="396"/>
      <c r="L39" s="69"/>
      <c r="M39" s="53"/>
    </row>
    <row r="40" spans="2:13" ht="12.95" customHeight="1" x14ac:dyDescent="0.2">
      <c r="B40" s="49"/>
      <c r="C40" s="50"/>
      <c r="D40" s="504"/>
      <c r="E40" s="108"/>
      <c r="F40" s="555"/>
      <c r="G40" s="555"/>
      <c r="H40" s="555"/>
      <c r="I40" s="555"/>
      <c r="J40" s="555"/>
      <c r="K40" s="555"/>
      <c r="L40" s="50"/>
      <c r="M40" s="53"/>
    </row>
    <row r="41" spans="2:13" ht="12.95" customHeight="1" x14ac:dyDescent="0.2">
      <c r="B41" s="49"/>
      <c r="C41" s="69"/>
      <c r="D41" s="70"/>
      <c r="E41" s="153"/>
      <c r="F41" s="396"/>
      <c r="G41" s="396"/>
      <c r="H41" s="396"/>
      <c r="I41" s="396"/>
      <c r="J41" s="396"/>
      <c r="K41" s="396"/>
      <c r="L41" s="69"/>
      <c r="M41" s="53"/>
    </row>
    <row r="42" spans="2:13" s="134" customFormat="1" ht="12.95" customHeight="1" x14ac:dyDescent="0.2">
      <c r="B42" s="116"/>
      <c r="C42" s="121"/>
      <c r="D42" s="89" t="s">
        <v>368</v>
      </c>
      <c r="E42" s="96"/>
      <c r="F42" s="790">
        <f t="shared" ref="F42:K42" si="5">F29+F38</f>
        <v>0</v>
      </c>
      <c r="G42" s="790">
        <f t="shared" si="5"/>
        <v>2170866.2364145834</v>
      </c>
      <c r="H42" s="790">
        <f t="shared" si="5"/>
        <v>2139748.9312395835</v>
      </c>
      <c r="I42" s="790">
        <f t="shared" si="5"/>
        <v>2115312.8800145835</v>
      </c>
      <c r="J42" s="790">
        <f t="shared" si="5"/>
        <v>2106950.2751333336</v>
      </c>
      <c r="K42" s="790">
        <f t="shared" si="5"/>
        <v>2121090.4951333334</v>
      </c>
      <c r="L42" s="121"/>
      <c r="M42" s="122"/>
    </row>
    <row r="43" spans="2:13" ht="12.95" customHeight="1" x14ac:dyDescent="0.2">
      <c r="B43" s="49"/>
      <c r="C43" s="69"/>
      <c r="D43" s="70"/>
      <c r="E43" s="153"/>
      <c r="F43" s="396"/>
      <c r="G43" s="396"/>
      <c r="H43" s="396"/>
      <c r="I43" s="396"/>
      <c r="J43" s="396"/>
      <c r="K43" s="396"/>
      <c r="L43" s="69"/>
      <c r="M43" s="53"/>
    </row>
    <row r="44" spans="2:13" ht="12.95" customHeight="1" x14ac:dyDescent="0.2">
      <c r="B44" s="49"/>
      <c r="C44" s="50"/>
      <c r="D44" s="504"/>
      <c r="E44" s="108"/>
      <c r="F44" s="555"/>
      <c r="G44" s="555"/>
      <c r="H44" s="555"/>
      <c r="I44" s="555"/>
      <c r="J44" s="555"/>
      <c r="K44" s="555"/>
      <c r="L44" s="50"/>
      <c r="M44" s="53"/>
    </row>
    <row r="45" spans="2:13" ht="12.95" customHeight="1" x14ac:dyDescent="0.2">
      <c r="B45" s="49"/>
      <c r="C45" s="50"/>
      <c r="D45" s="504"/>
      <c r="E45" s="108"/>
      <c r="F45" s="555"/>
      <c r="G45" s="555"/>
      <c r="H45" s="555"/>
      <c r="I45" s="555"/>
      <c r="J45" s="555"/>
      <c r="K45" s="555"/>
      <c r="L45" s="50"/>
      <c r="M45" s="53"/>
    </row>
    <row r="46" spans="2:13" ht="12.95" customHeight="1" x14ac:dyDescent="0.2">
      <c r="B46" s="49"/>
      <c r="C46" s="69"/>
      <c r="D46" s="71"/>
      <c r="E46" s="71"/>
      <c r="F46" s="559"/>
      <c r="G46" s="559"/>
      <c r="H46" s="559"/>
      <c r="I46" s="559"/>
      <c r="J46" s="559"/>
      <c r="K46" s="559"/>
      <c r="L46" s="69"/>
      <c r="M46" s="53"/>
    </row>
    <row r="47" spans="2:13" s="81" customFormat="1" ht="12.95" customHeight="1" x14ac:dyDescent="0.2">
      <c r="B47" s="79"/>
      <c r="C47" s="135"/>
      <c r="D47" s="690" t="s">
        <v>372</v>
      </c>
      <c r="E47" s="194"/>
      <c r="F47" s="560"/>
      <c r="G47" s="560"/>
      <c r="H47" s="560"/>
      <c r="I47" s="560"/>
      <c r="J47" s="560"/>
      <c r="K47" s="560"/>
      <c r="L47" s="135"/>
      <c r="M47" s="58"/>
    </row>
    <row r="48" spans="2:13" ht="12.75" customHeight="1" x14ac:dyDescent="0.2">
      <c r="B48" s="49"/>
      <c r="C48" s="69"/>
      <c r="D48" s="71"/>
      <c r="E48" s="71"/>
      <c r="F48" s="559"/>
      <c r="G48" s="559"/>
      <c r="H48" s="559"/>
      <c r="I48" s="559"/>
      <c r="J48" s="559"/>
      <c r="K48" s="559"/>
      <c r="L48" s="69"/>
      <c r="M48" s="53"/>
    </row>
    <row r="49" spans="2:13" ht="12.95" customHeight="1" x14ac:dyDescent="0.2">
      <c r="B49" s="49"/>
      <c r="C49" s="69"/>
      <c r="D49" s="71" t="s">
        <v>373</v>
      </c>
      <c r="E49" s="71"/>
      <c r="F49" s="558">
        <v>0</v>
      </c>
      <c r="G49" s="679">
        <f>pers!I159</f>
        <v>0</v>
      </c>
      <c r="H49" s="679">
        <f>pers!J159</f>
        <v>0</v>
      </c>
      <c r="I49" s="679">
        <f>pers!K159</f>
        <v>0</v>
      </c>
      <c r="J49" s="679">
        <f>pers!L159</f>
        <v>0</v>
      </c>
      <c r="K49" s="679">
        <f>pers!M159</f>
        <v>0</v>
      </c>
      <c r="L49" s="69"/>
      <c r="M49" s="53"/>
    </row>
    <row r="50" spans="2:13" ht="12.95" customHeight="1" x14ac:dyDescent="0.2">
      <c r="B50" s="49"/>
      <c r="C50" s="69"/>
      <c r="D50" s="71" t="s">
        <v>374</v>
      </c>
      <c r="E50" s="71"/>
      <c r="F50" s="558">
        <v>0</v>
      </c>
      <c r="G50" s="679">
        <f>mat!I47</f>
        <v>0</v>
      </c>
      <c r="H50" s="679">
        <f>mat!J47</f>
        <v>0</v>
      </c>
      <c r="I50" s="679">
        <f>mat!K47</f>
        <v>0</v>
      </c>
      <c r="J50" s="679">
        <f>mat!L47</f>
        <v>0</v>
      </c>
      <c r="K50" s="679">
        <f>mat!M47</f>
        <v>0</v>
      </c>
      <c r="L50" s="69"/>
      <c r="M50" s="53"/>
    </row>
    <row r="51" spans="2:13" ht="12.95" customHeight="1" x14ac:dyDescent="0.2">
      <c r="B51" s="49"/>
      <c r="C51" s="69"/>
      <c r="D51" s="96"/>
      <c r="E51" s="71"/>
      <c r="F51" s="786">
        <f t="shared" ref="F51:K51" si="6">SUM(F49:F50)</f>
        <v>0</v>
      </c>
      <c r="G51" s="786">
        <f t="shared" si="6"/>
        <v>0</v>
      </c>
      <c r="H51" s="786">
        <f t="shared" si="6"/>
        <v>0</v>
      </c>
      <c r="I51" s="786">
        <f t="shared" si="6"/>
        <v>0</v>
      </c>
      <c r="J51" s="786">
        <f t="shared" si="6"/>
        <v>0</v>
      </c>
      <c r="K51" s="786">
        <f t="shared" si="6"/>
        <v>0</v>
      </c>
      <c r="L51" s="69"/>
      <c r="M51" s="53"/>
    </row>
    <row r="52" spans="2:13" ht="12.95" customHeight="1" x14ac:dyDescent="0.2">
      <c r="B52" s="49"/>
      <c r="C52" s="76"/>
      <c r="D52" s="77"/>
      <c r="E52" s="77"/>
      <c r="F52" s="561"/>
      <c r="G52" s="561"/>
      <c r="H52" s="561"/>
      <c r="I52" s="561"/>
      <c r="J52" s="561"/>
      <c r="K52" s="561"/>
      <c r="L52" s="76"/>
      <c r="M52" s="53"/>
    </row>
    <row r="53" spans="2:13" ht="12.95" customHeight="1" x14ac:dyDescent="0.2">
      <c r="B53" s="49"/>
      <c r="C53" s="50"/>
      <c r="D53" s="469"/>
      <c r="E53" s="50"/>
      <c r="F53" s="428"/>
      <c r="G53" s="428"/>
      <c r="H53" s="428"/>
      <c r="I53" s="428"/>
      <c r="J53" s="428"/>
      <c r="K53" s="428"/>
      <c r="L53" s="50"/>
      <c r="M53" s="53"/>
    </row>
    <row r="54" spans="2:13" ht="12.95" customHeight="1" x14ac:dyDescent="0.2">
      <c r="B54" s="124"/>
      <c r="C54" s="125"/>
      <c r="D54" s="562"/>
      <c r="E54" s="125"/>
      <c r="F54" s="355"/>
      <c r="G54" s="355"/>
      <c r="H54" s="355"/>
      <c r="I54" s="355"/>
      <c r="J54" s="355"/>
      <c r="K54" s="355"/>
      <c r="L54" s="125"/>
      <c r="M54" s="126"/>
    </row>
    <row r="55" spans="2:13" ht="12.95" customHeight="1" x14ac:dyDescent="0.2">
      <c r="D55" s="475"/>
      <c r="F55" s="328"/>
      <c r="G55" s="328"/>
      <c r="H55" s="328"/>
      <c r="I55" s="328"/>
      <c r="J55" s="328"/>
      <c r="K55" s="328"/>
    </row>
    <row r="56" spans="2:13" ht="12.95" customHeight="1" x14ac:dyDescent="0.2">
      <c r="I56" s="216"/>
    </row>
    <row r="57" spans="2:13" ht="12.95" customHeight="1" x14ac:dyDescent="0.2">
      <c r="I57" s="216"/>
    </row>
    <row r="58" spans="2:13" ht="12.95" customHeight="1" x14ac:dyDescent="0.2">
      <c r="C58" s="761"/>
      <c r="D58" s="762"/>
      <c r="E58" s="707"/>
      <c r="F58" s="707" t="str">
        <f>tab!E2</f>
        <v>2019/20</v>
      </c>
      <c r="G58" s="707" t="str">
        <f>tab!F2</f>
        <v>2020/21</v>
      </c>
      <c r="H58" s="707" t="str">
        <f>tab!G2</f>
        <v>2021/22</v>
      </c>
      <c r="I58" s="707" t="str">
        <f>tab!H2</f>
        <v>2022/23</v>
      </c>
      <c r="J58" s="707" t="str">
        <f>tab!I2</f>
        <v>2023/24</v>
      </c>
      <c r="K58" s="707" t="str">
        <f>tab!I2</f>
        <v>2023/24</v>
      </c>
      <c r="L58" s="761"/>
    </row>
    <row r="59" spans="2:13" ht="12.95" customHeight="1" x14ac:dyDescent="0.2">
      <c r="C59" s="705" t="s">
        <v>365</v>
      </c>
      <c r="D59" s="751"/>
      <c r="E59" s="705"/>
      <c r="F59" s="763"/>
      <c r="G59" s="763"/>
      <c r="H59" s="763"/>
      <c r="I59" s="763"/>
      <c r="J59" s="710"/>
      <c r="K59" s="710"/>
      <c r="L59" s="705" t="s">
        <v>365</v>
      </c>
    </row>
    <row r="60" spans="2:13" ht="12.95" customHeight="1" x14ac:dyDescent="0.2">
      <c r="C60" s="713" t="s">
        <v>251</v>
      </c>
      <c r="D60" s="751"/>
      <c r="E60" s="705"/>
      <c r="F60" s="763">
        <f>pers!H71+mat!H178</f>
        <v>2199936.6153416666</v>
      </c>
      <c r="G60" s="763">
        <f>pers!I71+mat!I178</f>
        <v>2157437.8192500002</v>
      </c>
      <c r="H60" s="763">
        <f>pers!J71+mat!J178</f>
        <v>2133001.7680250001</v>
      </c>
      <c r="I60" s="763">
        <f>pers!K71+mat!K178</f>
        <v>2108565.7168000001</v>
      </c>
      <c r="J60" s="763">
        <f>pers!L71+mat!L178</f>
        <v>2122705.9368000003</v>
      </c>
      <c r="K60" s="763">
        <f>pers!M71+mat!M178</f>
        <v>2136846.1568</v>
      </c>
      <c r="L60" s="713" t="s">
        <v>251</v>
      </c>
    </row>
    <row r="61" spans="2:13" ht="12.95" customHeight="1" x14ac:dyDescent="0.2">
      <c r="C61" s="713" t="s">
        <v>363</v>
      </c>
      <c r="D61" s="751"/>
      <c r="E61" s="705"/>
      <c r="F61" s="763">
        <f>pers!H83+mat!H179</f>
        <v>0</v>
      </c>
      <c r="G61" s="763">
        <f>pers!I83+mat!I179</f>
        <v>0</v>
      </c>
      <c r="H61" s="763">
        <f>pers!J83+mat!J179</f>
        <v>0</v>
      </c>
      <c r="I61" s="763">
        <f>pers!K83+mat!K179</f>
        <v>0</v>
      </c>
      <c r="J61" s="763">
        <f>pers!L83+mat!L179</f>
        <v>0</v>
      </c>
      <c r="K61" s="763">
        <f>pers!M83+mat!M179</f>
        <v>0</v>
      </c>
      <c r="L61" s="713" t="s">
        <v>363</v>
      </c>
    </row>
    <row r="62" spans="2:13" ht="12.95" customHeight="1" x14ac:dyDescent="0.2">
      <c r="C62" s="713" t="s">
        <v>370</v>
      </c>
      <c r="D62" s="751"/>
      <c r="E62" s="705"/>
      <c r="F62" s="763">
        <f>pers!H94+mat!H181</f>
        <v>0</v>
      </c>
      <c r="G62" s="763">
        <f>pers!I94+mat!I181</f>
        <v>0</v>
      </c>
      <c r="H62" s="763">
        <f>pers!J94+mat!J181</f>
        <v>0</v>
      </c>
      <c r="I62" s="763">
        <f>pers!K94+mat!K181</f>
        <v>0</v>
      </c>
      <c r="J62" s="763">
        <f>pers!L94+mat!L181</f>
        <v>0</v>
      </c>
      <c r="K62" s="763">
        <f>pers!M94+mat!M181</f>
        <v>0</v>
      </c>
      <c r="L62" s="713" t="s">
        <v>370</v>
      </c>
    </row>
    <row r="63" spans="2:13" ht="12.95" customHeight="1" x14ac:dyDescent="0.2">
      <c r="C63" s="713" t="s">
        <v>247</v>
      </c>
      <c r="D63" s="751"/>
      <c r="E63" s="705"/>
      <c r="F63" s="763">
        <f>pers!H103-pers!H94+mat!H182</f>
        <v>0</v>
      </c>
      <c r="G63" s="763">
        <f>pers!I103-pers!I94+mat!I182</f>
        <v>0</v>
      </c>
      <c r="H63" s="763">
        <f>pers!J103-pers!J94+mat!J182</f>
        <v>0</v>
      </c>
      <c r="I63" s="763">
        <f>pers!K103-pers!K94+mat!K182</f>
        <v>0</v>
      </c>
      <c r="J63" s="763">
        <f>pers!L103-pers!L94+mat!L182</f>
        <v>0</v>
      </c>
      <c r="K63" s="763">
        <f>pers!M103-pers!M94+mat!M182</f>
        <v>0</v>
      </c>
      <c r="L63" s="713" t="s">
        <v>247</v>
      </c>
    </row>
    <row r="64" spans="2:13" ht="12.95" customHeight="1" x14ac:dyDescent="0.2">
      <c r="C64" s="764" t="s">
        <v>284</v>
      </c>
      <c r="D64" s="751"/>
      <c r="E64" s="705"/>
      <c r="F64" s="765">
        <f t="shared" ref="F64:K64" si="7">SUM(F60:F63)</f>
        <v>2199936.6153416666</v>
      </c>
      <c r="G64" s="765">
        <f t="shared" si="7"/>
        <v>2157437.8192500002</v>
      </c>
      <c r="H64" s="765">
        <f t="shared" si="7"/>
        <v>2133001.7680250001</v>
      </c>
      <c r="I64" s="765">
        <f t="shared" si="7"/>
        <v>2108565.7168000001</v>
      </c>
      <c r="J64" s="765">
        <f t="shared" si="7"/>
        <v>2122705.9368000003</v>
      </c>
      <c r="K64" s="765">
        <f t="shared" si="7"/>
        <v>2136846.1568</v>
      </c>
      <c r="L64" s="764" t="s">
        <v>284</v>
      </c>
    </row>
    <row r="65" spans="3:12" ht="12.95" customHeight="1" x14ac:dyDescent="0.2">
      <c r="C65" s="766"/>
      <c r="D65" s="751"/>
      <c r="E65" s="705"/>
      <c r="F65" s="763"/>
      <c r="G65" s="763"/>
      <c r="H65" s="763"/>
      <c r="I65" s="763"/>
      <c r="J65" s="710"/>
      <c r="K65" s="710"/>
      <c r="L65" s="766"/>
    </row>
    <row r="66" spans="3:12" ht="12.95" customHeight="1" x14ac:dyDescent="0.2">
      <c r="C66" s="705" t="s">
        <v>78</v>
      </c>
      <c r="D66" s="751"/>
      <c r="E66" s="705"/>
      <c r="F66" s="763"/>
      <c r="G66" s="763"/>
      <c r="H66" s="763"/>
      <c r="I66" s="763"/>
      <c r="J66" s="710"/>
      <c r="K66" s="710"/>
      <c r="L66" s="705" t="s">
        <v>78</v>
      </c>
    </row>
    <row r="67" spans="3:12" ht="12.95" customHeight="1" x14ac:dyDescent="0.2">
      <c r="C67" s="710" t="s">
        <v>467</v>
      </c>
      <c r="D67" s="751"/>
      <c r="E67" s="705"/>
      <c r="F67" s="763">
        <f>pers!H136</f>
        <v>7507.2</v>
      </c>
      <c r="G67" s="763">
        <f>pers!I136</f>
        <v>7507.2</v>
      </c>
      <c r="H67" s="763">
        <f>pers!J136</f>
        <v>7507.2</v>
      </c>
      <c r="I67" s="763">
        <f>pers!K136</f>
        <v>7507.2</v>
      </c>
      <c r="J67" s="763">
        <f>pers!L136</f>
        <v>7507.2</v>
      </c>
      <c r="K67" s="763">
        <f>pers!M136</f>
        <v>7507.2</v>
      </c>
      <c r="L67" s="710" t="s">
        <v>467</v>
      </c>
    </row>
    <row r="68" spans="3:12" ht="12.95" customHeight="1" x14ac:dyDescent="0.2">
      <c r="C68" s="710" t="s">
        <v>249</v>
      </c>
      <c r="D68" s="751"/>
      <c r="E68" s="705"/>
      <c r="F68" s="763">
        <f>mat!H186</f>
        <v>0</v>
      </c>
      <c r="G68" s="763">
        <f>mat!I186</f>
        <v>0</v>
      </c>
      <c r="H68" s="763">
        <f>mat!J186</f>
        <v>0</v>
      </c>
      <c r="I68" s="763">
        <f>mat!K186</f>
        <v>0</v>
      </c>
      <c r="J68" s="763">
        <f>mat!L186</f>
        <v>0</v>
      </c>
      <c r="K68" s="763">
        <f>mat!M186</f>
        <v>0</v>
      </c>
      <c r="L68" s="710" t="s">
        <v>249</v>
      </c>
    </row>
    <row r="69" spans="3:12" ht="12.95" customHeight="1" x14ac:dyDescent="0.2">
      <c r="C69" s="710" t="s">
        <v>250</v>
      </c>
      <c r="D69" s="751"/>
      <c r="E69" s="705"/>
      <c r="F69" s="763">
        <f>mat!H187</f>
        <v>0</v>
      </c>
      <c r="G69" s="763">
        <f>mat!I187</f>
        <v>0</v>
      </c>
      <c r="H69" s="763">
        <f>mat!J187</f>
        <v>0</v>
      </c>
      <c r="I69" s="763">
        <f>mat!K187</f>
        <v>0</v>
      </c>
      <c r="J69" s="763">
        <f>mat!L187</f>
        <v>0</v>
      </c>
      <c r="K69" s="763">
        <f>mat!M187</f>
        <v>0</v>
      </c>
      <c r="L69" s="710" t="s">
        <v>250</v>
      </c>
    </row>
    <row r="70" spans="3:12" ht="12.95" customHeight="1" x14ac:dyDescent="0.2">
      <c r="C70" s="710" t="s">
        <v>366</v>
      </c>
      <c r="D70" s="751"/>
      <c r="E70" s="705"/>
      <c r="F70" s="763">
        <f>mat!H188</f>
        <v>0</v>
      </c>
      <c r="G70" s="763">
        <f>mat!I188</f>
        <v>0</v>
      </c>
      <c r="H70" s="763">
        <f>mat!J188</f>
        <v>0</v>
      </c>
      <c r="I70" s="763">
        <f>mat!K188</f>
        <v>0</v>
      </c>
      <c r="J70" s="763">
        <f>mat!L188</f>
        <v>0</v>
      </c>
      <c r="K70" s="763">
        <f>mat!M188</f>
        <v>0</v>
      </c>
      <c r="L70" s="710" t="s">
        <v>366</v>
      </c>
    </row>
    <row r="71" spans="3:12" ht="12.95" customHeight="1" x14ac:dyDescent="0.2">
      <c r="C71" s="764" t="s">
        <v>284</v>
      </c>
      <c r="D71" s="751"/>
      <c r="E71" s="705"/>
      <c r="F71" s="765">
        <f t="shared" ref="F71:K71" si="8">SUM(F67:F70)</f>
        <v>7507.2</v>
      </c>
      <c r="G71" s="765">
        <f t="shared" si="8"/>
        <v>7507.2</v>
      </c>
      <c r="H71" s="765">
        <f t="shared" si="8"/>
        <v>7507.2</v>
      </c>
      <c r="I71" s="765">
        <f t="shared" si="8"/>
        <v>7507.2</v>
      </c>
      <c r="J71" s="765">
        <f t="shared" si="8"/>
        <v>7507.2</v>
      </c>
      <c r="K71" s="765">
        <f t="shared" si="8"/>
        <v>7507.2</v>
      </c>
      <c r="L71" s="764" t="s">
        <v>284</v>
      </c>
    </row>
    <row r="72" spans="3:12" ht="12.95" customHeight="1" x14ac:dyDescent="0.2">
      <c r="C72" s="767"/>
      <c r="D72" s="751"/>
      <c r="E72" s="705"/>
      <c r="F72" s="763"/>
      <c r="G72" s="763"/>
      <c r="H72" s="763"/>
      <c r="I72" s="763"/>
      <c r="J72" s="710"/>
      <c r="K72" s="710"/>
      <c r="L72" s="767"/>
    </row>
    <row r="73" spans="3:12" ht="12.95" customHeight="1" x14ac:dyDescent="0.2">
      <c r="C73" s="764" t="s">
        <v>367</v>
      </c>
      <c r="D73" s="751"/>
      <c r="E73" s="705"/>
      <c r="F73" s="765">
        <f t="shared" ref="F73:K73" si="9">+F64-F71</f>
        <v>2192429.4153416664</v>
      </c>
      <c r="G73" s="765">
        <f t="shared" si="9"/>
        <v>2149930.61925</v>
      </c>
      <c r="H73" s="765">
        <f t="shared" si="9"/>
        <v>2125494.5680249999</v>
      </c>
      <c r="I73" s="765">
        <f t="shared" si="9"/>
        <v>2101058.5167999999</v>
      </c>
      <c r="J73" s="765">
        <f t="shared" si="9"/>
        <v>2115198.7368000001</v>
      </c>
      <c r="K73" s="765">
        <f t="shared" si="9"/>
        <v>2129338.9567999998</v>
      </c>
      <c r="L73" s="764" t="s">
        <v>367</v>
      </c>
    </row>
    <row r="74" spans="3:12" x14ac:dyDescent="0.2">
      <c r="I74" s="216"/>
    </row>
    <row r="75" spans="3:12" x14ac:dyDescent="0.2">
      <c r="I75" s="216"/>
    </row>
    <row r="76" spans="3:12" x14ac:dyDescent="0.2">
      <c r="I76" s="216"/>
    </row>
    <row r="77" spans="3:12" x14ac:dyDescent="0.2">
      <c r="I77" s="216"/>
    </row>
    <row r="78" spans="3:12" x14ac:dyDescent="0.2">
      <c r="I78" s="216"/>
    </row>
    <row r="79" spans="3:12" x14ac:dyDescent="0.2">
      <c r="I79" s="216"/>
    </row>
    <row r="80" spans="3:12" x14ac:dyDescent="0.2">
      <c r="I80" s="216"/>
    </row>
    <row r="81" spans="9:9" x14ac:dyDescent="0.2">
      <c r="I81" s="216"/>
    </row>
    <row r="82" spans="9:9" x14ac:dyDescent="0.2">
      <c r="I82" s="216"/>
    </row>
    <row r="83" spans="9:9" x14ac:dyDescent="0.2">
      <c r="I83" s="216"/>
    </row>
    <row r="84" spans="9:9" x14ac:dyDescent="0.2">
      <c r="I84" s="216"/>
    </row>
    <row r="85" spans="9:9" x14ac:dyDescent="0.2">
      <c r="I85" s="216"/>
    </row>
    <row r="86" spans="9:9" x14ac:dyDescent="0.2">
      <c r="I86" s="216"/>
    </row>
    <row r="87" spans="9:9" x14ac:dyDescent="0.2">
      <c r="I87" s="216"/>
    </row>
    <row r="88" spans="9:9" x14ac:dyDescent="0.2">
      <c r="I88" s="216"/>
    </row>
    <row r="89" spans="9:9" x14ac:dyDescent="0.2">
      <c r="I89" s="216"/>
    </row>
    <row r="90" spans="9:9" x14ac:dyDescent="0.2">
      <c r="I90" s="216"/>
    </row>
    <row r="91" spans="9:9" x14ac:dyDescent="0.2">
      <c r="I91" s="216"/>
    </row>
    <row r="92" spans="9:9" x14ac:dyDescent="0.2">
      <c r="I92" s="216"/>
    </row>
    <row r="93" spans="9:9" x14ac:dyDescent="0.2">
      <c r="I93" s="216"/>
    </row>
    <row r="94" spans="9:9" x14ac:dyDescent="0.2">
      <c r="I94" s="216"/>
    </row>
    <row r="95" spans="9:9" x14ac:dyDescent="0.2">
      <c r="I95" s="216"/>
    </row>
    <row r="96" spans="9:9" x14ac:dyDescent="0.2">
      <c r="I96" s="216"/>
    </row>
    <row r="97" spans="9:9" x14ac:dyDescent="0.2">
      <c r="I97" s="216"/>
    </row>
    <row r="98" spans="9:9" x14ac:dyDescent="0.2">
      <c r="I98" s="216"/>
    </row>
    <row r="99" spans="9:9" x14ac:dyDescent="0.2">
      <c r="I99" s="216"/>
    </row>
    <row r="100" spans="9:9" x14ac:dyDescent="0.2">
      <c r="I100" s="216"/>
    </row>
    <row r="101" spans="9:9" x14ac:dyDescent="0.2">
      <c r="I101" s="216"/>
    </row>
    <row r="102" spans="9:9" x14ac:dyDescent="0.2">
      <c r="I102" s="216"/>
    </row>
    <row r="103" spans="9:9" x14ac:dyDescent="0.2">
      <c r="I103" s="216"/>
    </row>
    <row r="104" spans="9:9" x14ac:dyDescent="0.2">
      <c r="I104" s="216"/>
    </row>
    <row r="105" spans="9:9" x14ac:dyDescent="0.2">
      <c r="I105" s="216"/>
    </row>
    <row r="106" spans="9:9" x14ac:dyDescent="0.2">
      <c r="I106" s="216"/>
    </row>
    <row r="107" spans="9:9" x14ac:dyDescent="0.2">
      <c r="I107" s="216"/>
    </row>
  </sheetData>
  <sheetProtection algorithmName="SHA-512" hashValue="e2y1tvIcfD/6K/zXj+jM1BS2uCM/eN6+RaXKrZ8IJLPzWjSd0Zjj1e/JstzCBxPzWIAMqWpaB8PHdqwRd/7prg==" saltValue="3/DHJx7MLyBuVropHr2tYg==" spinCount="100000" sheet="1" objects="1" scenarios="1"/>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7">
    <pageSetUpPr fitToPage="1"/>
  </sheetPr>
  <dimension ref="B1:V61"/>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48" customWidth="1"/>
    <col min="2" max="3" width="2.7109375" style="48" customWidth="1"/>
    <col min="4" max="4" width="40.42578125" style="48" customWidth="1"/>
    <col min="5" max="5" width="2.7109375" style="48" customWidth="1"/>
    <col min="6" max="7" width="14.85546875" style="48" customWidth="1"/>
    <col min="8" max="12" width="14.85546875" style="127" customWidth="1"/>
    <col min="13" max="14" width="2.7109375" style="48" customWidth="1"/>
    <col min="15" max="15" width="11.42578125" style="215" customWidth="1"/>
    <col min="16" max="16" width="33.7109375" style="48" customWidth="1"/>
    <col min="17" max="17" width="2.5703125" style="48" customWidth="1"/>
    <col min="18" max="22" width="10.7109375" style="48" customWidth="1"/>
    <col min="23" max="23" width="2.7109375" style="48" customWidth="1"/>
    <col min="24" max="16384" width="9.140625" style="48"/>
  </cols>
  <sheetData>
    <row r="1" spans="2:18" ht="12.95" customHeight="1" x14ac:dyDescent="0.2"/>
    <row r="2" spans="2:18" ht="12.95" customHeight="1" x14ac:dyDescent="0.2">
      <c r="B2" s="43"/>
      <c r="C2" s="44"/>
      <c r="D2" s="44"/>
      <c r="E2" s="44"/>
      <c r="F2" s="44"/>
      <c r="G2" s="44"/>
      <c r="H2" s="128"/>
      <c r="I2" s="128"/>
      <c r="J2" s="128"/>
      <c r="K2" s="128"/>
      <c r="L2" s="128"/>
      <c r="M2" s="44"/>
      <c r="N2" s="47"/>
    </row>
    <row r="3" spans="2:18" ht="12.95" customHeight="1" x14ac:dyDescent="0.2">
      <c r="B3" s="49"/>
      <c r="C3" s="50"/>
      <c r="D3" s="50"/>
      <c r="E3" s="50"/>
      <c r="F3" s="50"/>
      <c r="G3" s="50"/>
      <c r="H3" s="129"/>
      <c r="I3" s="129"/>
      <c r="J3" s="129"/>
      <c r="K3" s="129"/>
      <c r="L3" s="129"/>
      <c r="M3" s="50"/>
      <c r="N3" s="53"/>
    </row>
    <row r="4" spans="2:18" s="130" customFormat="1" ht="18.75" x14ac:dyDescent="0.3">
      <c r="B4" s="563"/>
      <c r="C4" s="673" t="s">
        <v>192</v>
      </c>
      <c r="D4" s="57"/>
      <c r="E4" s="62"/>
      <c r="F4" s="62"/>
      <c r="G4" s="62"/>
      <c r="H4" s="131"/>
      <c r="I4" s="131"/>
      <c r="J4" s="131"/>
      <c r="K4" s="131"/>
      <c r="L4" s="131"/>
      <c r="M4" s="673"/>
      <c r="N4" s="86"/>
      <c r="O4" s="564"/>
    </row>
    <row r="5" spans="2:18" s="130" customFormat="1" ht="18.75" x14ac:dyDescent="0.3">
      <c r="B5" s="563"/>
      <c r="C5" s="61" t="str">
        <f>geg!G12</f>
        <v>voorbeeld Basisschool</v>
      </c>
      <c r="D5" s="62"/>
      <c r="E5" s="62"/>
      <c r="F5" s="62"/>
      <c r="G5" s="62"/>
      <c r="H5" s="131"/>
      <c r="I5" s="131"/>
      <c r="J5" s="131"/>
      <c r="K5" s="131"/>
      <c r="L5" s="131"/>
      <c r="M5" s="61"/>
      <c r="N5" s="86"/>
      <c r="O5" s="564"/>
    </row>
    <row r="6" spans="2:18" ht="12.95" customHeight="1" x14ac:dyDescent="0.2">
      <c r="B6" s="94"/>
      <c r="C6" s="108"/>
      <c r="D6" s="50"/>
      <c r="E6" s="50"/>
      <c r="F6" s="50"/>
      <c r="G6" s="50"/>
      <c r="H6" s="129"/>
      <c r="I6" s="129"/>
      <c r="J6" s="129"/>
      <c r="K6" s="129"/>
      <c r="L6" s="129"/>
      <c r="M6" s="108"/>
      <c r="N6" s="53"/>
    </row>
    <row r="7" spans="2:18" ht="12.95" customHeight="1" x14ac:dyDescent="0.2">
      <c r="B7" s="94"/>
      <c r="C7" s="108"/>
      <c r="D7" s="50"/>
      <c r="E7" s="50"/>
      <c r="F7" s="50"/>
      <c r="G7" s="50"/>
      <c r="H7" s="129"/>
      <c r="I7" s="129"/>
      <c r="J7" s="129"/>
      <c r="K7" s="129"/>
      <c r="L7" s="129"/>
      <c r="M7" s="108"/>
      <c r="N7" s="53"/>
    </row>
    <row r="8" spans="2:18" s="130" customFormat="1" ht="12.95" customHeight="1" x14ac:dyDescent="0.2">
      <c r="B8" s="409"/>
      <c r="C8" s="64"/>
      <c r="D8" s="525"/>
      <c r="E8" s="62"/>
      <c r="F8" s="688">
        <f>tab!D4</f>
        <v>2018</v>
      </c>
      <c r="G8" s="688">
        <f>tab!E4</f>
        <v>2019</v>
      </c>
      <c r="H8" s="688">
        <f>tab!F4</f>
        <v>2020</v>
      </c>
      <c r="I8" s="688">
        <f>tab!G4</f>
        <v>2021</v>
      </c>
      <c r="J8" s="688">
        <f>tab!H4</f>
        <v>2022</v>
      </c>
      <c r="K8" s="688">
        <f>tab!I4</f>
        <v>2023</v>
      </c>
      <c r="L8" s="688">
        <f>tab!J4</f>
        <v>2024</v>
      </c>
      <c r="M8" s="64"/>
      <c r="N8" s="86"/>
      <c r="O8" s="564"/>
    </row>
    <row r="9" spans="2:18" ht="12.95" customHeight="1" x14ac:dyDescent="0.2">
      <c r="B9" s="116"/>
      <c r="C9" s="144"/>
      <c r="D9" s="108"/>
      <c r="E9" s="50"/>
      <c r="F9" s="687"/>
      <c r="G9" s="687"/>
      <c r="H9" s="688"/>
      <c r="I9" s="688"/>
      <c r="J9" s="688"/>
      <c r="K9" s="688"/>
      <c r="L9" s="688"/>
      <c r="M9" s="144"/>
      <c r="N9" s="53"/>
    </row>
    <row r="10" spans="2:18" ht="12.95" customHeight="1" x14ac:dyDescent="0.2">
      <c r="B10" s="116"/>
      <c r="C10" s="117"/>
      <c r="D10" s="556"/>
      <c r="E10" s="67"/>
      <c r="F10" s="67"/>
      <c r="G10" s="67"/>
      <c r="H10" s="68"/>
      <c r="I10" s="68"/>
      <c r="J10" s="68"/>
      <c r="K10" s="68"/>
      <c r="L10" s="68"/>
      <c r="M10" s="117"/>
      <c r="N10" s="53"/>
    </row>
    <row r="11" spans="2:18" ht="12.95" customHeight="1" x14ac:dyDescent="0.2">
      <c r="B11" s="49"/>
      <c r="C11" s="69"/>
      <c r="D11" s="690" t="s">
        <v>260</v>
      </c>
      <c r="E11" s="71"/>
      <c r="F11" s="71"/>
      <c r="G11" s="71"/>
      <c r="H11" s="87"/>
      <c r="I11" s="87"/>
      <c r="J11" s="87"/>
      <c r="K11" s="87"/>
      <c r="L11" s="87"/>
      <c r="M11" s="69"/>
      <c r="N11" s="53"/>
    </row>
    <row r="12" spans="2:18" ht="12.95" customHeight="1" x14ac:dyDescent="0.2">
      <c r="B12" s="49"/>
      <c r="C12" s="69"/>
      <c r="D12" s="71"/>
      <c r="E12" s="71"/>
      <c r="F12" s="71"/>
      <c r="G12" s="71"/>
      <c r="H12" s="71"/>
      <c r="I12" s="71"/>
      <c r="J12" s="71"/>
      <c r="K12" s="71"/>
      <c r="L12" s="71"/>
      <c r="M12" s="69"/>
      <c r="N12" s="123"/>
      <c r="O12" s="325"/>
      <c r="P12" s="127"/>
      <c r="Q12" s="127"/>
      <c r="R12" s="127"/>
    </row>
    <row r="13" spans="2:18" ht="12.95" customHeight="1" x14ac:dyDescent="0.2">
      <c r="B13" s="49"/>
      <c r="C13" s="69"/>
      <c r="D13" s="399" t="s">
        <v>157</v>
      </c>
      <c r="E13" s="71"/>
      <c r="F13" s="71"/>
      <c r="G13" s="71"/>
      <c r="H13" s="71"/>
      <c r="I13" s="71"/>
      <c r="J13" s="71"/>
      <c r="K13" s="71"/>
      <c r="L13" s="71"/>
      <c r="M13" s="69"/>
      <c r="N13" s="53"/>
    </row>
    <row r="14" spans="2:18" ht="12.95" customHeight="1" x14ac:dyDescent="0.2">
      <c r="B14" s="49"/>
      <c r="C14" s="69"/>
      <c r="D14" s="839" t="s">
        <v>404</v>
      </c>
      <c r="E14" s="71"/>
      <c r="F14" s="165">
        <v>0</v>
      </c>
      <c r="G14" s="165">
        <v>0</v>
      </c>
      <c r="H14" s="165">
        <f>G14</f>
        <v>0</v>
      </c>
      <c r="I14" s="165">
        <f t="shared" ref="I14:L16" si="0">H14</f>
        <v>0</v>
      </c>
      <c r="J14" s="165">
        <f t="shared" si="0"/>
        <v>0</v>
      </c>
      <c r="K14" s="165">
        <f t="shared" si="0"/>
        <v>0</v>
      </c>
      <c r="L14" s="165">
        <f t="shared" si="0"/>
        <v>0</v>
      </c>
      <c r="M14" s="69"/>
      <c r="N14" s="53"/>
    </row>
    <row r="15" spans="2:18" ht="12.95" customHeight="1" x14ac:dyDescent="0.2">
      <c r="B15" s="49"/>
      <c r="C15" s="69"/>
      <c r="D15" s="839" t="s">
        <v>405</v>
      </c>
      <c r="E15" s="71"/>
      <c r="F15" s="679">
        <f>act!F18</f>
        <v>0</v>
      </c>
      <c r="G15" s="679">
        <f>act!F61</f>
        <v>0</v>
      </c>
      <c r="H15" s="679">
        <f>act!G61</f>
        <v>0</v>
      </c>
      <c r="I15" s="679">
        <f>act!H61</f>
        <v>0</v>
      </c>
      <c r="J15" s="679">
        <f>act!I61</f>
        <v>0</v>
      </c>
      <c r="K15" s="679">
        <f>act!J61</f>
        <v>0</v>
      </c>
      <c r="L15" s="679">
        <f>act!K61</f>
        <v>0</v>
      </c>
      <c r="M15" s="69"/>
      <c r="N15" s="53"/>
    </row>
    <row r="16" spans="2:18" ht="12.95" customHeight="1" x14ac:dyDescent="0.2">
      <c r="B16" s="49"/>
      <c r="C16" s="69"/>
      <c r="D16" s="839" t="s">
        <v>406</v>
      </c>
      <c r="E16" s="71"/>
      <c r="F16" s="165">
        <v>0</v>
      </c>
      <c r="G16" s="165">
        <v>0</v>
      </c>
      <c r="H16" s="165">
        <f>G16</f>
        <v>0</v>
      </c>
      <c r="I16" s="165">
        <f t="shared" si="0"/>
        <v>0</v>
      </c>
      <c r="J16" s="165">
        <f t="shared" si="0"/>
        <v>0</v>
      </c>
      <c r="K16" s="165">
        <f t="shared" si="0"/>
        <v>0</v>
      </c>
      <c r="L16" s="165">
        <f t="shared" si="0"/>
        <v>0</v>
      </c>
      <c r="M16" s="69"/>
      <c r="N16" s="53"/>
    </row>
    <row r="17" spans="2:22" ht="12.95" customHeight="1" x14ac:dyDescent="0.2">
      <c r="B17" s="49"/>
      <c r="C17" s="69"/>
      <c r="D17" s="840"/>
      <c r="E17" s="71"/>
      <c r="F17" s="719">
        <f t="shared" ref="F17:K17" si="1">SUM(F14:F16)</f>
        <v>0</v>
      </c>
      <c r="G17" s="719">
        <f t="shared" si="1"/>
        <v>0</v>
      </c>
      <c r="H17" s="719">
        <f t="shared" si="1"/>
        <v>0</v>
      </c>
      <c r="I17" s="719">
        <f t="shared" si="1"/>
        <v>0</v>
      </c>
      <c r="J17" s="719">
        <f t="shared" si="1"/>
        <v>0</v>
      </c>
      <c r="K17" s="719">
        <f t="shared" si="1"/>
        <v>0</v>
      </c>
      <c r="L17" s="719">
        <f>SUM(L14:L16)</f>
        <v>0</v>
      </c>
      <c r="M17" s="69"/>
      <c r="N17" s="53"/>
    </row>
    <row r="18" spans="2:22" ht="12.95" customHeight="1" x14ac:dyDescent="0.2">
      <c r="B18" s="49"/>
      <c r="C18" s="69"/>
      <c r="D18" s="399" t="s">
        <v>156</v>
      </c>
      <c r="E18" s="71"/>
      <c r="F18" s="71"/>
      <c r="G18" s="71"/>
      <c r="H18" s="167"/>
      <c r="I18" s="167"/>
      <c r="J18" s="167"/>
      <c r="K18" s="167"/>
      <c r="L18" s="167"/>
      <c r="M18" s="69"/>
      <c r="N18" s="53"/>
    </row>
    <row r="19" spans="2:22" ht="12.95" customHeight="1" x14ac:dyDescent="0.2">
      <c r="B19" s="49"/>
      <c r="C19" s="69"/>
      <c r="D19" s="839" t="s">
        <v>407</v>
      </c>
      <c r="E19" s="71"/>
      <c r="F19" s="165">
        <v>0</v>
      </c>
      <c r="G19" s="165">
        <v>0</v>
      </c>
      <c r="H19" s="165">
        <f>G19</f>
        <v>0</v>
      </c>
      <c r="I19" s="165">
        <f t="shared" ref="I19:L21" si="2">H19</f>
        <v>0</v>
      </c>
      <c r="J19" s="165">
        <f t="shared" si="2"/>
        <v>0</v>
      </c>
      <c r="K19" s="165">
        <f t="shared" si="2"/>
        <v>0</v>
      </c>
      <c r="L19" s="165">
        <f t="shared" si="2"/>
        <v>0</v>
      </c>
      <c r="M19" s="69"/>
      <c r="N19" s="53"/>
    </row>
    <row r="20" spans="2:22" ht="12.95" customHeight="1" x14ac:dyDescent="0.2">
      <c r="B20" s="49"/>
      <c r="C20" s="69"/>
      <c r="D20" s="839" t="s">
        <v>408</v>
      </c>
      <c r="E20" s="71"/>
      <c r="F20" s="165">
        <v>0</v>
      </c>
      <c r="G20" s="165">
        <v>0</v>
      </c>
      <c r="H20" s="165">
        <f>G20</f>
        <v>0</v>
      </c>
      <c r="I20" s="165">
        <f t="shared" si="2"/>
        <v>0</v>
      </c>
      <c r="J20" s="165">
        <f t="shared" si="2"/>
        <v>0</v>
      </c>
      <c r="K20" s="165">
        <f t="shared" si="2"/>
        <v>0</v>
      </c>
      <c r="L20" s="165">
        <f t="shared" si="2"/>
        <v>0</v>
      </c>
      <c r="M20" s="69"/>
      <c r="N20" s="53"/>
    </row>
    <row r="21" spans="2:22" ht="12.95" customHeight="1" x14ac:dyDescent="0.2">
      <c r="B21" s="49"/>
      <c r="C21" s="69"/>
      <c r="D21" s="839" t="s">
        <v>409</v>
      </c>
      <c r="E21" s="71"/>
      <c r="F21" s="165">
        <v>0</v>
      </c>
      <c r="G21" s="165">
        <v>0</v>
      </c>
      <c r="H21" s="165">
        <f>G21</f>
        <v>0</v>
      </c>
      <c r="I21" s="165">
        <f t="shared" si="2"/>
        <v>0</v>
      </c>
      <c r="J21" s="165">
        <f t="shared" si="2"/>
        <v>0</v>
      </c>
      <c r="K21" s="165">
        <f t="shared" si="2"/>
        <v>0</v>
      </c>
      <c r="L21" s="165">
        <f t="shared" si="2"/>
        <v>0</v>
      </c>
      <c r="M21" s="69"/>
      <c r="N21" s="53"/>
    </row>
    <row r="22" spans="2:22" ht="12.95" customHeight="1" x14ac:dyDescent="0.2">
      <c r="B22" s="49"/>
      <c r="C22" s="69"/>
      <c r="D22" s="839" t="s">
        <v>410</v>
      </c>
      <c r="E22" s="71"/>
      <c r="F22" s="165">
        <v>0</v>
      </c>
      <c r="G22" s="686">
        <f t="shared" ref="G22:L22" si="3">G57-(G17+(SUM(G19:G21)))</f>
        <v>0</v>
      </c>
      <c r="H22" s="686">
        <f t="shared" si="3"/>
        <v>2170866.2364145834</v>
      </c>
      <c r="I22" s="686">
        <f t="shared" si="3"/>
        <v>4310615.1676541669</v>
      </c>
      <c r="J22" s="686">
        <f t="shared" si="3"/>
        <v>6425928.0476687504</v>
      </c>
      <c r="K22" s="686">
        <f t="shared" si="3"/>
        <v>8532878.3228020836</v>
      </c>
      <c r="L22" s="686">
        <f t="shared" si="3"/>
        <v>10653968.817935416</v>
      </c>
      <c r="M22" s="69"/>
      <c r="N22" s="53"/>
    </row>
    <row r="23" spans="2:22" ht="12.95" customHeight="1" x14ac:dyDescent="0.2">
      <c r="B23" s="49"/>
      <c r="C23" s="69"/>
      <c r="D23" s="840"/>
      <c r="E23" s="71"/>
      <c r="F23" s="719">
        <f t="shared" ref="F23:K23" si="4">SUM(F19:F22)</f>
        <v>0</v>
      </c>
      <c r="G23" s="719">
        <f t="shared" si="4"/>
        <v>0</v>
      </c>
      <c r="H23" s="719">
        <f t="shared" si="4"/>
        <v>2170866.2364145834</v>
      </c>
      <c r="I23" s="719">
        <f t="shared" si="4"/>
        <v>4310615.1676541669</v>
      </c>
      <c r="J23" s="719">
        <f t="shared" si="4"/>
        <v>6425928.0476687504</v>
      </c>
      <c r="K23" s="719">
        <f t="shared" si="4"/>
        <v>8532878.3228020836</v>
      </c>
      <c r="L23" s="719">
        <f>SUM(L19:L22)</f>
        <v>10653968.817935416</v>
      </c>
      <c r="M23" s="69"/>
      <c r="N23" s="53"/>
    </row>
    <row r="24" spans="2:22" ht="12.75" customHeight="1" x14ac:dyDescent="0.2">
      <c r="B24" s="49"/>
      <c r="C24" s="69"/>
      <c r="D24" s="839"/>
      <c r="E24" s="71"/>
      <c r="F24" s="71"/>
      <c r="G24" s="71"/>
      <c r="H24" s="71"/>
      <c r="I24" s="71"/>
      <c r="J24" s="71"/>
      <c r="K24" s="71"/>
      <c r="L24" s="71"/>
      <c r="M24" s="69"/>
      <c r="N24" s="53"/>
    </row>
    <row r="25" spans="2:22" ht="12.95" customHeight="1" x14ac:dyDescent="0.2">
      <c r="B25" s="49"/>
      <c r="C25" s="69"/>
      <c r="D25" s="840" t="s">
        <v>259</v>
      </c>
      <c r="E25" s="559"/>
      <c r="F25" s="788">
        <f t="shared" ref="F25:K25" si="5">F17+F23</f>
        <v>0</v>
      </c>
      <c r="G25" s="788">
        <f t="shared" si="5"/>
        <v>0</v>
      </c>
      <c r="H25" s="788">
        <f t="shared" si="5"/>
        <v>2170866.2364145834</v>
      </c>
      <c r="I25" s="788">
        <f t="shared" si="5"/>
        <v>4310615.1676541669</v>
      </c>
      <c r="J25" s="788">
        <f t="shared" si="5"/>
        <v>6425928.0476687504</v>
      </c>
      <c r="K25" s="788">
        <f t="shared" si="5"/>
        <v>8532878.3228020836</v>
      </c>
      <c r="L25" s="788">
        <f>L17+L23</f>
        <v>10653968.817935416</v>
      </c>
      <c r="M25" s="69"/>
      <c r="N25" s="53"/>
    </row>
    <row r="26" spans="2:22" ht="12.95" customHeight="1" x14ac:dyDescent="0.2">
      <c r="B26" s="49"/>
      <c r="C26" s="76"/>
      <c r="D26" s="77"/>
      <c r="E26" s="561"/>
      <c r="F26" s="561"/>
      <c r="G26" s="561"/>
      <c r="H26" s="143"/>
      <c r="I26" s="143"/>
      <c r="J26" s="143"/>
      <c r="K26" s="143"/>
      <c r="L26" s="143"/>
      <c r="M26" s="76"/>
      <c r="N26" s="53"/>
      <c r="P26" s="475"/>
      <c r="R26" s="357"/>
      <c r="S26" s="357"/>
      <c r="T26" s="357"/>
      <c r="U26" s="357"/>
      <c r="V26" s="357"/>
    </row>
    <row r="27" spans="2:22" ht="12.95" customHeight="1" x14ac:dyDescent="0.2">
      <c r="B27" s="49"/>
      <c r="C27" s="50"/>
      <c r="D27" s="50"/>
      <c r="E27" s="538"/>
      <c r="F27" s="538"/>
      <c r="G27" s="538"/>
      <c r="H27" s="129"/>
      <c r="I27" s="129"/>
      <c r="J27" s="129"/>
      <c r="K27" s="129"/>
      <c r="L27" s="129"/>
      <c r="M27" s="50"/>
      <c r="N27" s="53"/>
      <c r="P27" s="475"/>
      <c r="R27" s="357"/>
      <c r="S27" s="357"/>
      <c r="T27" s="357"/>
      <c r="U27" s="357"/>
      <c r="V27" s="357"/>
    </row>
    <row r="28" spans="2:22" ht="12.95" customHeight="1" x14ac:dyDescent="0.2">
      <c r="B28" s="49"/>
      <c r="C28" s="66"/>
      <c r="D28" s="67"/>
      <c r="E28" s="380"/>
      <c r="F28" s="380"/>
      <c r="G28" s="380"/>
      <c r="H28" s="380"/>
      <c r="I28" s="380"/>
      <c r="J28" s="380"/>
      <c r="K28" s="380"/>
      <c r="L28" s="380"/>
      <c r="M28" s="66"/>
      <c r="N28" s="53"/>
      <c r="P28" s="475"/>
      <c r="R28" s="357"/>
      <c r="S28" s="357"/>
      <c r="T28" s="357"/>
      <c r="U28" s="357"/>
      <c r="V28" s="357"/>
    </row>
    <row r="29" spans="2:22" ht="12.95" customHeight="1" x14ac:dyDescent="0.2">
      <c r="B29" s="49"/>
      <c r="C29" s="69"/>
      <c r="D29" s="690" t="s">
        <v>261</v>
      </c>
      <c r="E29" s="71"/>
      <c r="F29" s="559"/>
      <c r="G29" s="559"/>
      <c r="H29" s="74"/>
      <c r="I29" s="74"/>
      <c r="J29" s="74"/>
      <c r="K29" s="74"/>
      <c r="L29" s="74"/>
      <c r="M29" s="69"/>
      <c r="N29" s="53"/>
      <c r="P29" s="475"/>
      <c r="R29" s="357"/>
      <c r="S29" s="357"/>
      <c r="T29" s="357"/>
      <c r="U29" s="357"/>
      <c r="V29" s="357"/>
    </row>
    <row r="30" spans="2:22" ht="12.95" customHeight="1" x14ac:dyDescent="0.2">
      <c r="B30" s="138"/>
      <c r="C30" s="139"/>
      <c r="D30" s="71"/>
      <c r="E30" s="559"/>
      <c r="F30" s="559"/>
      <c r="G30" s="559"/>
      <c r="H30" s="74"/>
      <c r="I30" s="74"/>
      <c r="J30" s="74"/>
      <c r="K30" s="74"/>
      <c r="L30" s="74"/>
      <c r="M30" s="139"/>
      <c r="N30" s="53"/>
      <c r="P30" s="475"/>
      <c r="R30" s="357"/>
      <c r="S30" s="357"/>
      <c r="T30" s="357"/>
      <c r="U30" s="357"/>
      <c r="V30" s="357"/>
    </row>
    <row r="31" spans="2:22" ht="12.95" customHeight="1" x14ac:dyDescent="0.2">
      <c r="B31" s="138"/>
      <c r="C31" s="139"/>
      <c r="D31" s="839" t="s">
        <v>411</v>
      </c>
      <c r="E31" s="559"/>
      <c r="F31" s="559"/>
      <c r="G31" s="559"/>
      <c r="H31" s="74"/>
      <c r="I31" s="74"/>
      <c r="J31" s="74"/>
      <c r="K31" s="74"/>
      <c r="L31" s="74"/>
      <c r="M31" s="139"/>
      <c r="N31" s="53"/>
      <c r="P31" s="475"/>
      <c r="R31" s="357"/>
      <c r="S31" s="357"/>
      <c r="T31" s="357"/>
      <c r="U31" s="357"/>
      <c r="V31" s="357"/>
    </row>
    <row r="32" spans="2:22" ht="12.95" customHeight="1" x14ac:dyDescent="0.2">
      <c r="B32" s="138"/>
      <c r="C32" s="139"/>
      <c r="D32" s="839" t="s">
        <v>255</v>
      </c>
      <c r="E32" s="559"/>
      <c r="F32" s="793">
        <f>F25-(F33+F34+F35+F42+F46+F55)</f>
        <v>0</v>
      </c>
      <c r="G32" s="686">
        <f>F36+begr!F42-SUM(G33:G35)</f>
        <v>0</v>
      </c>
      <c r="H32" s="686">
        <f>G36+begr!G42-SUM(H33:H35)</f>
        <v>2170866.2364145834</v>
      </c>
      <c r="I32" s="686">
        <f>H36+begr!H42-SUM(I33:I35)</f>
        <v>4310615.1676541669</v>
      </c>
      <c r="J32" s="686">
        <f>I36+begr!I42-SUM(J33:J35)</f>
        <v>6425928.0476687504</v>
      </c>
      <c r="K32" s="686">
        <f>J36+begr!J42-SUM(K33:K35)</f>
        <v>8532878.3228020836</v>
      </c>
      <c r="L32" s="686">
        <f>K36+begr!K42-SUM(L33:L35)</f>
        <v>10653968.817935416</v>
      </c>
      <c r="M32" s="139"/>
      <c r="N32" s="53"/>
      <c r="P32" s="475"/>
      <c r="R32" s="357"/>
      <c r="S32" s="357"/>
      <c r="T32" s="357"/>
      <c r="U32" s="357"/>
      <c r="V32" s="357"/>
    </row>
    <row r="33" spans="2:22" ht="12.95" customHeight="1" x14ac:dyDescent="0.2">
      <c r="B33" s="138"/>
      <c r="C33" s="139"/>
      <c r="D33" s="850" t="s">
        <v>256</v>
      </c>
      <c r="E33" s="559"/>
      <c r="F33" s="165">
        <v>0</v>
      </c>
      <c r="G33" s="165">
        <v>0</v>
      </c>
      <c r="H33" s="165">
        <f>G33</f>
        <v>0</v>
      </c>
      <c r="I33" s="165">
        <f t="shared" ref="I33:L35" si="6">H33</f>
        <v>0</v>
      </c>
      <c r="J33" s="165">
        <f t="shared" si="6"/>
        <v>0</v>
      </c>
      <c r="K33" s="165">
        <f t="shared" si="6"/>
        <v>0</v>
      </c>
      <c r="L33" s="165">
        <f t="shared" si="6"/>
        <v>0</v>
      </c>
      <c r="M33" s="139"/>
      <c r="N33" s="53"/>
      <c r="P33" s="475"/>
      <c r="R33" s="357"/>
      <c r="S33" s="357"/>
      <c r="T33" s="357"/>
      <c r="U33" s="357"/>
      <c r="V33" s="357"/>
    </row>
    <row r="34" spans="2:22" ht="12.95" customHeight="1" x14ac:dyDescent="0.2">
      <c r="B34" s="138"/>
      <c r="C34" s="139"/>
      <c r="D34" s="850" t="s">
        <v>257</v>
      </c>
      <c r="E34" s="559"/>
      <c r="F34" s="165">
        <v>0</v>
      </c>
      <c r="G34" s="165">
        <v>0</v>
      </c>
      <c r="H34" s="165">
        <f>G34</f>
        <v>0</v>
      </c>
      <c r="I34" s="165">
        <f t="shared" si="6"/>
        <v>0</v>
      </c>
      <c r="J34" s="165">
        <f t="shared" si="6"/>
        <v>0</v>
      </c>
      <c r="K34" s="165">
        <f t="shared" si="6"/>
        <v>0</v>
      </c>
      <c r="L34" s="165">
        <f t="shared" si="6"/>
        <v>0</v>
      </c>
      <c r="M34" s="139"/>
      <c r="N34" s="53"/>
      <c r="P34" s="475"/>
      <c r="R34" s="357"/>
      <c r="S34" s="357"/>
      <c r="T34" s="357"/>
      <c r="U34" s="357"/>
      <c r="V34" s="357"/>
    </row>
    <row r="35" spans="2:22" ht="12.95" customHeight="1" x14ac:dyDescent="0.2">
      <c r="B35" s="138"/>
      <c r="C35" s="139"/>
      <c r="D35" s="850" t="s">
        <v>258</v>
      </c>
      <c r="E35" s="559"/>
      <c r="F35" s="165">
        <v>0</v>
      </c>
      <c r="G35" s="165">
        <v>0</v>
      </c>
      <c r="H35" s="165">
        <f>G35</f>
        <v>0</v>
      </c>
      <c r="I35" s="165">
        <f t="shared" si="6"/>
        <v>0</v>
      </c>
      <c r="J35" s="165">
        <f t="shared" si="6"/>
        <v>0</v>
      </c>
      <c r="K35" s="165">
        <f t="shared" si="6"/>
        <v>0</v>
      </c>
      <c r="L35" s="165">
        <f t="shared" si="6"/>
        <v>0</v>
      </c>
      <c r="M35" s="139"/>
      <c r="N35" s="53"/>
      <c r="P35" s="475"/>
      <c r="R35" s="357"/>
      <c r="S35" s="357"/>
      <c r="T35" s="357"/>
      <c r="U35" s="357"/>
      <c r="V35" s="357"/>
    </row>
    <row r="36" spans="2:22" ht="12.95" customHeight="1" x14ac:dyDescent="0.2">
      <c r="B36" s="49"/>
      <c r="C36" s="69"/>
      <c r="D36" s="851"/>
      <c r="E36" s="71"/>
      <c r="F36" s="719">
        <f t="shared" ref="F36:K36" si="7">SUM(F32:F35)</f>
        <v>0</v>
      </c>
      <c r="G36" s="719">
        <f t="shared" si="7"/>
        <v>0</v>
      </c>
      <c r="H36" s="719">
        <f t="shared" si="7"/>
        <v>2170866.2364145834</v>
      </c>
      <c r="I36" s="719">
        <f t="shared" si="7"/>
        <v>4310615.1676541669</v>
      </c>
      <c r="J36" s="719">
        <f t="shared" si="7"/>
        <v>6425928.0476687504</v>
      </c>
      <c r="K36" s="719">
        <f t="shared" si="7"/>
        <v>8532878.3228020836</v>
      </c>
      <c r="L36" s="719">
        <f>SUM(L32:L35)</f>
        <v>10653968.817935416</v>
      </c>
      <c r="M36" s="69"/>
      <c r="N36" s="53"/>
    </row>
    <row r="37" spans="2:22" ht="12.75" customHeight="1" x14ac:dyDescent="0.2">
      <c r="B37" s="49"/>
      <c r="C37" s="69"/>
      <c r="D37" s="839" t="s">
        <v>412</v>
      </c>
      <c r="E37" s="71"/>
      <c r="F37" s="71"/>
      <c r="G37" s="71"/>
      <c r="H37" s="71"/>
      <c r="I37" s="71"/>
      <c r="J37" s="71"/>
      <c r="K37" s="71"/>
      <c r="L37" s="71"/>
      <c r="M37" s="69"/>
      <c r="N37" s="53"/>
    </row>
    <row r="38" spans="2:22" ht="12.95" customHeight="1" x14ac:dyDescent="0.2">
      <c r="B38" s="49"/>
      <c r="C38" s="69"/>
      <c r="D38" s="839" t="s">
        <v>508</v>
      </c>
      <c r="E38" s="71"/>
      <c r="F38" s="686">
        <f>mop!F16</f>
        <v>0</v>
      </c>
      <c r="G38" s="686">
        <f>mop!F19</f>
        <v>0</v>
      </c>
      <c r="H38" s="686">
        <f>mop!G19</f>
        <v>0</v>
      </c>
      <c r="I38" s="686">
        <f>mop!H19</f>
        <v>0</v>
      </c>
      <c r="J38" s="686">
        <f>mop!I19</f>
        <v>0</v>
      </c>
      <c r="K38" s="686">
        <f>mop!J19</f>
        <v>0</v>
      </c>
      <c r="L38" s="686">
        <f>mop!K19</f>
        <v>0</v>
      </c>
      <c r="M38" s="69"/>
      <c r="N38" s="53"/>
    </row>
    <row r="39" spans="2:22" s="130" customFormat="1" ht="12.95" customHeight="1" x14ac:dyDescent="0.2">
      <c r="B39" s="63"/>
      <c r="C39" s="82"/>
      <c r="D39" s="839" t="s">
        <v>507</v>
      </c>
      <c r="E39" s="71"/>
      <c r="F39" s="165">
        <v>0</v>
      </c>
      <c r="G39" s="165">
        <v>0</v>
      </c>
      <c r="H39" s="165">
        <v>0</v>
      </c>
      <c r="I39" s="165">
        <v>0</v>
      </c>
      <c r="J39" s="165">
        <v>0</v>
      </c>
      <c r="K39" s="165">
        <v>0</v>
      </c>
      <c r="L39" s="165">
        <v>0</v>
      </c>
      <c r="M39" s="82"/>
      <c r="N39" s="86"/>
      <c r="O39" s="564"/>
    </row>
    <row r="40" spans="2:22" s="130" customFormat="1" ht="12.95" customHeight="1" x14ac:dyDescent="0.2">
      <c r="B40" s="63"/>
      <c r="C40" s="82"/>
      <c r="D40" s="839" t="s">
        <v>505</v>
      </c>
      <c r="E40" s="71"/>
      <c r="F40" s="165">
        <v>0</v>
      </c>
      <c r="G40" s="165">
        <v>0</v>
      </c>
      <c r="H40" s="165">
        <v>0</v>
      </c>
      <c r="I40" s="165">
        <v>0</v>
      </c>
      <c r="J40" s="165">
        <v>0</v>
      </c>
      <c r="K40" s="165">
        <v>0</v>
      </c>
      <c r="L40" s="165">
        <v>0</v>
      </c>
      <c r="M40" s="82"/>
      <c r="N40" s="86"/>
      <c r="O40" s="564"/>
      <c r="P40" s="329"/>
    </row>
    <row r="41" spans="2:22" s="130" customFormat="1" ht="12.95" customHeight="1" x14ac:dyDescent="0.2">
      <c r="B41" s="63"/>
      <c r="C41" s="82"/>
      <c r="D41" s="839" t="s">
        <v>387</v>
      </c>
      <c r="E41" s="71"/>
      <c r="F41" s="165">
        <v>0</v>
      </c>
      <c r="G41" s="165">
        <v>0</v>
      </c>
      <c r="H41" s="165">
        <f>G41</f>
        <v>0</v>
      </c>
      <c r="I41" s="165">
        <f>H41</f>
        <v>0</v>
      </c>
      <c r="J41" s="165">
        <f>I41</f>
        <v>0</v>
      </c>
      <c r="K41" s="165">
        <f>J41</f>
        <v>0</v>
      </c>
      <c r="L41" s="165">
        <f>K41</f>
        <v>0</v>
      </c>
      <c r="M41" s="82"/>
      <c r="N41" s="86"/>
      <c r="O41" s="564"/>
    </row>
    <row r="42" spans="2:22" ht="12.95" customHeight="1" x14ac:dyDescent="0.2">
      <c r="B42" s="49"/>
      <c r="C42" s="69"/>
      <c r="D42" s="851"/>
      <c r="E42" s="71"/>
      <c r="F42" s="719">
        <f t="shared" ref="F42:K42" si="8">SUM(F38:F41)</f>
        <v>0</v>
      </c>
      <c r="G42" s="719">
        <f t="shared" si="8"/>
        <v>0</v>
      </c>
      <c r="H42" s="719">
        <f t="shared" si="8"/>
        <v>0</v>
      </c>
      <c r="I42" s="719">
        <f t="shared" si="8"/>
        <v>0</v>
      </c>
      <c r="J42" s="719">
        <f t="shared" si="8"/>
        <v>0</v>
      </c>
      <c r="K42" s="719">
        <f t="shared" si="8"/>
        <v>0</v>
      </c>
      <c r="L42" s="719">
        <f>SUM(L38:L41)</f>
        <v>0</v>
      </c>
      <c r="M42" s="69"/>
      <c r="N42" s="53"/>
    </row>
    <row r="43" spans="2:22" ht="12.95" customHeight="1" x14ac:dyDescent="0.2">
      <c r="B43" s="49"/>
      <c r="C43" s="69"/>
      <c r="D43" s="839" t="s">
        <v>413</v>
      </c>
      <c r="E43" s="71"/>
      <c r="F43" s="71"/>
      <c r="G43" s="71"/>
      <c r="H43" s="167"/>
      <c r="I43" s="167"/>
      <c r="J43" s="167"/>
      <c r="K43" s="167"/>
      <c r="L43" s="167"/>
      <c r="M43" s="69"/>
      <c r="N43" s="53"/>
    </row>
    <row r="44" spans="2:22" ht="12.95" customHeight="1" x14ac:dyDescent="0.2">
      <c r="B44" s="49"/>
      <c r="C44" s="69"/>
      <c r="D44" s="839" t="s">
        <v>254</v>
      </c>
      <c r="E44" s="71"/>
      <c r="F44" s="165">
        <v>0</v>
      </c>
      <c r="G44" s="165">
        <v>0</v>
      </c>
      <c r="H44" s="165">
        <f>G44</f>
        <v>0</v>
      </c>
      <c r="I44" s="165">
        <f t="shared" ref="I44:L45" si="9">H44</f>
        <v>0</v>
      </c>
      <c r="J44" s="165">
        <f t="shared" si="9"/>
        <v>0</v>
      </c>
      <c r="K44" s="165">
        <f t="shared" si="9"/>
        <v>0</v>
      </c>
      <c r="L44" s="165">
        <f t="shared" si="9"/>
        <v>0</v>
      </c>
      <c r="M44" s="69"/>
      <c r="N44" s="53"/>
    </row>
    <row r="45" spans="2:22" ht="12.95" customHeight="1" x14ac:dyDescent="0.2">
      <c r="B45" s="49"/>
      <c r="C45" s="69"/>
      <c r="D45" s="839" t="s">
        <v>265</v>
      </c>
      <c r="E45" s="71"/>
      <c r="F45" s="165">
        <v>0</v>
      </c>
      <c r="G45" s="165">
        <v>0</v>
      </c>
      <c r="H45" s="165">
        <f>G45</f>
        <v>0</v>
      </c>
      <c r="I45" s="165">
        <f t="shared" si="9"/>
        <v>0</v>
      </c>
      <c r="J45" s="165">
        <f t="shared" si="9"/>
        <v>0</v>
      </c>
      <c r="K45" s="165">
        <f t="shared" si="9"/>
        <v>0</v>
      </c>
      <c r="L45" s="165">
        <f t="shared" si="9"/>
        <v>0</v>
      </c>
      <c r="M45" s="69"/>
      <c r="N45" s="53"/>
    </row>
    <row r="46" spans="2:22" ht="12.95" customHeight="1" x14ac:dyDescent="0.2">
      <c r="B46" s="49"/>
      <c r="C46" s="69"/>
      <c r="D46" s="840"/>
      <c r="E46" s="71"/>
      <c r="F46" s="719">
        <f t="shared" ref="F46:K46" si="10">SUM(F44:F45)</f>
        <v>0</v>
      </c>
      <c r="G46" s="719">
        <f t="shared" si="10"/>
        <v>0</v>
      </c>
      <c r="H46" s="719">
        <f t="shared" si="10"/>
        <v>0</v>
      </c>
      <c r="I46" s="719">
        <f t="shared" si="10"/>
        <v>0</v>
      </c>
      <c r="J46" s="719">
        <f t="shared" si="10"/>
        <v>0</v>
      </c>
      <c r="K46" s="719">
        <f t="shared" si="10"/>
        <v>0</v>
      </c>
      <c r="L46" s="719">
        <f>SUM(L44:L45)</f>
        <v>0</v>
      </c>
      <c r="M46" s="69"/>
      <c r="N46" s="53"/>
    </row>
    <row r="47" spans="2:22" ht="12.95" customHeight="1" x14ac:dyDescent="0.2">
      <c r="B47" s="49"/>
      <c r="C47" s="69"/>
      <c r="D47" s="839" t="s">
        <v>414</v>
      </c>
      <c r="E47" s="71"/>
      <c r="F47" s="71"/>
      <c r="G47" s="71"/>
      <c r="H47" s="167"/>
      <c r="I47" s="167"/>
      <c r="J47" s="167"/>
      <c r="K47" s="167"/>
      <c r="L47" s="167"/>
      <c r="M47" s="69"/>
      <c r="N47" s="53"/>
    </row>
    <row r="48" spans="2:22" ht="12.95" customHeight="1" x14ac:dyDescent="0.2">
      <c r="B48" s="49"/>
      <c r="C48" s="69"/>
      <c r="D48" s="839" t="s">
        <v>254</v>
      </c>
      <c r="E48" s="71"/>
      <c r="F48" s="165">
        <v>0</v>
      </c>
      <c r="G48" s="165">
        <v>0</v>
      </c>
      <c r="H48" s="165">
        <f t="shared" ref="H48:H54" si="11">G48</f>
        <v>0</v>
      </c>
      <c r="I48" s="165">
        <f t="shared" ref="I48:I54" si="12">H48</f>
        <v>0</v>
      </c>
      <c r="J48" s="165">
        <f t="shared" ref="J48:J54" si="13">I48</f>
        <v>0</v>
      </c>
      <c r="K48" s="165">
        <f t="shared" ref="K48:L54" si="14">J48</f>
        <v>0</v>
      </c>
      <c r="L48" s="165">
        <f t="shared" si="14"/>
        <v>0</v>
      </c>
      <c r="M48" s="69"/>
      <c r="N48" s="53"/>
    </row>
    <row r="49" spans="2:14" ht="12.95" customHeight="1" x14ac:dyDescent="0.2">
      <c r="B49" s="49"/>
      <c r="C49" s="69"/>
      <c r="D49" s="839" t="s">
        <v>161</v>
      </c>
      <c r="E49" s="71"/>
      <c r="F49" s="165">
        <v>0</v>
      </c>
      <c r="G49" s="165">
        <v>0</v>
      </c>
      <c r="H49" s="165">
        <f t="shared" si="11"/>
        <v>0</v>
      </c>
      <c r="I49" s="165">
        <f t="shared" si="12"/>
        <v>0</v>
      </c>
      <c r="J49" s="165">
        <f t="shared" si="13"/>
        <v>0</v>
      </c>
      <c r="K49" s="165">
        <f t="shared" si="14"/>
        <v>0</v>
      </c>
      <c r="L49" s="165">
        <f t="shared" si="14"/>
        <v>0</v>
      </c>
      <c r="M49" s="69"/>
      <c r="N49" s="53"/>
    </row>
    <row r="50" spans="2:14" ht="12.95" customHeight="1" x14ac:dyDescent="0.2">
      <c r="B50" s="49"/>
      <c r="C50" s="69"/>
      <c r="D50" s="839" t="s">
        <v>252</v>
      </c>
      <c r="E50" s="71"/>
      <c r="F50" s="165">
        <v>0</v>
      </c>
      <c r="G50" s="165">
        <v>0</v>
      </c>
      <c r="H50" s="165">
        <f t="shared" si="11"/>
        <v>0</v>
      </c>
      <c r="I50" s="165">
        <f t="shared" si="12"/>
        <v>0</v>
      </c>
      <c r="J50" s="165">
        <f t="shared" si="13"/>
        <v>0</v>
      </c>
      <c r="K50" s="165">
        <f t="shared" si="14"/>
        <v>0</v>
      </c>
      <c r="L50" s="165">
        <f t="shared" si="14"/>
        <v>0</v>
      </c>
      <c r="M50" s="69"/>
      <c r="N50" s="53"/>
    </row>
    <row r="51" spans="2:14" ht="12.95" customHeight="1" x14ac:dyDescent="0.2">
      <c r="B51" s="49"/>
      <c r="C51" s="69"/>
      <c r="D51" s="839" t="s">
        <v>266</v>
      </c>
      <c r="E51" s="71"/>
      <c r="F51" s="165">
        <v>0</v>
      </c>
      <c r="G51" s="165">
        <v>0</v>
      </c>
      <c r="H51" s="165">
        <f t="shared" si="11"/>
        <v>0</v>
      </c>
      <c r="I51" s="165">
        <f t="shared" si="12"/>
        <v>0</v>
      </c>
      <c r="J51" s="165">
        <f t="shared" si="13"/>
        <v>0</v>
      </c>
      <c r="K51" s="165">
        <f t="shared" si="14"/>
        <v>0</v>
      </c>
      <c r="L51" s="165">
        <f t="shared" si="14"/>
        <v>0</v>
      </c>
      <c r="M51" s="69"/>
      <c r="N51" s="53"/>
    </row>
    <row r="52" spans="2:14" ht="12.95" customHeight="1" x14ac:dyDescent="0.2">
      <c r="B52" s="49"/>
      <c r="C52" s="69"/>
      <c r="D52" s="839" t="s">
        <v>267</v>
      </c>
      <c r="E52" s="71"/>
      <c r="F52" s="165">
        <v>0</v>
      </c>
      <c r="G52" s="165">
        <v>0</v>
      </c>
      <c r="H52" s="165">
        <f t="shared" si="11"/>
        <v>0</v>
      </c>
      <c r="I52" s="165">
        <f t="shared" si="12"/>
        <v>0</v>
      </c>
      <c r="J52" s="165">
        <f t="shared" si="13"/>
        <v>0</v>
      </c>
      <c r="K52" s="165">
        <f t="shared" si="14"/>
        <v>0</v>
      </c>
      <c r="L52" s="165">
        <f t="shared" si="14"/>
        <v>0</v>
      </c>
      <c r="M52" s="69"/>
      <c r="N52" s="53"/>
    </row>
    <row r="53" spans="2:14" ht="12.95" customHeight="1" x14ac:dyDescent="0.2">
      <c r="B53" s="49"/>
      <c r="C53" s="69"/>
      <c r="D53" s="839" t="s">
        <v>268</v>
      </c>
      <c r="E53" s="71"/>
      <c r="F53" s="165">
        <v>0</v>
      </c>
      <c r="G53" s="165">
        <v>0</v>
      </c>
      <c r="H53" s="165">
        <f t="shared" si="11"/>
        <v>0</v>
      </c>
      <c r="I53" s="165">
        <f t="shared" si="12"/>
        <v>0</v>
      </c>
      <c r="J53" s="165">
        <f t="shared" si="13"/>
        <v>0</v>
      </c>
      <c r="K53" s="165">
        <f t="shared" si="14"/>
        <v>0</v>
      </c>
      <c r="L53" s="165">
        <f t="shared" si="14"/>
        <v>0</v>
      </c>
      <c r="M53" s="69"/>
      <c r="N53" s="53"/>
    </row>
    <row r="54" spans="2:14" ht="12.95" customHeight="1" x14ac:dyDescent="0.2">
      <c r="B54" s="49"/>
      <c r="C54" s="69"/>
      <c r="D54" s="839" t="s">
        <v>269</v>
      </c>
      <c r="E54" s="71"/>
      <c r="F54" s="165">
        <v>0</v>
      </c>
      <c r="G54" s="165">
        <v>0</v>
      </c>
      <c r="H54" s="165">
        <f t="shared" si="11"/>
        <v>0</v>
      </c>
      <c r="I54" s="165">
        <f t="shared" si="12"/>
        <v>0</v>
      </c>
      <c r="J54" s="165">
        <f t="shared" si="13"/>
        <v>0</v>
      </c>
      <c r="K54" s="165">
        <f t="shared" si="14"/>
        <v>0</v>
      </c>
      <c r="L54" s="165">
        <f t="shared" si="14"/>
        <v>0</v>
      </c>
      <c r="M54" s="69"/>
      <c r="N54" s="53"/>
    </row>
    <row r="55" spans="2:14" ht="12.95" customHeight="1" x14ac:dyDescent="0.2">
      <c r="B55" s="49"/>
      <c r="C55" s="69"/>
      <c r="D55" s="840"/>
      <c r="E55" s="71"/>
      <c r="F55" s="719">
        <f t="shared" ref="F55:K55" si="15">SUM(F48:F54)</f>
        <v>0</v>
      </c>
      <c r="G55" s="719">
        <f t="shared" si="15"/>
        <v>0</v>
      </c>
      <c r="H55" s="719">
        <f t="shared" si="15"/>
        <v>0</v>
      </c>
      <c r="I55" s="719">
        <f t="shared" si="15"/>
        <v>0</v>
      </c>
      <c r="J55" s="719">
        <f t="shared" si="15"/>
        <v>0</v>
      </c>
      <c r="K55" s="719">
        <f t="shared" si="15"/>
        <v>0</v>
      </c>
      <c r="L55" s="719">
        <f>SUM(L48:L54)</f>
        <v>0</v>
      </c>
      <c r="M55" s="69"/>
      <c r="N55" s="53"/>
    </row>
    <row r="56" spans="2:14" ht="12.95" customHeight="1" x14ac:dyDescent="0.2">
      <c r="B56" s="49"/>
      <c r="C56" s="69"/>
      <c r="D56" s="839"/>
      <c r="E56" s="71"/>
      <c r="F56" s="71"/>
      <c r="G56" s="71"/>
      <c r="H56" s="71"/>
      <c r="I56" s="71"/>
      <c r="J56" s="71"/>
      <c r="K56" s="71"/>
      <c r="L56" s="71"/>
      <c r="M56" s="69"/>
      <c r="N56" s="53"/>
    </row>
    <row r="57" spans="2:14" ht="12.95" customHeight="1" x14ac:dyDescent="0.2">
      <c r="B57" s="49"/>
      <c r="C57" s="69"/>
      <c r="D57" s="840" t="s">
        <v>262</v>
      </c>
      <c r="E57" s="71"/>
      <c r="F57" s="788">
        <f t="shared" ref="F57:K57" si="16">F36+F42+F46+F55</f>
        <v>0</v>
      </c>
      <c r="G57" s="788">
        <f t="shared" si="16"/>
        <v>0</v>
      </c>
      <c r="H57" s="788">
        <f t="shared" si="16"/>
        <v>2170866.2364145834</v>
      </c>
      <c r="I57" s="788">
        <f t="shared" si="16"/>
        <v>4310615.1676541669</v>
      </c>
      <c r="J57" s="788">
        <f t="shared" si="16"/>
        <v>6425928.0476687504</v>
      </c>
      <c r="K57" s="788">
        <f t="shared" si="16"/>
        <v>8532878.3228020836</v>
      </c>
      <c r="L57" s="788">
        <f>L36+L42+L46+L55</f>
        <v>10653968.817935416</v>
      </c>
      <c r="M57" s="69"/>
      <c r="N57" s="53"/>
    </row>
    <row r="58" spans="2:14" ht="12.95" customHeight="1" x14ac:dyDescent="0.2">
      <c r="B58" s="49"/>
      <c r="C58" s="76"/>
      <c r="D58" s="172"/>
      <c r="E58" s="77"/>
      <c r="F58" s="565"/>
      <c r="G58" s="565"/>
      <c r="H58" s="565"/>
      <c r="I58" s="565"/>
      <c r="J58" s="565"/>
      <c r="K58" s="565"/>
      <c r="L58" s="565"/>
      <c r="M58" s="76"/>
      <c r="N58" s="53"/>
    </row>
    <row r="59" spans="2:14" ht="12.95" customHeight="1" x14ac:dyDescent="0.2">
      <c r="B59" s="49"/>
      <c r="C59" s="50"/>
      <c r="D59" s="310"/>
      <c r="E59" s="50"/>
      <c r="F59" s="566"/>
      <c r="G59" s="566"/>
      <c r="H59" s="566"/>
      <c r="I59" s="566"/>
      <c r="J59" s="566"/>
      <c r="K59" s="566"/>
      <c r="L59" s="566"/>
      <c r="M59" s="50"/>
      <c r="N59" s="53"/>
    </row>
    <row r="60" spans="2:14" ht="12.95" customHeight="1" x14ac:dyDescent="0.2">
      <c r="B60" s="124"/>
      <c r="C60" s="125"/>
      <c r="D60" s="567"/>
      <c r="E60" s="125"/>
      <c r="F60" s="125"/>
      <c r="G60" s="125"/>
      <c r="H60" s="568"/>
      <c r="I60" s="568"/>
      <c r="J60" s="568"/>
      <c r="K60" s="568"/>
      <c r="L60" s="568"/>
      <c r="M60" s="125"/>
      <c r="N60" s="126"/>
    </row>
    <row r="61" spans="2:14" ht="12.6" customHeight="1" x14ac:dyDescent="0.2"/>
  </sheetData>
  <sheetProtection algorithmName="SHA-512" hashValue="seVn5aFn72vB9988MgeODyXz93BQRn+ahrp5OA5K4EWaxxQ0FLHenZD4r4UI68INQ33QVOY8bQsIHAnO0uzLsQ==" saltValue="+FapI8PDpByXOQwWNFBrkw==" spinCount="100000" sheet="1" objects="1" scenarios="1"/>
  <phoneticPr fontId="0" type="noConversion"/>
  <pageMargins left="0.74803149606299213" right="0.74803149606299213" top="0.98425196850393704" bottom="0.98425196850393704" header="0.51181102362204722" footer="0.51181102362204722"/>
  <pageSetup paperSize="9" scale="62" orientation="portrait" r:id="rId1"/>
  <headerFooter alignWithMargins="0">
    <oddHeader>&amp;L&amp;"Arial,Vet"&amp;F&amp;R&amp;"Arial,Vet"&amp;A</oddHeader>
    <oddFooter>&amp;L&amp;"Arial,Vet"PO-Raad&amp;C&amp;"Arial,Vet"&amp;D&amp;R&amp;"Arial,Vet"pagina &amp;P</oddFooter>
  </headerFooter>
  <colBreaks count="1" manualBreakCount="1">
    <brk id="23" min="3" max="63"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B1:M55"/>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569" customWidth="1"/>
    <col min="2" max="3" width="2.7109375" style="569" customWidth="1"/>
    <col min="4" max="4" width="45.7109375" style="569" customWidth="1"/>
    <col min="5" max="5" width="2.7109375" style="570" customWidth="1"/>
    <col min="6" max="11" width="14.7109375" style="570" customWidth="1"/>
    <col min="12" max="12" width="2.7109375" style="569" customWidth="1"/>
    <col min="13" max="13" width="2.7109375" style="571" customWidth="1"/>
    <col min="14" max="14" width="2.7109375" style="569" customWidth="1"/>
    <col min="15" max="15" width="2.5703125" style="569" customWidth="1"/>
    <col min="16" max="20" width="10.7109375" style="569" customWidth="1"/>
    <col min="21" max="21" width="2.7109375" style="569" customWidth="1"/>
    <col min="22" max="16384" width="9.140625" style="569"/>
  </cols>
  <sheetData>
    <row r="1" spans="2:13" ht="12.75" customHeight="1" x14ac:dyDescent="0.2"/>
    <row r="2" spans="2:13" x14ac:dyDescent="0.2">
      <c r="B2" s="43"/>
      <c r="C2" s="44"/>
      <c r="D2" s="44"/>
      <c r="E2" s="128"/>
      <c r="F2" s="128"/>
      <c r="G2" s="128"/>
      <c r="H2" s="128"/>
      <c r="I2" s="128"/>
      <c r="J2" s="128"/>
      <c r="K2" s="128"/>
      <c r="L2" s="47"/>
    </row>
    <row r="3" spans="2:13" x14ac:dyDescent="0.2">
      <c r="B3" s="49"/>
      <c r="C3" s="50"/>
      <c r="D3" s="50"/>
      <c r="E3" s="129"/>
      <c r="F3" s="129"/>
      <c r="G3" s="129"/>
      <c r="H3" s="129"/>
      <c r="I3" s="129"/>
      <c r="J3" s="129"/>
      <c r="K3" s="129"/>
      <c r="L3" s="53"/>
    </row>
    <row r="4" spans="2:13" s="572" customFormat="1" ht="18.75" x14ac:dyDescent="0.3">
      <c r="B4" s="563"/>
      <c r="C4" s="674" t="s">
        <v>381</v>
      </c>
      <c r="D4" s="62"/>
      <c r="E4" s="131"/>
      <c r="F4" s="499"/>
      <c r="G4" s="499"/>
      <c r="H4" s="131"/>
      <c r="I4" s="131"/>
      <c r="J4" s="131"/>
      <c r="K4" s="131"/>
      <c r="L4" s="86"/>
      <c r="M4" s="573"/>
    </row>
    <row r="5" spans="2:13" s="574" customFormat="1" ht="18.75" x14ac:dyDescent="0.3">
      <c r="B5" s="575"/>
      <c r="C5" s="246" t="str">
        <f>geg!G12</f>
        <v>voorbeeld Basisschool</v>
      </c>
      <c r="D5" s="487"/>
      <c r="E5" s="576"/>
      <c r="F5" s="577"/>
      <c r="G5" s="577"/>
      <c r="H5" s="576"/>
      <c r="I5" s="576"/>
      <c r="J5" s="576"/>
      <c r="K5" s="576"/>
      <c r="L5" s="578"/>
      <c r="M5" s="579"/>
    </row>
    <row r="6" spans="2:13" x14ac:dyDescent="0.2">
      <c r="B6" s="138"/>
      <c r="C6" s="376"/>
      <c r="D6" s="50"/>
      <c r="E6" s="129"/>
      <c r="F6" s="129"/>
      <c r="G6" s="129"/>
      <c r="H6" s="129"/>
      <c r="I6" s="129"/>
      <c r="J6" s="129"/>
      <c r="K6" s="129"/>
      <c r="L6" s="53"/>
    </row>
    <row r="7" spans="2:13" x14ac:dyDescent="0.2">
      <c r="B7" s="138"/>
      <c r="C7" s="376"/>
      <c r="D7" s="50"/>
      <c r="E7" s="129"/>
      <c r="F7" s="129"/>
      <c r="G7" s="129"/>
      <c r="H7" s="129"/>
      <c r="I7" s="129"/>
      <c r="J7" s="129"/>
      <c r="K7" s="129"/>
      <c r="L7" s="53"/>
    </row>
    <row r="8" spans="2:13" s="572" customFormat="1" x14ac:dyDescent="0.2">
      <c r="B8" s="409"/>
      <c r="C8" s="64"/>
      <c r="D8" s="524"/>
      <c r="E8" s="498"/>
      <c r="F8" s="688">
        <f>begr!F8</f>
        <v>2019</v>
      </c>
      <c r="G8" s="688">
        <f>begr!G8</f>
        <v>2020</v>
      </c>
      <c r="H8" s="688">
        <f>begr!H8</f>
        <v>2021</v>
      </c>
      <c r="I8" s="688">
        <f>begr!I8</f>
        <v>2022</v>
      </c>
      <c r="J8" s="688">
        <f>begr!J8</f>
        <v>2023</v>
      </c>
      <c r="K8" s="688">
        <f>begr!K8</f>
        <v>2024</v>
      </c>
      <c r="L8" s="86"/>
      <c r="M8" s="573"/>
    </row>
    <row r="9" spans="2:13" x14ac:dyDescent="0.2">
      <c r="B9" s="116"/>
      <c r="C9" s="144"/>
      <c r="D9" s="108"/>
      <c r="E9" s="52"/>
      <c r="F9" s="52"/>
      <c r="G9" s="52"/>
      <c r="H9" s="52"/>
      <c r="I9" s="52"/>
      <c r="J9" s="52"/>
      <c r="K9" s="52"/>
      <c r="L9" s="53"/>
    </row>
    <row r="10" spans="2:13" x14ac:dyDescent="0.2">
      <c r="B10" s="49"/>
      <c r="C10" s="66"/>
      <c r="D10" s="67"/>
      <c r="E10" s="132"/>
      <c r="F10" s="132"/>
      <c r="G10" s="132"/>
      <c r="H10" s="132"/>
      <c r="I10" s="132"/>
      <c r="J10" s="132"/>
      <c r="K10" s="132"/>
      <c r="L10" s="53"/>
    </row>
    <row r="11" spans="2:13" s="580" customFormat="1" x14ac:dyDescent="0.2">
      <c r="B11" s="116"/>
      <c r="C11" s="121"/>
      <c r="D11" s="690" t="s">
        <v>453</v>
      </c>
      <c r="E11" s="98"/>
      <c r="F11" s="796">
        <f>bal!F22</f>
        <v>0</v>
      </c>
      <c r="G11" s="796">
        <f>bal!G22</f>
        <v>0</v>
      </c>
      <c r="H11" s="796">
        <f>G51</f>
        <v>2170866</v>
      </c>
      <c r="I11" s="796">
        <f>H51</f>
        <v>4310615</v>
      </c>
      <c r="J11" s="796">
        <f>I51</f>
        <v>6425928</v>
      </c>
      <c r="K11" s="796">
        <f>J51</f>
        <v>8532878</v>
      </c>
      <c r="L11" s="122"/>
      <c r="M11" s="581"/>
    </row>
    <row r="12" spans="2:13" x14ac:dyDescent="0.2">
      <c r="B12" s="49"/>
      <c r="C12" s="76"/>
      <c r="D12" s="582"/>
      <c r="E12" s="143"/>
      <c r="F12" s="143"/>
      <c r="G12" s="143"/>
      <c r="H12" s="143"/>
      <c r="I12" s="143"/>
      <c r="J12" s="143"/>
      <c r="K12" s="143"/>
      <c r="L12" s="53"/>
    </row>
    <row r="13" spans="2:13" x14ac:dyDescent="0.2">
      <c r="B13" s="49"/>
      <c r="C13" s="50"/>
      <c r="D13" s="50"/>
      <c r="E13" s="129"/>
      <c r="F13" s="129"/>
      <c r="G13" s="129"/>
      <c r="H13" s="129"/>
      <c r="I13" s="129"/>
      <c r="J13" s="129"/>
      <c r="K13" s="129"/>
      <c r="L13" s="53"/>
    </row>
    <row r="14" spans="2:13" x14ac:dyDescent="0.2">
      <c r="B14" s="49"/>
      <c r="C14" s="66"/>
      <c r="D14" s="67"/>
      <c r="E14" s="132"/>
      <c r="F14" s="132"/>
      <c r="G14" s="132"/>
      <c r="H14" s="132"/>
      <c r="I14" s="132"/>
      <c r="J14" s="132"/>
      <c r="K14" s="132"/>
      <c r="L14" s="53"/>
    </row>
    <row r="15" spans="2:13" x14ac:dyDescent="0.2">
      <c r="B15" s="49"/>
      <c r="C15" s="69"/>
      <c r="D15" s="690" t="s">
        <v>301</v>
      </c>
      <c r="E15" s="74"/>
      <c r="F15" s="74"/>
      <c r="G15" s="74"/>
      <c r="H15" s="74"/>
      <c r="I15" s="74"/>
      <c r="J15" s="74"/>
      <c r="K15" s="74"/>
      <c r="L15" s="53"/>
    </row>
    <row r="16" spans="2:13" x14ac:dyDescent="0.2">
      <c r="B16" s="49"/>
      <c r="C16" s="69"/>
      <c r="D16" s="96"/>
      <c r="E16" s="74"/>
      <c r="F16" s="74"/>
      <c r="G16" s="74"/>
      <c r="H16" s="74"/>
      <c r="I16" s="74"/>
      <c r="J16" s="74"/>
      <c r="K16" s="74"/>
      <c r="L16" s="53"/>
    </row>
    <row r="17" spans="2:12" x14ac:dyDescent="0.2">
      <c r="B17" s="49"/>
      <c r="C17" s="69"/>
      <c r="D17" s="71" t="s">
        <v>368</v>
      </c>
      <c r="E17" s="74"/>
      <c r="F17" s="677">
        <f>begr!F42</f>
        <v>0</v>
      </c>
      <c r="G17" s="677">
        <f>begr!G42</f>
        <v>2170866.2364145834</v>
      </c>
      <c r="H17" s="677">
        <f>begr!H42</f>
        <v>2139748.9312395835</v>
      </c>
      <c r="I17" s="677">
        <f>begr!I42</f>
        <v>2115312.8800145835</v>
      </c>
      <c r="J17" s="677">
        <f>begr!J42</f>
        <v>2106950.2751333336</v>
      </c>
      <c r="K17" s="677">
        <f>begr!K42</f>
        <v>2121090.4951333334</v>
      </c>
      <c r="L17" s="53"/>
    </row>
    <row r="18" spans="2:12" x14ac:dyDescent="0.2">
      <c r="B18" s="49"/>
      <c r="C18" s="69"/>
      <c r="D18" s="71"/>
      <c r="E18" s="74"/>
      <c r="F18" s="74"/>
      <c r="G18" s="74"/>
      <c r="H18" s="74"/>
      <c r="I18" s="74"/>
      <c r="J18" s="74"/>
      <c r="K18" s="74"/>
      <c r="L18" s="53"/>
    </row>
    <row r="19" spans="2:12" x14ac:dyDescent="0.2">
      <c r="B19" s="49"/>
      <c r="C19" s="69"/>
      <c r="D19" s="71" t="s">
        <v>249</v>
      </c>
      <c r="E19" s="74"/>
      <c r="F19" s="686">
        <f>mat!H99</f>
        <v>0</v>
      </c>
      <c r="G19" s="686">
        <f>mat!I99</f>
        <v>0</v>
      </c>
      <c r="H19" s="686">
        <f>mat!J99</f>
        <v>0</v>
      </c>
      <c r="I19" s="686">
        <f>mat!K99</f>
        <v>0</v>
      </c>
      <c r="J19" s="686">
        <f>mat!L99</f>
        <v>0</v>
      </c>
      <c r="K19" s="686">
        <f>mat!M99</f>
        <v>0</v>
      </c>
      <c r="L19" s="53"/>
    </row>
    <row r="20" spans="2:12" x14ac:dyDescent="0.2">
      <c r="B20" s="49"/>
      <c r="C20" s="69"/>
      <c r="D20" s="71"/>
      <c r="E20" s="74"/>
      <c r="F20" s="167"/>
      <c r="G20" s="167"/>
      <c r="H20" s="167"/>
      <c r="I20" s="167"/>
      <c r="J20" s="167"/>
      <c r="K20" s="167"/>
      <c r="L20" s="53"/>
    </row>
    <row r="21" spans="2:12" x14ac:dyDescent="0.2">
      <c r="B21" s="49"/>
      <c r="C21" s="69"/>
      <c r="D21" s="583" t="s">
        <v>302</v>
      </c>
      <c r="E21" s="74"/>
      <c r="F21" s="167"/>
      <c r="G21" s="167"/>
      <c r="H21" s="167"/>
      <c r="I21" s="167"/>
      <c r="J21" s="167"/>
      <c r="K21" s="167"/>
      <c r="L21" s="53"/>
    </row>
    <row r="22" spans="2:12" x14ac:dyDescent="0.2">
      <c r="B22" s="49"/>
      <c r="C22" s="69"/>
      <c r="D22" s="71" t="s">
        <v>70</v>
      </c>
      <c r="E22" s="74"/>
      <c r="F22" s="686">
        <f>(bal!F19)-(bal!G19)</f>
        <v>0</v>
      </c>
      <c r="G22" s="686">
        <f>(bal!G19)-(bal!H19)</f>
        <v>0</v>
      </c>
      <c r="H22" s="686">
        <f>(bal!H19)-(bal!I19)</f>
        <v>0</v>
      </c>
      <c r="I22" s="686">
        <f>(bal!I19)-(bal!J19)</f>
        <v>0</v>
      </c>
      <c r="J22" s="686">
        <f>(bal!J19)-(bal!K19)</f>
        <v>0</v>
      </c>
      <c r="K22" s="686">
        <f>(bal!K19)-(bal!L19)</f>
        <v>0</v>
      </c>
      <c r="L22" s="53"/>
    </row>
    <row r="23" spans="2:12" x14ac:dyDescent="0.2">
      <c r="B23" s="49"/>
      <c r="C23" s="69"/>
      <c r="D23" s="71" t="s">
        <v>72</v>
      </c>
      <c r="E23" s="74"/>
      <c r="F23" s="686">
        <f>(bal!F20)-(bal!G20)</f>
        <v>0</v>
      </c>
      <c r="G23" s="686">
        <f>(bal!G20)-(bal!H20)</f>
        <v>0</v>
      </c>
      <c r="H23" s="686">
        <f>(bal!H20)-(bal!I20)</f>
        <v>0</v>
      </c>
      <c r="I23" s="686">
        <f>(bal!I20)-(bal!J20)</f>
        <v>0</v>
      </c>
      <c r="J23" s="686">
        <f>(bal!J20)-(bal!K20)</f>
        <v>0</v>
      </c>
      <c r="K23" s="686">
        <f>(bal!K20)-(bal!L20)</f>
        <v>0</v>
      </c>
      <c r="L23" s="53"/>
    </row>
    <row r="24" spans="2:12" x14ac:dyDescent="0.2">
      <c r="B24" s="49"/>
      <c r="C24" s="69"/>
      <c r="D24" s="71" t="s">
        <v>71</v>
      </c>
      <c r="E24" s="74"/>
      <c r="F24" s="686">
        <f>(bal!F21)-(bal!G21)</f>
        <v>0</v>
      </c>
      <c r="G24" s="686">
        <f>(bal!G21)-(bal!H21)</f>
        <v>0</v>
      </c>
      <c r="H24" s="686">
        <f>(bal!H21)-(bal!I21)</f>
        <v>0</v>
      </c>
      <c r="I24" s="686">
        <f>(bal!I21)-(bal!J21)</f>
        <v>0</v>
      </c>
      <c r="J24" s="686">
        <f>(bal!J21)-(bal!K21)</f>
        <v>0</v>
      </c>
      <c r="K24" s="686">
        <f>(bal!K21)-(bal!L21)</f>
        <v>0</v>
      </c>
      <c r="L24" s="53"/>
    </row>
    <row r="25" spans="2:12" x14ac:dyDescent="0.2">
      <c r="B25" s="49"/>
      <c r="C25" s="69"/>
      <c r="D25" s="71" t="s">
        <v>294</v>
      </c>
      <c r="E25" s="74"/>
      <c r="F25" s="686">
        <f>(bal!G55)-(bal!F55)</f>
        <v>0</v>
      </c>
      <c r="G25" s="686">
        <f>(bal!H55)-(bal!G55)</f>
        <v>0</v>
      </c>
      <c r="H25" s="686">
        <f>(bal!I55)-(bal!H55)</f>
        <v>0</v>
      </c>
      <c r="I25" s="686">
        <f>(bal!J55)-(bal!I55)</f>
        <v>0</v>
      </c>
      <c r="J25" s="686">
        <f>(bal!K55)-(bal!J55)</f>
        <v>0</v>
      </c>
      <c r="K25" s="686">
        <f>(bal!L55)-(bal!K55)</f>
        <v>0</v>
      </c>
      <c r="L25" s="53"/>
    </row>
    <row r="26" spans="2:12" x14ac:dyDescent="0.2">
      <c r="B26" s="49"/>
      <c r="C26" s="69"/>
      <c r="D26" s="71"/>
      <c r="E26" s="74"/>
      <c r="F26" s="789">
        <f t="shared" ref="F26:K26" si="0">SUM(F22:F25)</f>
        <v>0</v>
      </c>
      <c r="G26" s="789">
        <f t="shared" si="0"/>
        <v>0</v>
      </c>
      <c r="H26" s="789">
        <f t="shared" si="0"/>
        <v>0</v>
      </c>
      <c r="I26" s="789">
        <f t="shared" si="0"/>
        <v>0</v>
      </c>
      <c r="J26" s="789">
        <f t="shared" si="0"/>
        <v>0</v>
      </c>
      <c r="K26" s="789">
        <f t="shared" si="0"/>
        <v>0</v>
      </c>
      <c r="L26" s="53"/>
    </row>
    <row r="27" spans="2:12" x14ac:dyDescent="0.2">
      <c r="B27" s="49"/>
      <c r="C27" s="69"/>
      <c r="D27" s="168"/>
      <c r="E27" s="74"/>
      <c r="F27" s="167"/>
      <c r="G27" s="167"/>
      <c r="H27" s="167"/>
      <c r="I27" s="167"/>
      <c r="J27" s="167"/>
      <c r="K27" s="167"/>
      <c r="L27" s="53"/>
    </row>
    <row r="28" spans="2:12" x14ac:dyDescent="0.2">
      <c r="B28" s="49"/>
      <c r="C28" s="69"/>
      <c r="D28" s="71" t="s">
        <v>304</v>
      </c>
      <c r="E28" s="74"/>
      <c r="F28" s="686">
        <f>(bal!G42)-(bal!F42)</f>
        <v>0</v>
      </c>
      <c r="G28" s="686">
        <f>(bal!H42)-(bal!G42)</f>
        <v>0</v>
      </c>
      <c r="H28" s="686">
        <f>(bal!I42)-(bal!H42)</f>
        <v>0</v>
      </c>
      <c r="I28" s="686">
        <f>(bal!J42)-(bal!I42)</f>
        <v>0</v>
      </c>
      <c r="J28" s="686">
        <f>(bal!K42)-(bal!J42)</f>
        <v>0</v>
      </c>
      <c r="K28" s="686">
        <f>(bal!L42)-(bal!K42)</f>
        <v>0</v>
      </c>
      <c r="L28" s="53"/>
    </row>
    <row r="29" spans="2:12" x14ac:dyDescent="0.2">
      <c r="B29" s="49"/>
      <c r="C29" s="69"/>
      <c r="D29" s="71"/>
      <c r="E29" s="74"/>
      <c r="F29" s="167"/>
      <c r="G29" s="167"/>
      <c r="H29" s="167"/>
      <c r="I29" s="167"/>
      <c r="J29" s="167"/>
      <c r="K29" s="167"/>
      <c r="L29" s="53"/>
    </row>
    <row r="30" spans="2:12" x14ac:dyDescent="0.2">
      <c r="B30" s="49"/>
      <c r="C30" s="69"/>
      <c r="D30" s="96" t="s">
        <v>284</v>
      </c>
      <c r="E30" s="74"/>
      <c r="F30" s="796">
        <f t="shared" ref="F30:K30" si="1">F17+F19+F26+F28</f>
        <v>0</v>
      </c>
      <c r="G30" s="796">
        <f t="shared" si="1"/>
        <v>2170866.2364145834</v>
      </c>
      <c r="H30" s="796">
        <f t="shared" si="1"/>
        <v>2139748.9312395835</v>
      </c>
      <c r="I30" s="796">
        <f t="shared" si="1"/>
        <v>2115312.8800145835</v>
      </c>
      <c r="J30" s="796">
        <f t="shared" si="1"/>
        <v>2106950.2751333336</v>
      </c>
      <c r="K30" s="796">
        <f t="shared" si="1"/>
        <v>2121090.4951333334</v>
      </c>
      <c r="L30" s="53"/>
    </row>
    <row r="31" spans="2:12" x14ac:dyDescent="0.2">
      <c r="B31" s="49"/>
      <c r="C31" s="69"/>
      <c r="D31" s="71"/>
      <c r="E31" s="74"/>
      <c r="F31" s="167"/>
      <c r="G31" s="167"/>
      <c r="H31" s="167"/>
      <c r="I31" s="167"/>
      <c r="J31" s="167"/>
      <c r="K31" s="167"/>
      <c r="L31" s="53"/>
    </row>
    <row r="32" spans="2:12" x14ac:dyDescent="0.2">
      <c r="B32" s="49"/>
      <c r="C32" s="50"/>
      <c r="D32" s="50"/>
      <c r="E32" s="129"/>
      <c r="F32" s="129"/>
      <c r="G32" s="129"/>
      <c r="H32" s="129"/>
      <c r="I32" s="129"/>
      <c r="J32" s="129"/>
      <c r="K32" s="129"/>
      <c r="L32" s="53"/>
    </row>
    <row r="33" spans="2:12" x14ac:dyDescent="0.2">
      <c r="B33" s="49"/>
      <c r="C33" s="69"/>
      <c r="D33" s="71"/>
      <c r="E33" s="74"/>
      <c r="F33" s="167"/>
      <c r="G33" s="167"/>
      <c r="H33" s="167"/>
      <c r="I33" s="167"/>
      <c r="J33" s="167"/>
      <c r="K33" s="167"/>
      <c r="L33" s="53"/>
    </row>
    <row r="34" spans="2:12" x14ac:dyDescent="0.2">
      <c r="B34" s="49"/>
      <c r="C34" s="69"/>
      <c r="D34" s="690" t="s">
        <v>303</v>
      </c>
      <c r="E34" s="74"/>
      <c r="F34" s="167"/>
      <c r="G34" s="167"/>
      <c r="H34" s="167"/>
      <c r="I34" s="167"/>
      <c r="J34" s="167"/>
      <c r="K34" s="167"/>
      <c r="L34" s="53"/>
    </row>
    <row r="35" spans="2:12" x14ac:dyDescent="0.2">
      <c r="B35" s="49"/>
      <c r="C35" s="69"/>
      <c r="D35" s="96"/>
      <c r="E35" s="74"/>
      <c r="F35" s="167"/>
      <c r="G35" s="167"/>
      <c r="H35" s="167"/>
      <c r="I35" s="167"/>
      <c r="J35" s="167"/>
      <c r="K35" s="167"/>
      <c r="L35" s="53"/>
    </row>
    <row r="36" spans="2:12" x14ac:dyDescent="0.2">
      <c r="B36" s="49"/>
      <c r="C36" s="69"/>
      <c r="D36" s="71" t="s">
        <v>454</v>
      </c>
      <c r="E36" s="74"/>
      <c r="F36" s="686">
        <f>act!F29</f>
        <v>0</v>
      </c>
      <c r="G36" s="686">
        <f>act!G29</f>
        <v>0</v>
      </c>
      <c r="H36" s="686">
        <f>act!H29</f>
        <v>0</v>
      </c>
      <c r="I36" s="686">
        <f>act!I29</f>
        <v>0</v>
      </c>
      <c r="J36" s="686">
        <f>act!J29</f>
        <v>0</v>
      </c>
      <c r="K36" s="686">
        <f>act!K29</f>
        <v>0</v>
      </c>
      <c r="L36" s="53"/>
    </row>
    <row r="37" spans="2:12" x14ac:dyDescent="0.2">
      <c r="B37" s="49"/>
      <c r="C37" s="69"/>
      <c r="D37" s="71" t="s">
        <v>455</v>
      </c>
      <c r="E37" s="74"/>
      <c r="F37" s="686">
        <f>(bal!G14)-(bal!F14)</f>
        <v>0</v>
      </c>
      <c r="G37" s="686">
        <f>(bal!H14)-(bal!G14)</f>
        <v>0</v>
      </c>
      <c r="H37" s="686">
        <f>(bal!I14)-(bal!H14)</f>
        <v>0</v>
      </c>
      <c r="I37" s="686">
        <f>(bal!J14)-(bal!I14)</f>
        <v>0</v>
      </c>
      <c r="J37" s="686">
        <f>(bal!K14)-(bal!J14)</f>
        <v>0</v>
      </c>
      <c r="K37" s="686">
        <f>(bal!L14)-(bal!K14)</f>
        <v>0</v>
      </c>
      <c r="L37" s="53"/>
    </row>
    <row r="38" spans="2:12" x14ac:dyDescent="0.2">
      <c r="B38" s="49"/>
      <c r="C38" s="69"/>
      <c r="D38" s="71" t="s">
        <v>456</v>
      </c>
      <c r="E38" s="74"/>
      <c r="F38" s="686">
        <f>(bal!G16)-(bal!F16)</f>
        <v>0</v>
      </c>
      <c r="G38" s="686">
        <f>(bal!H16)-(bal!G16)</f>
        <v>0</v>
      </c>
      <c r="H38" s="686">
        <f>(bal!I16)-(bal!H16)</f>
        <v>0</v>
      </c>
      <c r="I38" s="686">
        <f>(bal!J16)-(bal!I16)</f>
        <v>0</v>
      </c>
      <c r="J38" s="686">
        <f>(bal!K16)-(bal!J16)</f>
        <v>0</v>
      </c>
      <c r="K38" s="686">
        <f>(bal!L16)-(bal!K16)</f>
        <v>0</v>
      </c>
      <c r="L38" s="53"/>
    </row>
    <row r="39" spans="2:12" x14ac:dyDescent="0.2">
      <c r="B39" s="49"/>
      <c r="C39" s="69"/>
      <c r="D39" s="71"/>
      <c r="E39" s="74"/>
      <c r="F39" s="167"/>
      <c r="G39" s="167"/>
      <c r="H39" s="167"/>
      <c r="I39" s="167"/>
      <c r="J39" s="167"/>
      <c r="K39" s="167"/>
      <c r="L39" s="53"/>
    </row>
    <row r="40" spans="2:12" x14ac:dyDescent="0.2">
      <c r="B40" s="49"/>
      <c r="C40" s="69"/>
      <c r="D40" s="96" t="s">
        <v>163</v>
      </c>
      <c r="E40" s="74"/>
      <c r="F40" s="797">
        <f t="shared" ref="F40:K40" si="2">SUM(F36:F38)</f>
        <v>0</v>
      </c>
      <c r="G40" s="797">
        <f t="shared" si="2"/>
        <v>0</v>
      </c>
      <c r="H40" s="797">
        <f t="shared" si="2"/>
        <v>0</v>
      </c>
      <c r="I40" s="797">
        <f t="shared" si="2"/>
        <v>0</v>
      </c>
      <c r="J40" s="797">
        <f t="shared" si="2"/>
        <v>0</v>
      </c>
      <c r="K40" s="797">
        <f t="shared" si="2"/>
        <v>0</v>
      </c>
      <c r="L40" s="53"/>
    </row>
    <row r="41" spans="2:12" x14ac:dyDescent="0.2">
      <c r="B41" s="49"/>
      <c r="C41" s="69"/>
      <c r="D41" s="71"/>
      <c r="E41" s="74"/>
      <c r="F41" s="167"/>
      <c r="G41" s="167"/>
      <c r="H41" s="167"/>
      <c r="I41" s="167"/>
      <c r="J41" s="167"/>
      <c r="K41" s="167"/>
      <c r="L41" s="53"/>
    </row>
    <row r="42" spans="2:12" x14ac:dyDescent="0.2">
      <c r="B42" s="49"/>
      <c r="C42" s="50"/>
      <c r="D42" s="50"/>
      <c r="E42" s="129"/>
      <c r="F42" s="129"/>
      <c r="G42" s="129"/>
      <c r="H42" s="129"/>
      <c r="I42" s="129"/>
      <c r="J42" s="129"/>
      <c r="K42" s="129"/>
      <c r="L42" s="53"/>
    </row>
    <row r="43" spans="2:12" x14ac:dyDescent="0.2">
      <c r="B43" s="49"/>
      <c r="C43" s="69"/>
      <c r="D43" s="71"/>
      <c r="E43" s="74"/>
      <c r="F43" s="167"/>
      <c r="G43" s="167"/>
      <c r="H43" s="167"/>
      <c r="I43" s="167"/>
      <c r="J43" s="167"/>
      <c r="K43" s="167"/>
      <c r="L43" s="53"/>
    </row>
    <row r="44" spans="2:12" x14ac:dyDescent="0.2">
      <c r="B44" s="49"/>
      <c r="C44" s="69"/>
      <c r="D44" s="690" t="s">
        <v>305</v>
      </c>
      <c r="E44" s="74"/>
      <c r="F44" s="796">
        <f>(bal!G46)-(bal!F46)</f>
        <v>0</v>
      </c>
      <c r="G44" s="796">
        <f>(bal!H46)-(bal!G46)</f>
        <v>0</v>
      </c>
      <c r="H44" s="796">
        <f>(bal!I46)-(bal!H46)</f>
        <v>0</v>
      </c>
      <c r="I44" s="796">
        <f>(bal!J46)-(bal!I46)</f>
        <v>0</v>
      </c>
      <c r="J44" s="796">
        <f>(bal!K46)-(bal!J46)</f>
        <v>0</v>
      </c>
      <c r="K44" s="796">
        <f>(bal!L46)-(bal!K46)</f>
        <v>0</v>
      </c>
      <c r="L44" s="53"/>
    </row>
    <row r="45" spans="2:12" x14ac:dyDescent="0.2">
      <c r="B45" s="49"/>
      <c r="C45" s="69"/>
      <c r="D45" s="96"/>
      <c r="E45" s="74"/>
      <c r="F45" s="167"/>
      <c r="G45" s="167"/>
      <c r="H45" s="167"/>
      <c r="I45" s="167"/>
      <c r="J45" s="167"/>
      <c r="K45" s="167"/>
      <c r="L45" s="53"/>
    </row>
    <row r="46" spans="2:12" x14ac:dyDescent="0.2">
      <c r="B46" s="49"/>
      <c r="C46" s="50"/>
      <c r="D46" s="50"/>
      <c r="E46" s="129"/>
      <c r="F46" s="129"/>
      <c r="G46" s="129"/>
      <c r="H46" s="129"/>
      <c r="I46" s="129"/>
      <c r="J46" s="129"/>
      <c r="K46" s="129"/>
      <c r="L46" s="53"/>
    </row>
    <row r="47" spans="2:12" x14ac:dyDescent="0.2">
      <c r="B47" s="49"/>
      <c r="C47" s="69"/>
      <c r="D47" s="71"/>
      <c r="E47" s="74"/>
      <c r="F47" s="167"/>
      <c r="G47" s="167"/>
      <c r="H47" s="167"/>
      <c r="I47" s="167"/>
      <c r="J47" s="167"/>
      <c r="K47" s="167"/>
      <c r="L47" s="53"/>
    </row>
    <row r="48" spans="2:12" x14ac:dyDescent="0.2">
      <c r="B48" s="49"/>
      <c r="C48" s="69"/>
      <c r="D48" s="692" t="s">
        <v>300</v>
      </c>
      <c r="E48" s="74"/>
      <c r="F48" s="796">
        <f t="shared" ref="F48:K48" si="3">ROUND((F30-F40+F44),0)</f>
        <v>0</v>
      </c>
      <c r="G48" s="796">
        <f t="shared" si="3"/>
        <v>2170866</v>
      </c>
      <c r="H48" s="796">
        <f t="shared" si="3"/>
        <v>2139749</v>
      </c>
      <c r="I48" s="796">
        <f t="shared" si="3"/>
        <v>2115313</v>
      </c>
      <c r="J48" s="796">
        <f t="shared" si="3"/>
        <v>2106950</v>
      </c>
      <c r="K48" s="796">
        <f t="shared" si="3"/>
        <v>2121090</v>
      </c>
      <c r="L48" s="53"/>
    </row>
    <row r="49" spans="2:13" x14ac:dyDescent="0.2">
      <c r="B49" s="49"/>
      <c r="C49" s="69"/>
      <c r="D49" s="693" t="s">
        <v>46</v>
      </c>
      <c r="E49" s="703"/>
      <c r="F49" s="737">
        <f>ROUND((bal!G22-bal!F22),0)</f>
        <v>0</v>
      </c>
      <c r="G49" s="737">
        <f>ROUND((bal!H22-bal!G22),0)</f>
        <v>2170866</v>
      </c>
      <c r="H49" s="737">
        <f>ROUND((bal!I22-bal!H22),0)</f>
        <v>2139749</v>
      </c>
      <c r="I49" s="737">
        <f>ROUND((bal!J22-bal!I22),0)</f>
        <v>2115313</v>
      </c>
      <c r="J49" s="737">
        <f>ROUND((bal!K22-bal!J22),0)</f>
        <v>2106950</v>
      </c>
      <c r="K49" s="737">
        <f>ROUND((bal!L22-bal!K22),0)</f>
        <v>2121090</v>
      </c>
      <c r="L49" s="53"/>
    </row>
    <row r="50" spans="2:13" x14ac:dyDescent="0.2">
      <c r="B50" s="49"/>
      <c r="C50" s="69"/>
      <c r="D50" s="71"/>
      <c r="E50" s="74"/>
      <c r="F50" s="167"/>
      <c r="G50" s="167"/>
      <c r="H50" s="167"/>
      <c r="I50" s="167"/>
      <c r="J50" s="167"/>
      <c r="K50" s="167"/>
      <c r="L50" s="53"/>
    </row>
    <row r="51" spans="2:13" s="580" customFormat="1" x14ac:dyDescent="0.2">
      <c r="B51" s="116"/>
      <c r="C51" s="121"/>
      <c r="D51" s="690" t="s">
        <v>74</v>
      </c>
      <c r="E51" s="98"/>
      <c r="F51" s="786">
        <f>F11+F48</f>
        <v>0</v>
      </c>
      <c r="G51" s="786">
        <f>G11+G48</f>
        <v>2170866</v>
      </c>
      <c r="H51" s="796">
        <f>H48+G51</f>
        <v>4310615</v>
      </c>
      <c r="I51" s="796">
        <f>I48+H51</f>
        <v>6425928</v>
      </c>
      <c r="J51" s="796">
        <f>J48+I51</f>
        <v>8532878</v>
      </c>
      <c r="K51" s="796">
        <f>K48+J51</f>
        <v>10653968</v>
      </c>
      <c r="L51" s="122"/>
      <c r="M51" s="581"/>
    </row>
    <row r="52" spans="2:13" s="580" customFormat="1" x14ac:dyDescent="0.2">
      <c r="B52" s="116"/>
      <c r="C52" s="121"/>
      <c r="D52" s="700" t="s">
        <v>347</v>
      </c>
      <c r="E52" s="584"/>
      <c r="F52" s="794" t="e">
        <f>bal!G23/bal!G55</f>
        <v>#DIV/0!</v>
      </c>
      <c r="G52" s="794" t="e">
        <f>ken!F14</f>
        <v>#DIV/0!</v>
      </c>
      <c r="H52" s="795" t="e">
        <f>ken!G14</f>
        <v>#DIV/0!</v>
      </c>
      <c r="I52" s="795" t="e">
        <f>ken!H14</f>
        <v>#DIV/0!</v>
      </c>
      <c r="J52" s="795" t="e">
        <f>ken!I14</f>
        <v>#DIV/0!</v>
      </c>
      <c r="K52" s="795" t="e">
        <f>ken!J14</f>
        <v>#DIV/0!</v>
      </c>
      <c r="L52" s="122"/>
      <c r="M52" s="581"/>
    </row>
    <row r="53" spans="2:13" x14ac:dyDescent="0.2">
      <c r="B53" s="49"/>
      <c r="C53" s="76"/>
      <c r="D53" s="77"/>
      <c r="E53" s="143"/>
      <c r="F53" s="585"/>
      <c r="G53" s="585"/>
      <c r="H53" s="585"/>
      <c r="I53" s="585"/>
      <c r="J53" s="585"/>
      <c r="K53" s="585"/>
      <c r="L53" s="53"/>
    </row>
    <row r="54" spans="2:13" x14ac:dyDescent="0.2">
      <c r="B54" s="49"/>
      <c r="C54" s="50"/>
      <c r="D54" s="50"/>
      <c r="E54" s="129"/>
      <c r="F54" s="354"/>
      <c r="G54" s="354"/>
      <c r="H54" s="354"/>
      <c r="I54" s="354"/>
      <c r="J54" s="354"/>
      <c r="K54" s="354"/>
      <c r="L54" s="53"/>
    </row>
    <row r="55" spans="2:13" x14ac:dyDescent="0.2">
      <c r="B55" s="124"/>
      <c r="C55" s="125"/>
      <c r="D55" s="125"/>
      <c r="E55" s="318"/>
      <c r="F55" s="324"/>
      <c r="G55" s="324"/>
      <c r="H55" s="324"/>
      <c r="I55" s="324"/>
      <c r="J55" s="324"/>
      <c r="K55" s="324"/>
      <c r="L55" s="126"/>
    </row>
  </sheetData>
  <sheetProtection algorithmName="SHA-512" hashValue="JFWdRd6YtL94sgZRzBcGrYtb89Xniu4U1Lz99ZzWYnhMddo++voCzjY597CvUmw4gFdsUrfNrBlbRbDs1TNxlQ==" saltValue="L3m4SvJGdbH1JaNQS8ZQYQ==" spinCount="100000" sheet="1" objects="1" scenarios="1"/>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colBreaks count="1" manualBreakCount="1">
    <brk id="21" min="3" max="6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B1:N90"/>
  <sheetViews>
    <sheetView showGridLines="0" zoomScale="85" zoomScaleNormal="85" zoomScaleSheetLayoutView="85" workbookViewId="0">
      <pane ySplit="9" topLeftCell="A10" activePane="bottomLeft" state="frozen"/>
      <selection activeCell="B2" sqref="B2"/>
      <selection pane="bottomLeft" activeCell="B2" sqref="B2"/>
    </sheetView>
  </sheetViews>
  <sheetFormatPr defaultColWidth="9.140625" defaultRowHeight="12.75" x14ac:dyDescent="0.2"/>
  <cols>
    <col min="1" max="1" width="3.7109375" style="48" customWidth="1"/>
    <col min="2" max="3" width="2.7109375" style="48" customWidth="1"/>
    <col min="4" max="4" width="45.7109375" style="208" customWidth="1"/>
    <col min="5" max="5" width="2.7109375" style="48" customWidth="1"/>
    <col min="6" max="6" width="14.85546875" style="127" customWidth="1"/>
    <col min="7" max="10" width="14.85546875" style="325" customWidth="1"/>
    <col min="11" max="12" width="2.7109375" style="48" customWidth="1"/>
    <col min="13" max="14" width="14.7109375" style="48" customWidth="1"/>
    <col min="15" max="16384" width="9.140625" style="48"/>
  </cols>
  <sheetData>
    <row r="1" spans="2:14" ht="12.75" customHeight="1" x14ac:dyDescent="0.2"/>
    <row r="2" spans="2:14" x14ac:dyDescent="0.2">
      <c r="B2" s="43"/>
      <c r="C2" s="44"/>
      <c r="D2" s="217"/>
      <c r="E2" s="44"/>
      <c r="F2" s="128"/>
      <c r="G2" s="350"/>
      <c r="H2" s="350"/>
      <c r="I2" s="350"/>
      <c r="J2" s="350"/>
      <c r="K2" s="44"/>
      <c r="L2" s="47"/>
    </row>
    <row r="3" spans="2:14" x14ac:dyDescent="0.2">
      <c r="B3" s="49"/>
      <c r="C3" s="50"/>
      <c r="D3" s="223"/>
      <c r="E3" s="50"/>
      <c r="F3" s="129"/>
      <c r="G3" s="354"/>
      <c r="H3" s="354"/>
      <c r="I3" s="354"/>
      <c r="J3" s="354"/>
      <c r="K3" s="50"/>
      <c r="L3" s="53"/>
    </row>
    <row r="4" spans="2:14" s="479" customFormat="1" ht="18.75" x14ac:dyDescent="0.3">
      <c r="B4" s="60"/>
      <c r="C4" s="673" t="s">
        <v>155</v>
      </c>
      <c r="D4" s="586"/>
      <c r="E4" s="480"/>
      <c r="F4" s="587"/>
      <c r="G4" s="588"/>
      <c r="H4" s="588"/>
      <c r="I4" s="588"/>
      <c r="J4" s="588"/>
      <c r="K4" s="480"/>
      <c r="L4" s="481"/>
    </row>
    <row r="5" spans="2:14" s="482" customFormat="1" ht="18.75" x14ac:dyDescent="0.3">
      <c r="B5" s="589"/>
      <c r="C5" s="61" t="str">
        <f>geg!G12</f>
        <v>voorbeeld Basisschool</v>
      </c>
      <c r="D5" s="590"/>
      <c r="E5" s="61"/>
      <c r="F5" s="591"/>
      <c r="G5" s="592"/>
      <c r="H5" s="592"/>
      <c r="I5" s="592"/>
      <c r="J5" s="592"/>
      <c r="K5" s="61"/>
      <c r="L5" s="485"/>
    </row>
    <row r="6" spans="2:14" s="130" customFormat="1" x14ac:dyDescent="0.2">
      <c r="B6" s="63"/>
      <c r="C6" s="62"/>
      <c r="D6" s="593"/>
      <c r="E6" s="62"/>
      <c r="F6" s="131"/>
      <c r="G6" s="594"/>
      <c r="H6" s="594"/>
      <c r="I6" s="594"/>
      <c r="J6" s="594"/>
      <c r="K6" s="62"/>
      <c r="L6" s="86"/>
    </row>
    <row r="7" spans="2:14" s="130" customFormat="1" x14ac:dyDescent="0.2">
      <c r="B7" s="63"/>
      <c r="C7" s="62"/>
      <c r="D7" s="593"/>
      <c r="E7" s="62"/>
      <c r="F7" s="131"/>
      <c r="G7" s="594"/>
      <c r="H7" s="594"/>
      <c r="I7" s="594"/>
      <c r="J7" s="594"/>
      <c r="K7" s="62"/>
      <c r="L7" s="86"/>
    </row>
    <row r="8" spans="2:14" s="130" customFormat="1" x14ac:dyDescent="0.2">
      <c r="B8" s="63"/>
      <c r="C8" s="62"/>
      <c r="D8" s="595"/>
      <c r="E8" s="62"/>
      <c r="F8" s="688">
        <f>bal!H8</f>
        <v>2020</v>
      </c>
      <c r="G8" s="688">
        <f>bal!I8</f>
        <v>2021</v>
      </c>
      <c r="H8" s="688">
        <f>bal!J8</f>
        <v>2022</v>
      </c>
      <c r="I8" s="688">
        <f>bal!K8</f>
        <v>2023</v>
      </c>
      <c r="J8" s="688">
        <f>bal!L8</f>
        <v>2024</v>
      </c>
      <c r="K8" s="62"/>
      <c r="L8" s="86"/>
      <c r="N8" s="81"/>
    </row>
    <row r="9" spans="2:14" s="130" customFormat="1" x14ac:dyDescent="0.2">
      <c r="B9" s="63"/>
      <c r="C9" s="62"/>
      <c r="D9" s="595"/>
      <c r="E9" s="62"/>
      <c r="F9" s="498"/>
      <c r="G9" s="498"/>
      <c r="H9" s="498"/>
      <c r="I9" s="498"/>
      <c r="J9" s="498"/>
      <c r="K9" s="62"/>
      <c r="L9" s="86"/>
    </row>
    <row r="10" spans="2:14" x14ac:dyDescent="0.2">
      <c r="B10" s="49"/>
      <c r="C10" s="66"/>
      <c r="D10" s="272"/>
      <c r="E10" s="67"/>
      <c r="F10" s="132"/>
      <c r="G10" s="596"/>
      <c r="H10" s="596"/>
      <c r="I10" s="596"/>
      <c r="J10" s="596"/>
      <c r="K10" s="67"/>
      <c r="L10" s="53"/>
    </row>
    <row r="11" spans="2:14" x14ac:dyDescent="0.2">
      <c r="B11" s="49"/>
      <c r="C11" s="69"/>
      <c r="D11" s="826" t="s">
        <v>207</v>
      </c>
      <c r="E11" s="71"/>
      <c r="F11" s="731">
        <f>F8</f>
        <v>2020</v>
      </c>
      <c r="G11" s="731">
        <f>G8</f>
        <v>2021</v>
      </c>
      <c r="H11" s="731">
        <f>H8</f>
        <v>2022</v>
      </c>
      <c r="I11" s="731">
        <f>I8</f>
        <v>2023</v>
      </c>
      <c r="J11" s="731">
        <f>J8</f>
        <v>2024</v>
      </c>
      <c r="K11" s="71"/>
      <c r="L11" s="53"/>
    </row>
    <row r="12" spans="2:14" x14ac:dyDescent="0.2">
      <c r="B12" s="49"/>
      <c r="C12" s="69"/>
      <c r="D12" s="852" t="s">
        <v>516</v>
      </c>
      <c r="E12" s="89"/>
      <c r="F12" s="800">
        <f>bal!H36/bal!H25</f>
        <v>1</v>
      </c>
      <c r="G12" s="800">
        <f>bal!I36/bal!I25</f>
        <v>1</v>
      </c>
      <c r="H12" s="800">
        <f>bal!J36/bal!J25</f>
        <v>1</v>
      </c>
      <c r="I12" s="800">
        <f>bal!K36/bal!K25</f>
        <v>1</v>
      </c>
      <c r="J12" s="800">
        <f>bal!L36/bal!L25</f>
        <v>1</v>
      </c>
      <c r="K12" s="89"/>
      <c r="L12" s="53"/>
    </row>
    <row r="13" spans="2:14" x14ac:dyDescent="0.2">
      <c r="B13" s="49"/>
      <c r="C13" s="69"/>
      <c r="D13" s="852" t="s">
        <v>517</v>
      </c>
      <c r="E13" s="89"/>
      <c r="F13" s="800">
        <f>(bal!H36+bal!H42)/bal!H25</f>
        <v>1</v>
      </c>
      <c r="G13" s="800">
        <f>(bal!I36+bal!I42)/bal!I25</f>
        <v>1</v>
      </c>
      <c r="H13" s="800">
        <f>(bal!J36+bal!J42)/bal!J25</f>
        <v>1</v>
      </c>
      <c r="I13" s="800">
        <f>(bal!K36+bal!K42)/bal!K25</f>
        <v>1</v>
      </c>
      <c r="J13" s="800">
        <f>(bal!L36+bal!L42)/bal!L25</f>
        <v>1</v>
      </c>
      <c r="K13" s="89"/>
      <c r="L13" s="53"/>
    </row>
    <row r="14" spans="2:14" x14ac:dyDescent="0.2">
      <c r="B14" s="49"/>
      <c r="C14" s="69"/>
      <c r="D14" s="852" t="s">
        <v>160</v>
      </c>
      <c r="E14" s="199"/>
      <c r="F14" s="741" t="e">
        <f>bal!H23/bal!H55</f>
        <v>#DIV/0!</v>
      </c>
      <c r="G14" s="741" t="e">
        <f>bal!I23/bal!I55</f>
        <v>#DIV/0!</v>
      </c>
      <c r="H14" s="741" t="e">
        <f>bal!J23/bal!J55</f>
        <v>#DIV/0!</v>
      </c>
      <c r="I14" s="741" t="e">
        <f>bal!K23/bal!K55</f>
        <v>#DIV/0!</v>
      </c>
      <c r="J14" s="741" t="e">
        <f>bal!L23/bal!L55</f>
        <v>#DIV/0!</v>
      </c>
      <c r="K14" s="199"/>
      <c r="L14" s="53"/>
    </row>
    <row r="15" spans="2:14" x14ac:dyDescent="0.2">
      <c r="B15" s="49"/>
      <c r="C15" s="69"/>
      <c r="D15" s="853" t="s">
        <v>540</v>
      </c>
      <c r="E15" s="196"/>
      <c r="F15" s="799">
        <f>(bal!H36-bal!H15)/begr!G14</f>
        <v>0.99655375893108744</v>
      </c>
      <c r="G15" s="799">
        <f>(bal!I36-bal!I15)/begr!H14</f>
        <v>2.0074992940715011</v>
      </c>
      <c r="H15" s="799">
        <f>(bal!J36-bal!J15)/begr!I14</f>
        <v>3.0270714452751006</v>
      </c>
      <c r="I15" s="799">
        <f>(bal!K36-bal!K15)/begr!J14</f>
        <v>4.0354929920092228</v>
      </c>
      <c r="J15" s="799">
        <f>(bal!L36-bal!L15)/begr!K14</f>
        <v>5.0051584864034444</v>
      </c>
      <c r="K15" s="196"/>
      <c r="L15" s="53"/>
    </row>
    <row r="16" spans="2:14" x14ac:dyDescent="0.2">
      <c r="B16" s="49"/>
      <c r="C16" s="69"/>
      <c r="D16" s="853" t="s">
        <v>541</v>
      </c>
      <c r="E16" s="196"/>
      <c r="F16" s="799">
        <f>bal!H32/(begr!G19+begr!G35)</f>
        <v>0.99655375893108744</v>
      </c>
      <c r="G16" s="799">
        <f>bal!I32/(begr!H19+begr!H35)</f>
        <v>2.0074992940715011</v>
      </c>
      <c r="H16" s="799">
        <f>bal!J32/(begr!I19+begr!I35)</f>
        <v>3.0270714452751006</v>
      </c>
      <c r="I16" s="799">
        <f>bal!K32/(begr!J19+begr!J35)</f>
        <v>4.0354929920092228</v>
      </c>
      <c r="J16" s="799">
        <f>bal!L32/(begr!K19+begr!K35)</f>
        <v>5.0051584864034444</v>
      </c>
      <c r="K16" s="196"/>
      <c r="L16" s="53"/>
    </row>
    <row r="17" spans="2:12" x14ac:dyDescent="0.2">
      <c r="B17" s="49"/>
      <c r="C17" s="69"/>
      <c r="D17" s="852" t="s">
        <v>210</v>
      </c>
      <c r="E17" s="199"/>
      <c r="F17" s="998">
        <f>begr!G29/begr!G19</f>
        <v>0.99655375893108744</v>
      </c>
      <c r="G17" s="998">
        <f>begr!H29/begr!H19</f>
        <v>0.99650381717822067</v>
      </c>
      <c r="H17" s="998">
        <f>begr!I29/begr!I19</f>
        <v>0.9964635721742614</v>
      </c>
      <c r="I17" s="998">
        <f>begr!J29/begr!J19</f>
        <v>0.99644958572669962</v>
      </c>
      <c r="J17" s="998">
        <f>begr!K29/begr!K19</f>
        <v>0.99647317103783206</v>
      </c>
      <c r="K17" s="199"/>
      <c r="L17" s="53"/>
    </row>
    <row r="18" spans="2:12" x14ac:dyDescent="0.2">
      <c r="B18" s="49"/>
      <c r="C18" s="69"/>
      <c r="D18" s="136"/>
      <c r="E18" s="71"/>
      <c r="F18" s="74"/>
      <c r="G18" s="167"/>
      <c r="H18" s="167"/>
      <c r="I18" s="167"/>
      <c r="J18" s="167"/>
      <c r="K18" s="71"/>
      <c r="L18" s="53"/>
    </row>
    <row r="19" spans="2:12" x14ac:dyDescent="0.2">
      <c r="B19" s="49"/>
      <c r="C19" s="8"/>
      <c r="D19" s="854"/>
      <c r="E19" s="50"/>
      <c r="F19" s="129"/>
      <c r="G19" s="129"/>
      <c r="H19" s="129"/>
      <c r="I19" s="129"/>
      <c r="J19" s="129"/>
      <c r="K19" s="50"/>
      <c r="L19" s="53"/>
    </row>
    <row r="20" spans="2:12" x14ac:dyDescent="0.2">
      <c r="B20" s="49"/>
      <c r="C20" s="597"/>
      <c r="D20" s="855"/>
      <c r="E20" s="67"/>
      <c r="F20" s="132"/>
      <c r="G20" s="132"/>
      <c r="H20" s="132"/>
      <c r="I20" s="132"/>
      <c r="J20" s="132"/>
      <c r="K20" s="67"/>
      <c r="L20" s="53"/>
    </row>
    <row r="21" spans="2:12" x14ac:dyDescent="0.2">
      <c r="B21" s="49"/>
      <c r="C21" s="69"/>
      <c r="D21" s="826" t="s">
        <v>349</v>
      </c>
      <c r="E21" s="798"/>
      <c r="F21" s="731">
        <f>F8</f>
        <v>2020</v>
      </c>
      <c r="G21" s="731">
        <f>G8</f>
        <v>2021</v>
      </c>
      <c r="H21" s="731">
        <f>H8</f>
        <v>2022</v>
      </c>
      <c r="I21" s="731">
        <f>I8</f>
        <v>2023</v>
      </c>
      <c r="J21" s="731">
        <f>J8</f>
        <v>2024</v>
      </c>
      <c r="K21" s="798"/>
      <c r="L21" s="53"/>
    </row>
    <row r="22" spans="2:12" x14ac:dyDescent="0.2">
      <c r="B22" s="49"/>
      <c r="C22" s="69"/>
      <c r="D22" s="852" t="s">
        <v>21</v>
      </c>
      <c r="E22" s="71"/>
      <c r="F22" s="799">
        <f>begr!G14/F32</f>
        <v>1</v>
      </c>
      <c r="G22" s="799">
        <f>begr!H14/G32</f>
        <v>1</v>
      </c>
      <c r="H22" s="799">
        <f>begr!I14/H32</f>
        <v>1</v>
      </c>
      <c r="I22" s="799">
        <f>begr!J14/I32</f>
        <v>1</v>
      </c>
      <c r="J22" s="799">
        <f>begr!K14/J32</f>
        <v>1</v>
      </c>
      <c r="K22" s="71"/>
      <c r="L22" s="53"/>
    </row>
    <row r="23" spans="2:12" x14ac:dyDescent="0.2">
      <c r="B23" s="49"/>
      <c r="C23" s="69"/>
      <c r="D23" s="852" t="s">
        <v>22</v>
      </c>
      <c r="E23" s="71"/>
      <c r="F23" s="799">
        <f>begr!G15/F32</f>
        <v>0</v>
      </c>
      <c r="G23" s="799">
        <f>begr!H15/G32</f>
        <v>0</v>
      </c>
      <c r="H23" s="799">
        <f>begr!I15/H32</f>
        <v>0</v>
      </c>
      <c r="I23" s="799">
        <f>begr!J15/I32</f>
        <v>0</v>
      </c>
      <c r="J23" s="799">
        <f>begr!K15/J32</f>
        <v>0</v>
      </c>
      <c r="K23" s="71"/>
      <c r="L23" s="53"/>
    </row>
    <row r="24" spans="2:12" x14ac:dyDescent="0.2">
      <c r="B24" s="49"/>
      <c r="C24" s="69"/>
      <c r="D24" s="852" t="s">
        <v>23</v>
      </c>
      <c r="E24" s="71"/>
      <c r="F24" s="799">
        <f>(begr!G17+begr!G18)/F32</f>
        <v>0</v>
      </c>
      <c r="G24" s="799">
        <f>(begr!H17+begr!H18)/G32</f>
        <v>0</v>
      </c>
      <c r="H24" s="799">
        <f>(begr!I17+begr!I18)/H32</f>
        <v>0</v>
      </c>
      <c r="I24" s="799">
        <f>(begr!J17+begr!J18)/I32</f>
        <v>0</v>
      </c>
      <c r="J24" s="799">
        <f>(begr!K17+begr!K18)/J32</f>
        <v>0</v>
      </c>
      <c r="K24" s="71"/>
      <c r="L24" s="53"/>
    </row>
    <row r="25" spans="2:12" x14ac:dyDescent="0.2">
      <c r="B25" s="49"/>
      <c r="C25" s="69"/>
      <c r="D25" s="1001" t="s">
        <v>511</v>
      </c>
      <c r="E25" s="71"/>
      <c r="F25" s="799">
        <f>begr!G23/F32</f>
        <v>3.4462410689125042E-3</v>
      </c>
      <c r="G25" s="799">
        <f>begr!H23/G32</f>
        <v>3.4961828217792484E-3</v>
      </c>
      <c r="H25" s="799">
        <f>begr!I23/H32</f>
        <v>3.5364278257384988E-3</v>
      </c>
      <c r="I25" s="799">
        <f>begr!J23/I32</f>
        <v>3.5504142733003459E-3</v>
      </c>
      <c r="J25" s="799">
        <f>begr!K23/J32</f>
        <v>3.5268289621678628E-3</v>
      </c>
      <c r="K25" s="71"/>
      <c r="L25" s="53"/>
    </row>
    <row r="26" spans="2:12" x14ac:dyDescent="0.2">
      <c r="B26" s="49"/>
      <c r="C26" s="69"/>
      <c r="D26" s="1002" t="s">
        <v>510</v>
      </c>
      <c r="E26" s="71"/>
      <c r="F26" s="799">
        <f>begr!G19/begr!G14</f>
        <v>1</v>
      </c>
      <c r="G26" s="799">
        <f>begr!H19/begr!H14</f>
        <v>1</v>
      </c>
      <c r="H26" s="799">
        <f>begr!I19/begr!I14</f>
        <v>1</v>
      </c>
      <c r="I26" s="799">
        <f>begr!J19/begr!J14</f>
        <v>1</v>
      </c>
      <c r="J26" s="799">
        <f>begr!K19/begr!K14</f>
        <v>1</v>
      </c>
      <c r="K26" s="71"/>
      <c r="L26" s="53"/>
    </row>
    <row r="27" spans="2:12" x14ac:dyDescent="0.2">
      <c r="B27" s="49"/>
      <c r="C27" s="69"/>
      <c r="D27" s="1001" t="s">
        <v>512</v>
      </c>
      <c r="E27" s="71"/>
      <c r="F27" s="799">
        <f>begr!G27/begr!G14</f>
        <v>3.4462410689125042E-3</v>
      </c>
      <c r="G27" s="799">
        <f>begr!H27/begr!H14</f>
        <v>3.4961828217792484E-3</v>
      </c>
      <c r="H27" s="799">
        <f>begr!I27/begr!I14</f>
        <v>3.5364278257384988E-3</v>
      </c>
      <c r="I27" s="799">
        <f>begr!J27/begr!J14</f>
        <v>3.5504142733003459E-3</v>
      </c>
      <c r="J27" s="799">
        <f>begr!K27/begr!K14</f>
        <v>3.5268289621678628E-3</v>
      </c>
      <c r="K27" s="71"/>
      <c r="L27" s="53"/>
    </row>
    <row r="28" spans="2:12" x14ac:dyDescent="0.2">
      <c r="B28" s="49"/>
      <c r="C28" s="69"/>
      <c r="D28" s="1002" t="s">
        <v>513</v>
      </c>
      <c r="E28" s="71"/>
      <c r="F28" s="799">
        <f>begr!G23/begr!G14</f>
        <v>3.4462410689125042E-3</v>
      </c>
      <c r="G28" s="799">
        <f>begr!H23/begr!H14</f>
        <v>3.4961828217792484E-3</v>
      </c>
      <c r="H28" s="799">
        <f>begr!I23/begr!I14</f>
        <v>3.5364278257384988E-3</v>
      </c>
      <c r="I28" s="799">
        <f>begr!J23/begr!J14</f>
        <v>3.5504142733003459E-3</v>
      </c>
      <c r="J28" s="799">
        <f>begr!K23/begr!K14</f>
        <v>3.5268289621678628E-3</v>
      </c>
      <c r="K28" s="71"/>
      <c r="L28" s="53"/>
    </row>
    <row r="29" spans="2:12" x14ac:dyDescent="0.2">
      <c r="B29" s="49"/>
      <c r="C29" s="69"/>
      <c r="D29" s="1001" t="s">
        <v>514</v>
      </c>
      <c r="E29" s="71"/>
      <c r="F29" s="799">
        <f>SUM(begr!G24:G26)/begr!G14</f>
        <v>0</v>
      </c>
      <c r="G29" s="799">
        <f>SUM(begr!H24:H26)/begr!H14</f>
        <v>0</v>
      </c>
      <c r="H29" s="799">
        <f>SUM(begr!I24:I26)/begr!I14</f>
        <v>0</v>
      </c>
      <c r="I29" s="799">
        <f>SUM(begr!J24:J26)/begr!J14</f>
        <v>0</v>
      </c>
      <c r="J29" s="799">
        <f>SUM(begr!K24:K26)/begr!K14</f>
        <v>0</v>
      </c>
      <c r="K29" s="71"/>
      <c r="L29" s="53"/>
    </row>
    <row r="30" spans="2:12" x14ac:dyDescent="0.2">
      <c r="B30" s="49"/>
      <c r="C30" s="69"/>
      <c r="D30" s="852" t="s">
        <v>24</v>
      </c>
      <c r="E30" s="196"/>
      <c r="F30" s="799">
        <f>act!G29/F32</f>
        <v>0</v>
      </c>
      <c r="G30" s="799">
        <f>act!H29/G32</f>
        <v>0</v>
      </c>
      <c r="H30" s="799">
        <f>act!I29/H32</f>
        <v>0</v>
      </c>
      <c r="I30" s="799">
        <f>act!J29/I32</f>
        <v>0</v>
      </c>
      <c r="J30" s="799">
        <f>act!K29/J32</f>
        <v>0</v>
      </c>
      <c r="K30" s="196"/>
      <c r="L30" s="53"/>
    </row>
    <row r="31" spans="2:12" x14ac:dyDescent="0.2">
      <c r="B31" s="49"/>
      <c r="C31" s="69"/>
      <c r="D31" s="852"/>
      <c r="E31" s="71"/>
      <c r="F31" s="852"/>
      <c r="G31" s="852"/>
      <c r="H31" s="852"/>
      <c r="I31" s="852"/>
      <c r="J31" s="852"/>
      <c r="K31" s="71"/>
      <c r="L31" s="53"/>
    </row>
    <row r="32" spans="2:12" x14ac:dyDescent="0.2">
      <c r="B32" s="49"/>
      <c r="C32" s="69"/>
      <c r="D32" s="71" t="s">
        <v>528</v>
      </c>
      <c r="E32" s="71"/>
      <c r="F32" s="686">
        <f>begr!G19+begr!G35</f>
        <v>2178373.4364145836</v>
      </c>
      <c r="G32" s="686">
        <f>begr!H19+begr!H35</f>
        <v>2147256.1312395837</v>
      </c>
      <c r="H32" s="686">
        <f>begr!I19+begr!I35</f>
        <v>2122820.0800145837</v>
      </c>
      <c r="I32" s="686">
        <f>begr!J19+begr!J35</f>
        <v>2114457.4751333338</v>
      </c>
      <c r="J32" s="686">
        <f>begr!K19+begr!K35</f>
        <v>2128597.6951333336</v>
      </c>
      <c r="K32" s="71"/>
      <c r="L32" s="53"/>
    </row>
    <row r="33" spans="2:14" x14ac:dyDescent="0.2">
      <c r="B33" s="49"/>
      <c r="C33" s="69"/>
      <c r="D33" s="839" t="s">
        <v>518</v>
      </c>
      <c r="E33" s="71"/>
      <c r="F33" s="686">
        <f>((5/12*pers!H19+7/12*pers!I19)+(5/12*pers!H30+7/12*pers!I30)+mat!I17)/geg!H$27</f>
        <v>1397.8191788625779</v>
      </c>
      <c r="G33" s="686">
        <f>((5/12*pers!I19+7/12*pers!J19)+(5/12*pers!I30+7/12*pers!J30)+mat!J17)/geg!I$27</f>
        <v>1278.0170943128885</v>
      </c>
      <c r="H33" s="686">
        <f>((5/12*pers!J19+7/12*pers!K19)+(5/12*pers!J30+7/12*pers!K30)+mat!K17)/geg!J$27</f>
        <v>1158.2150097631991</v>
      </c>
      <c r="I33" s="686">
        <f>((5/12*pers!K19+7/12*pers!L19)+(5/12*pers!K30+7/12*pers!L30)+mat!L17)/geg!K$27</f>
        <v>1108.2974745341619</v>
      </c>
      <c r="J33" s="686" t="e">
        <f>((5/12*pers!L19+7/12*pers!M19)+(5/12*pers!#REF!+7/12*pers!#REF!)+mat!M17)/geg!L$27</f>
        <v>#REF!</v>
      </c>
      <c r="K33" s="71"/>
      <c r="L33" s="53"/>
      <c r="N33" s="81"/>
    </row>
    <row r="34" spans="2:14" x14ac:dyDescent="0.2">
      <c r="B34" s="49"/>
      <c r="C34" s="69"/>
      <c r="D34" s="839" t="s">
        <v>515</v>
      </c>
      <c r="E34" s="71"/>
      <c r="F34" s="686">
        <f>(pers!I153+mat!I30)/geg!H$27</f>
        <v>0</v>
      </c>
      <c r="G34" s="686">
        <f>(pers!J153+mat!J30)/geg!I$27</f>
        <v>0</v>
      </c>
      <c r="H34" s="686">
        <f>(pers!K153+mat!K30)/geg!J$27</f>
        <v>0</v>
      </c>
      <c r="I34" s="686">
        <f>(pers!L153+mat!L30)/geg!K$27</f>
        <v>0</v>
      </c>
      <c r="J34" s="686">
        <f>(pers!M153+mat!M30)/geg!L$27</f>
        <v>0</v>
      </c>
      <c r="K34" s="71"/>
      <c r="L34" s="53"/>
    </row>
    <row r="35" spans="2:14" x14ac:dyDescent="0.2">
      <c r="B35" s="49"/>
      <c r="C35" s="69"/>
      <c r="D35" s="852" t="s">
        <v>342</v>
      </c>
      <c r="E35" s="71"/>
      <c r="F35" s="686">
        <f>pers!I163/ken!F62</f>
        <v>75072</v>
      </c>
      <c r="G35" s="686">
        <f>pers!J163/ken!G62</f>
        <v>75072</v>
      </c>
      <c r="H35" s="686">
        <f>pers!K163/ken!H62</f>
        <v>75072</v>
      </c>
      <c r="I35" s="686">
        <f>pers!L163/ken!I62</f>
        <v>75072</v>
      </c>
      <c r="J35" s="686">
        <f>pers!M163/ken!J62</f>
        <v>75072</v>
      </c>
      <c r="K35" s="71"/>
      <c r="L35" s="53"/>
    </row>
    <row r="36" spans="2:14" x14ac:dyDescent="0.2">
      <c r="B36" s="49"/>
      <c r="C36" s="69"/>
      <c r="D36" s="839" t="s">
        <v>481</v>
      </c>
      <c r="E36" s="71"/>
      <c r="F36" s="686">
        <f>7/12*(dir!S28+op!S71+obp!S36)+5/12*(dir!S52+op!S139+obp!S69)</f>
        <v>181.00542495479203</v>
      </c>
      <c r="G36" s="686">
        <f>7/12*(dir!S52+op!S139+obp!S69)+5/12*(dir!S75+op!S206+obp!S101)</f>
        <v>181.00542495479203</v>
      </c>
      <c r="H36" s="686">
        <f>7/12*(dir!S75+op!S206+obp!S101)+5/12*(dir!S97+op!S273+obp!S133)</f>
        <v>181.00542495479203</v>
      </c>
      <c r="I36" s="686">
        <f>7/12*(dir!S97+op!S273+obp!S133)+5/12*(dir!S119+op!S340+obp!S165)</f>
        <v>181.00542495479203</v>
      </c>
      <c r="J36" s="686">
        <f>7/12*(dir!S119+op!S340+obp!S165)+5/12*(dir!S141+op!S407+obp!S197)</f>
        <v>181.00542495479203</v>
      </c>
      <c r="K36" s="71"/>
      <c r="L36" s="53"/>
    </row>
    <row r="37" spans="2:14" x14ac:dyDescent="0.2">
      <c r="B37" s="49"/>
      <c r="C37" s="69"/>
      <c r="D37" s="71" t="s">
        <v>492</v>
      </c>
      <c r="E37" s="71"/>
      <c r="F37" s="684">
        <f>0.583333333333333*(dir!P28+op!P71+obp!P36)+0.416666666666667*(dir!P52+op!P139+obp!P69)</f>
        <v>4</v>
      </c>
      <c r="G37" s="684">
        <f>0.583333333333333*(dir!P52+op!P139+obp!P69)+0.416666666666667*(dir!P75+op!P206+obp!P101)</f>
        <v>4</v>
      </c>
      <c r="H37" s="684">
        <f>0.583333333333333*(dir!P75+op!P206+obp!P101)+0.416666666666667*(dir!P75+op!P206+obp!P101)</f>
        <v>4</v>
      </c>
      <c r="I37" s="684">
        <f>0.583333333333333*(dir!P75+op!P206+obp!P101)+0.416666666666667*(dir!P119+op!P340+obp!P165)</f>
        <v>4</v>
      </c>
      <c r="J37" s="684">
        <f>0.583333333333333*(dir!P119+op!P340+obp!P165)+0.416666666666667*(dir!P141+op!P407+obp!P197)</f>
        <v>4</v>
      </c>
      <c r="K37" s="71"/>
      <c r="L37" s="53"/>
      <c r="N37" s="81"/>
    </row>
    <row r="38" spans="2:14" x14ac:dyDescent="0.2">
      <c r="B38" s="49"/>
      <c r="C38" s="598"/>
      <c r="D38" s="852"/>
      <c r="E38" s="71"/>
      <c r="F38" s="167"/>
      <c r="G38" s="167"/>
      <c r="H38" s="167"/>
      <c r="I38" s="167"/>
      <c r="J38" s="167"/>
      <c r="K38" s="71"/>
      <c r="L38" s="53"/>
    </row>
    <row r="39" spans="2:14" x14ac:dyDescent="0.2">
      <c r="B39" s="49"/>
      <c r="C39" s="8"/>
      <c r="D39" s="854"/>
      <c r="E39" s="50"/>
      <c r="F39" s="129"/>
      <c r="G39" s="129"/>
      <c r="H39" s="129"/>
      <c r="I39" s="129"/>
      <c r="J39" s="129"/>
      <c r="K39" s="50"/>
      <c r="L39" s="53"/>
    </row>
    <row r="40" spans="2:14" x14ac:dyDescent="0.2">
      <c r="B40" s="49"/>
      <c r="C40" s="597"/>
      <c r="D40" s="855"/>
      <c r="E40" s="67"/>
      <c r="F40" s="132"/>
      <c r="G40" s="132"/>
      <c r="H40" s="132"/>
      <c r="I40" s="132"/>
      <c r="J40" s="132"/>
      <c r="K40" s="67"/>
      <c r="L40" s="53"/>
    </row>
    <row r="41" spans="2:14" x14ac:dyDescent="0.2">
      <c r="B41" s="49"/>
      <c r="C41" s="69"/>
      <c r="D41" s="1003" t="s">
        <v>525</v>
      </c>
      <c r="E41" s="798"/>
      <c r="F41" s="731">
        <f>F21</f>
        <v>2020</v>
      </c>
      <c r="G41" s="731">
        <f>G21</f>
        <v>2021</v>
      </c>
      <c r="H41" s="731">
        <f>H21</f>
        <v>2022</v>
      </c>
      <c r="I41" s="731">
        <f>I21</f>
        <v>2023</v>
      </c>
      <c r="J41" s="731">
        <f>J21</f>
        <v>2024</v>
      </c>
      <c r="K41" s="798"/>
      <c r="L41" s="53"/>
    </row>
    <row r="42" spans="2:14" x14ac:dyDescent="0.2">
      <c r="B42" s="49"/>
      <c r="C42" s="598"/>
      <c r="D42" s="1001" t="s">
        <v>519</v>
      </c>
      <c r="E42" s="71"/>
      <c r="F42" s="684">
        <f>geg!H27/ken!G62</f>
        <v>3220</v>
      </c>
      <c r="G42" s="684">
        <f>geg!I27/ken!H62</f>
        <v>3220</v>
      </c>
      <c r="H42" s="684">
        <f>geg!J27/ken!I62</f>
        <v>3220</v>
      </c>
      <c r="I42" s="684">
        <f>geg!K27/ken!J62</f>
        <v>3220</v>
      </c>
      <c r="J42" s="684">
        <f>I42</f>
        <v>3220</v>
      </c>
      <c r="K42" s="71"/>
      <c r="L42" s="53"/>
    </row>
    <row r="43" spans="2:14" x14ac:dyDescent="0.2">
      <c r="B43" s="49"/>
      <c r="C43" s="598"/>
      <c r="D43" s="1001" t="s">
        <v>520</v>
      </c>
      <c r="E43" s="71"/>
      <c r="F43" s="684">
        <f>IF(ken!G59=0,0,geg!H27/ken!G59)</f>
        <v>0</v>
      </c>
      <c r="G43" s="684">
        <f>IF(ken!H59=0,0,geg!I27/ken!H59)</f>
        <v>0</v>
      </c>
      <c r="H43" s="684">
        <f>IF(ken!I59=0,0,geg!J27/ken!I59)</f>
        <v>0</v>
      </c>
      <c r="I43" s="684">
        <f>IF(ken!J59=0,0,geg!K27/ken!J59)</f>
        <v>0</v>
      </c>
      <c r="J43" s="684">
        <f>I43</f>
        <v>0</v>
      </c>
      <c r="K43" s="71"/>
      <c r="L43" s="53"/>
    </row>
    <row r="44" spans="2:14" x14ac:dyDescent="0.2">
      <c r="B44" s="49"/>
      <c r="C44" s="598"/>
      <c r="D44" s="1001" t="s">
        <v>521</v>
      </c>
      <c r="E44" s="71"/>
      <c r="F44" s="684">
        <f>IF(ken!G60=0,0,geg!H27/ken!G60)</f>
        <v>3220</v>
      </c>
      <c r="G44" s="684">
        <f>IF(ken!H60=0,0,geg!I27/ken!H60)</f>
        <v>3220</v>
      </c>
      <c r="H44" s="684">
        <f>IF(ken!I60=0,0,geg!J27/ken!I60)</f>
        <v>3220</v>
      </c>
      <c r="I44" s="684">
        <f>IF(ken!J60=0,0,geg!K27/ken!J60)</f>
        <v>3220</v>
      </c>
      <c r="J44" s="684">
        <f>I44</f>
        <v>3220</v>
      </c>
      <c r="K44" s="71"/>
      <c r="L44" s="53"/>
    </row>
    <row r="45" spans="2:14" x14ac:dyDescent="0.2">
      <c r="B45" s="49"/>
      <c r="C45" s="598"/>
      <c r="D45" s="1002" t="s">
        <v>522</v>
      </c>
      <c r="E45" s="71"/>
      <c r="F45" s="684">
        <f>IF(ken!G61=0,0,geg!H27/ken!G61)</f>
        <v>0</v>
      </c>
      <c r="G45" s="684">
        <f>IF(ken!H61=0,0,geg!I27/ken!H61)</f>
        <v>0</v>
      </c>
      <c r="H45" s="684">
        <f>IF(ken!I61=0,0,geg!J27/ken!I61)</f>
        <v>0</v>
      </c>
      <c r="I45" s="684">
        <f>IF(ken!J61=0,0,geg!K27/ken!J61)</f>
        <v>0</v>
      </c>
      <c r="J45" s="684">
        <f>I45</f>
        <v>0</v>
      </c>
      <c r="K45" s="71"/>
      <c r="L45" s="53"/>
    </row>
    <row r="46" spans="2:14" x14ac:dyDescent="0.2">
      <c r="B46" s="49"/>
      <c r="C46" s="598"/>
      <c r="D46" s="1001" t="s">
        <v>523</v>
      </c>
      <c r="E46" s="71"/>
      <c r="F46" s="1005">
        <f>begr!G19/geg!H27</f>
        <v>6765.1348956974643</v>
      </c>
      <c r="G46" s="1005">
        <f>begr!H19/geg!I27</f>
        <v>6668.4973019862846</v>
      </c>
      <c r="H46" s="1005">
        <f>begr!I19/geg!J27</f>
        <v>6592.6089441446693</v>
      </c>
      <c r="I46" s="1005">
        <f>begr!J19/geg!K27</f>
        <v>6566.6381215320926</v>
      </c>
      <c r="J46" s="1005">
        <f>begr!K19/geg!L27</f>
        <v>6610.5518482401667</v>
      </c>
      <c r="K46" s="71"/>
      <c r="L46" s="53"/>
    </row>
    <row r="47" spans="2:14" x14ac:dyDescent="0.2">
      <c r="B47" s="49"/>
      <c r="C47" s="598"/>
      <c r="D47" s="1001" t="s">
        <v>524</v>
      </c>
      <c r="E47" s="71"/>
      <c r="F47" s="1005">
        <f>begr!G27/geg!H27</f>
        <v>23.314285714285713</v>
      </c>
      <c r="G47" s="1005">
        <f>begr!H27/geg!I27</f>
        <v>23.314285714285713</v>
      </c>
      <c r="H47" s="1005">
        <f>begr!I27/geg!J27</f>
        <v>23.314285714285713</v>
      </c>
      <c r="I47" s="1005">
        <f>begr!J27/geg!K27</f>
        <v>23.314285714285713</v>
      </c>
      <c r="J47" s="1005">
        <f>begr!K27/geg!L27</f>
        <v>23.314285714285713</v>
      </c>
      <c r="K47" s="71"/>
      <c r="L47" s="53"/>
    </row>
    <row r="48" spans="2:14" x14ac:dyDescent="0.2">
      <c r="B48" s="49"/>
      <c r="C48" s="69"/>
      <c r="D48" s="852"/>
      <c r="E48" s="71"/>
      <c r="F48" s="74"/>
      <c r="G48" s="167"/>
      <c r="H48" s="167"/>
      <c r="I48" s="167"/>
      <c r="J48" s="167"/>
      <c r="K48" s="71"/>
      <c r="L48" s="53"/>
    </row>
    <row r="49" spans="2:12" x14ac:dyDescent="0.2">
      <c r="B49" s="49"/>
      <c r="C49" s="69"/>
      <c r="D49" s="852" t="s">
        <v>202</v>
      </c>
      <c r="E49" s="71"/>
      <c r="F49" s="800">
        <f>IF(pers!I160=0,0,pers!I160/pers!I163)</f>
        <v>0</v>
      </c>
      <c r="G49" s="800">
        <f>IF(pers!J160=0,0,pers!J160/pers!J163)</f>
        <v>0</v>
      </c>
      <c r="H49" s="800">
        <f>IF(pers!K160=0,0,pers!K160/pers!K163)</f>
        <v>0</v>
      </c>
      <c r="I49" s="800">
        <f>IF(pers!L160=0,0,pers!L160/pers!L163)</f>
        <v>0</v>
      </c>
      <c r="J49" s="800">
        <f>IF(pers!M160=0,0,pers!M160/pers!M163)</f>
        <v>0</v>
      </c>
      <c r="K49" s="71"/>
      <c r="L49" s="53"/>
    </row>
    <row r="50" spans="2:12" x14ac:dyDescent="0.2">
      <c r="B50" s="49"/>
      <c r="C50" s="69"/>
      <c r="D50" s="852" t="s">
        <v>203</v>
      </c>
      <c r="E50" s="71"/>
      <c r="F50" s="800">
        <f>pers!I161/pers!I163</f>
        <v>1</v>
      </c>
      <c r="G50" s="800">
        <f>pers!J161/pers!J163</f>
        <v>1</v>
      </c>
      <c r="H50" s="800">
        <f>pers!K161/pers!K163</f>
        <v>1</v>
      </c>
      <c r="I50" s="800">
        <f>pers!L161/pers!L163</f>
        <v>1</v>
      </c>
      <c r="J50" s="800">
        <f>pers!M161/pers!M163</f>
        <v>1</v>
      </c>
      <c r="K50" s="71"/>
      <c r="L50" s="53"/>
    </row>
    <row r="51" spans="2:12" x14ac:dyDescent="0.2">
      <c r="B51" s="49"/>
      <c r="C51" s="69"/>
      <c r="D51" s="852" t="s">
        <v>459</v>
      </c>
      <c r="E51" s="71"/>
      <c r="F51" s="800">
        <f>IF(pers!I162=0,0,pers!I162/pers!I163)</f>
        <v>0</v>
      </c>
      <c r="G51" s="800">
        <f>IF(pers!J162=0,0,pers!J162/pers!J163)</f>
        <v>0</v>
      </c>
      <c r="H51" s="800">
        <f>IF(pers!K162=0,0,pers!K162/pers!K163)</f>
        <v>0</v>
      </c>
      <c r="I51" s="800">
        <f>IF(pers!L162=0,0,pers!L162/pers!L163)</f>
        <v>0</v>
      </c>
      <c r="J51" s="800">
        <f>IF(pers!M162=0,0,pers!M162/pers!M163)</f>
        <v>0</v>
      </c>
      <c r="K51" s="71"/>
      <c r="L51" s="53"/>
    </row>
    <row r="52" spans="2:12" x14ac:dyDescent="0.2">
      <c r="B52" s="49"/>
      <c r="C52" s="69"/>
      <c r="D52" s="852" t="s">
        <v>234</v>
      </c>
      <c r="E52" s="70"/>
      <c r="F52" s="799">
        <f>geg!H25/geg!H27</f>
        <v>0.453416149068323</v>
      </c>
      <c r="G52" s="799">
        <f>geg!I25/geg!I27</f>
        <v>0.453416149068323</v>
      </c>
      <c r="H52" s="799">
        <f>geg!J25/geg!J27</f>
        <v>0.453416149068323</v>
      </c>
      <c r="I52" s="799">
        <f>geg!K25/geg!K27</f>
        <v>0.453416149068323</v>
      </c>
      <c r="J52" s="799">
        <f>geg!L25/geg!L27</f>
        <v>0.453416149068323</v>
      </c>
      <c r="K52" s="70"/>
      <c r="L52" s="53"/>
    </row>
    <row r="53" spans="2:12" x14ac:dyDescent="0.2">
      <c r="B53" s="49"/>
      <c r="C53" s="69"/>
      <c r="D53" s="852" t="s">
        <v>235</v>
      </c>
      <c r="E53" s="71"/>
      <c r="F53" s="799">
        <f>geg!H26/geg!H27</f>
        <v>0.54658385093167705</v>
      </c>
      <c r="G53" s="799">
        <f>geg!I26/geg!I27</f>
        <v>0.54658385093167705</v>
      </c>
      <c r="H53" s="799">
        <f>geg!J26/geg!J27</f>
        <v>0.54658385093167705</v>
      </c>
      <c r="I53" s="799">
        <f>geg!K26/geg!K27</f>
        <v>0.54658385093167705</v>
      </c>
      <c r="J53" s="799">
        <f>geg!L26/geg!L27</f>
        <v>0.54658385093167705</v>
      </c>
      <c r="K53" s="71"/>
      <c r="L53" s="53"/>
    </row>
    <row r="54" spans="2:12" x14ac:dyDescent="0.2">
      <c r="B54" s="49"/>
      <c r="C54" s="69"/>
      <c r="D54" s="852" t="s">
        <v>286</v>
      </c>
      <c r="E54" s="71"/>
      <c r="F54" s="686">
        <f>pers!I160/geg!H27</f>
        <v>0</v>
      </c>
      <c r="G54" s="686">
        <f>pers!J160/geg!I27</f>
        <v>0</v>
      </c>
      <c r="H54" s="686">
        <f>pers!K160/geg!J27</f>
        <v>0</v>
      </c>
      <c r="I54" s="686">
        <f>pers!L160/geg!K27</f>
        <v>0</v>
      </c>
      <c r="J54" s="686">
        <f>pers!M160/geg!L27</f>
        <v>0</v>
      </c>
      <c r="K54" s="71"/>
      <c r="L54" s="53"/>
    </row>
    <row r="55" spans="2:12" x14ac:dyDescent="0.2">
      <c r="B55" s="49"/>
      <c r="C55" s="69"/>
      <c r="D55" s="852" t="s">
        <v>287</v>
      </c>
      <c r="E55" s="71"/>
      <c r="F55" s="686">
        <f>pers!I161/geg!H27</f>
        <v>23.314285714285713</v>
      </c>
      <c r="G55" s="686">
        <f>pers!J161/geg!I27</f>
        <v>23.314285714285713</v>
      </c>
      <c r="H55" s="686">
        <f>pers!K161/geg!J27</f>
        <v>23.314285714285713</v>
      </c>
      <c r="I55" s="686">
        <f>pers!L161/geg!K27</f>
        <v>23.314285714285713</v>
      </c>
      <c r="J55" s="686">
        <f>pers!M161/geg!L27</f>
        <v>23.314285714285713</v>
      </c>
      <c r="K55" s="71"/>
      <c r="L55" s="53"/>
    </row>
    <row r="56" spans="2:12" x14ac:dyDescent="0.2">
      <c r="B56" s="49"/>
      <c r="C56" s="69"/>
      <c r="D56" s="852" t="s">
        <v>460</v>
      </c>
      <c r="E56" s="71"/>
      <c r="F56" s="686">
        <f>pers!I162/geg!H27</f>
        <v>0</v>
      </c>
      <c r="G56" s="686">
        <f>pers!J162/geg!I27</f>
        <v>0</v>
      </c>
      <c r="H56" s="686">
        <f>pers!K162/geg!J27</f>
        <v>0</v>
      </c>
      <c r="I56" s="686">
        <f>pers!L162/geg!K27</f>
        <v>0</v>
      </c>
      <c r="J56" s="686">
        <f>pers!M162/geg!L27</f>
        <v>0</v>
      </c>
      <c r="K56" s="71"/>
      <c r="L56" s="53"/>
    </row>
    <row r="57" spans="2:12" x14ac:dyDescent="0.2">
      <c r="B57" s="138"/>
      <c r="C57" s="69"/>
      <c r="D57" s="136"/>
      <c r="E57" s="71"/>
      <c r="F57" s="74"/>
      <c r="G57" s="167"/>
      <c r="H57" s="167"/>
      <c r="I57" s="167"/>
      <c r="J57" s="167"/>
      <c r="K57" s="71"/>
      <c r="L57" s="53"/>
    </row>
    <row r="58" spans="2:12" s="215" customFormat="1" x14ac:dyDescent="0.2">
      <c r="B58" s="599"/>
      <c r="C58" s="69"/>
      <c r="D58" s="690" t="s">
        <v>495</v>
      </c>
      <c r="E58" s="701"/>
      <c r="F58" s="830" t="str">
        <f>tab!E2</f>
        <v>2019/20</v>
      </c>
      <c r="G58" s="830" t="str">
        <f>tab!F2</f>
        <v>2020/21</v>
      </c>
      <c r="H58" s="830" t="str">
        <f>tab!G2</f>
        <v>2021/22</v>
      </c>
      <c r="I58" s="830" t="str">
        <f>tab!H2</f>
        <v>2022/23</v>
      </c>
      <c r="J58" s="830" t="str">
        <f>tab!I2</f>
        <v>2023/24</v>
      </c>
      <c r="K58" s="701"/>
      <c r="L58" s="600"/>
    </row>
    <row r="59" spans="2:12" s="215" customFormat="1" x14ac:dyDescent="0.2">
      <c r="B59" s="599"/>
      <c r="C59" s="69"/>
      <c r="D59" s="149" t="s">
        <v>154</v>
      </c>
      <c r="E59" s="149"/>
      <c r="F59" s="741">
        <f>dir!J52</f>
        <v>0</v>
      </c>
      <c r="G59" s="741">
        <f>dir!J75</f>
        <v>0</v>
      </c>
      <c r="H59" s="741">
        <f>dir!J97</f>
        <v>0</v>
      </c>
      <c r="I59" s="741">
        <f>dir!J119</f>
        <v>0</v>
      </c>
      <c r="J59" s="741">
        <f>dir!J141</f>
        <v>0</v>
      </c>
      <c r="K59" s="149"/>
      <c r="L59" s="600"/>
    </row>
    <row r="60" spans="2:12" s="215" customFormat="1" x14ac:dyDescent="0.2">
      <c r="B60" s="599"/>
      <c r="C60" s="69"/>
      <c r="D60" s="149" t="s">
        <v>172</v>
      </c>
      <c r="E60" s="149"/>
      <c r="F60" s="741">
        <f>op!J139</f>
        <v>0.1</v>
      </c>
      <c r="G60" s="741">
        <f>op!J206</f>
        <v>0.1</v>
      </c>
      <c r="H60" s="741">
        <f>op!J273</f>
        <v>0.1</v>
      </c>
      <c r="I60" s="741">
        <f>op!J340</f>
        <v>0.1</v>
      </c>
      <c r="J60" s="741">
        <f>op!J407</f>
        <v>0.1</v>
      </c>
      <c r="K60" s="149"/>
      <c r="L60" s="600"/>
    </row>
    <row r="61" spans="2:12" s="215" customFormat="1" x14ac:dyDescent="0.2">
      <c r="B61" s="599"/>
      <c r="C61" s="69"/>
      <c r="D61" s="149" t="s">
        <v>458</v>
      </c>
      <c r="E61" s="149"/>
      <c r="F61" s="741">
        <f>obp!J69</f>
        <v>0</v>
      </c>
      <c r="G61" s="741">
        <f>obp!J101</f>
        <v>0</v>
      </c>
      <c r="H61" s="741">
        <f>obp!J133</f>
        <v>0</v>
      </c>
      <c r="I61" s="741">
        <f>obp!J165</f>
        <v>0</v>
      </c>
      <c r="J61" s="741">
        <f>obp!J197</f>
        <v>0</v>
      </c>
      <c r="K61" s="149"/>
      <c r="L61" s="600"/>
    </row>
    <row r="62" spans="2:12" s="215" customFormat="1" x14ac:dyDescent="0.2">
      <c r="B62" s="599"/>
      <c r="C62" s="69"/>
      <c r="D62" s="1006" t="s">
        <v>163</v>
      </c>
      <c r="E62" s="1007"/>
      <c r="F62" s="1008">
        <f>SUM(F59:F61)</f>
        <v>0.1</v>
      </c>
      <c r="G62" s="1008">
        <f>SUM(G59:G61)</f>
        <v>0.1</v>
      </c>
      <c r="H62" s="1008">
        <f>SUM(H59:H61)</f>
        <v>0.1</v>
      </c>
      <c r="I62" s="1008">
        <f>SUM(I59:I61)</f>
        <v>0.1</v>
      </c>
      <c r="J62" s="1008">
        <f>SUM(J59:J61)</f>
        <v>0.1</v>
      </c>
      <c r="K62" s="1007"/>
      <c r="L62" s="600"/>
    </row>
    <row r="63" spans="2:12" s="215" customFormat="1" x14ac:dyDescent="0.2">
      <c r="B63" s="599"/>
      <c r="C63" s="69"/>
      <c r="D63" s="852"/>
      <c r="E63" s="71"/>
      <c r="F63" s="74"/>
      <c r="G63" s="167"/>
      <c r="H63" s="167"/>
      <c r="I63" s="167"/>
      <c r="J63" s="167"/>
      <c r="K63" s="71"/>
      <c r="L63" s="600"/>
    </row>
    <row r="64" spans="2:12" s="215" customFormat="1" x14ac:dyDescent="0.2">
      <c r="B64" s="599"/>
      <c r="C64" s="228"/>
      <c r="D64" s="601"/>
      <c r="E64" s="228"/>
      <c r="F64" s="354"/>
      <c r="G64" s="354"/>
      <c r="H64" s="354"/>
      <c r="I64" s="354"/>
      <c r="J64" s="354"/>
      <c r="K64" s="228"/>
      <c r="L64" s="600"/>
    </row>
    <row r="65" spans="2:12" x14ac:dyDescent="0.2">
      <c r="B65" s="49"/>
      <c r="C65" s="602"/>
      <c r="D65" s="827"/>
      <c r="E65" s="828"/>
      <c r="F65" s="829"/>
      <c r="G65" s="829"/>
      <c r="H65" s="829"/>
      <c r="I65" s="829"/>
      <c r="J65" s="829"/>
      <c r="K65" s="828"/>
      <c r="L65" s="53"/>
    </row>
    <row r="66" spans="2:12" x14ac:dyDescent="0.2">
      <c r="B66" s="49"/>
      <c r="C66" s="139"/>
      <c r="D66" s="826" t="s">
        <v>208</v>
      </c>
      <c r="E66" s="822"/>
      <c r="F66" s="731">
        <f>F41</f>
        <v>2020</v>
      </c>
      <c r="G66" s="731">
        <f>G41</f>
        <v>2021</v>
      </c>
      <c r="H66" s="731">
        <f>H41</f>
        <v>2022</v>
      </c>
      <c r="I66" s="731">
        <f>I41</f>
        <v>2023</v>
      </c>
      <c r="J66" s="731">
        <f>J41</f>
        <v>2024</v>
      </c>
      <c r="K66" s="822"/>
      <c r="L66" s="53"/>
    </row>
    <row r="67" spans="2:12" x14ac:dyDescent="0.2">
      <c r="B67" s="49"/>
      <c r="C67" s="69"/>
      <c r="D67" s="136" t="s">
        <v>526</v>
      </c>
      <c r="E67" s="71"/>
      <c r="F67" s="741">
        <f>IF(geg!$H27=0,0,geg!H27/geg!$H$27)</f>
        <v>1</v>
      </c>
      <c r="G67" s="741">
        <f>IF(geg!$H27=0,0,geg!I27/geg!$H$27)</f>
        <v>1</v>
      </c>
      <c r="H67" s="741">
        <f>IF(geg!$H27=0,0,geg!J27/geg!$H$27)</f>
        <v>1</v>
      </c>
      <c r="I67" s="741">
        <f>IF(geg!$H27=0,0,geg!K27/geg!$H$27)</f>
        <v>1</v>
      </c>
      <c r="J67" s="741">
        <f>IF(geg!$H27=0,0,geg!L27/geg!$H$27)</f>
        <v>1</v>
      </c>
      <c r="K67" s="71"/>
      <c r="L67" s="53"/>
    </row>
    <row r="68" spans="2:12" x14ac:dyDescent="0.2">
      <c r="B68" s="49"/>
      <c r="C68" s="69"/>
      <c r="D68" s="136" t="s">
        <v>527</v>
      </c>
      <c r="E68" s="71"/>
      <c r="F68" s="741">
        <f>IF(ken!$F62=0,0,ken!F62/ken!$F$62)</f>
        <v>1</v>
      </c>
      <c r="G68" s="741">
        <f>IF(ken!$F62=0,0,ken!G62/ken!$F$62)</f>
        <v>1</v>
      </c>
      <c r="H68" s="741">
        <f>IF(ken!$F62=0,0,ken!H62/ken!$F$62)</f>
        <v>1</v>
      </c>
      <c r="I68" s="741">
        <f>IF(ken!$F62=0,0,ken!I62/ken!$F$62)</f>
        <v>1</v>
      </c>
      <c r="J68" s="741">
        <f>IF(ken!$F62=0,0,ken!J62/ken!$F$62)</f>
        <v>1</v>
      </c>
      <c r="K68" s="71"/>
      <c r="L68" s="53"/>
    </row>
    <row r="69" spans="2:12" x14ac:dyDescent="0.2">
      <c r="B69" s="49"/>
      <c r="C69" s="69"/>
      <c r="D69" s="136" t="s">
        <v>270</v>
      </c>
      <c r="E69" s="71"/>
      <c r="F69" s="741">
        <f>IF(begr!$G19=0,0,begr!G19/begr!$G$19)</f>
        <v>1</v>
      </c>
      <c r="G69" s="741">
        <f>IF(begr!$G19=0,0,begr!H19/begr!$G$19)</f>
        <v>0.98571534859228893</v>
      </c>
      <c r="H69" s="741">
        <f>IF(begr!$G19=0,0,begr!I19/begr!$G$19)</f>
        <v>0.97449778101800766</v>
      </c>
      <c r="I69" s="741">
        <f>IF(begr!$G19=0,0,begr!J19/begr!$G$19)</f>
        <v>0.97065885939811591</v>
      </c>
      <c r="J69" s="741">
        <f>IF(begr!$G19=0,0,begr!K19/begr!$G$19)</f>
        <v>0.97715004211436918</v>
      </c>
      <c r="K69" s="71"/>
      <c r="L69" s="53"/>
    </row>
    <row r="70" spans="2:12" x14ac:dyDescent="0.2">
      <c r="B70" s="49"/>
      <c r="C70" s="69"/>
      <c r="D70" s="136" t="s">
        <v>274</v>
      </c>
      <c r="E70" s="71"/>
      <c r="F70" s="741">
        <f>IF(begr!$G14=0,0,begr!G14/begr!$G$14)</f>
        <v>1</v>
      </c>
      <c r="G70" s="741">
        <f>IF(begr!$G14=0,0,begr!H14/begr!$G$14)</f>
        <v>0.98571534859228893</v>
      </c>
      <c r="H70" s="741">
        <f>IF(begr!$G14=0,0,begr!I14/begr!$G$14)</f>
        <v>0.97449778101800766</v>
      </c>
      <c r="I70" s="741">
        <f>IF(begr!$G14=0,0,begr!J14/begr!$G$14)</f>
        <v>0.97065885939811591</v>
      </c>
      <c r="J70" s="741">
        <f>IF(begr!$G14=0,0,begr!K14/begr!$G$14)</f>
        <v>0.97715004211436918</v>
      </c>
      <c r="K70" s="71"/>
      <c r="L70" s="53"/>
    </row>
    <row r="71" spans="2:12" x14ac:dyDescent="0.2">
      <c r="B71" s="49"/>
      <c r="C71" s="69"/>
      <c r="D71" s="136" t="s">
        <v>275</v>
      </c>
      <c r="E71" s="71"/>
      <c r="F71" s="741">
        <f>IF(begr!$G15=0,0,begr!G15/begr!$G$15)</f>
        <v>0</v>
      </c>
      <c r="G71" s="741">
        <f>IF(begr!$G15=0,0,begr!H15/begr!$G$15)</f>
        <v>0</v>
      </c>
      <c r="H71" s="741">
        <f>IF(begr!$G15=0,0,begr!I15/begr!$G$15)</f>
        <v>0</v>
      </c>
      <c r="I71" s="741">
        <f>IF(begr!$G15=0,0,begr!J15/begr!$G$15)</f>
        <v>0</v>
      </c>
      <c r="J71" s="741">
        <f>IF(begr!$G15=0,0,begr!K15/begr!$G$15)</f>
        <v>0</v>
      </c>
      <c r="K71" s="71"/>
      <c r="L71" s="53"/>
    </row>
    <row r="72" spans="2:12" x14ac:dyDescent="0.2">
      <c r="B72" s="49"/>
      <c r="C72" s="69"/>
      <c r="D72" s="136" t="s">
        <v>276</v>
      </c>
      <c r="E72" s="71"/>
      <c r="F72" s="741">
        <f>IF(begr!$G18=0,0,begr!G18/begr!$G$18)</f>
        <v>0</v>
      </c>
      <c r="G72" s="741">
        <f>IF(begr!$G18=0,0,begr!H18/begr!$G$18)</f>
        <v>0</v>
      </c>
      <c r="H72" s="741">
        <f>IF(begr!$G18=0,0,begr!I18/begr!$G$18)</f>
        <v>0</v>
      </c>
      <c r="I72" s="741">
        <f>IF(begr!$G18=0,0,begr!J18/begr!$G$18)</f>
        <v>0</v>
      </c>
      <c r="J72" s="741">
        <f>IF(begr!$G18=0,0,begr!K18/begr!$G$18)</f>
        <v>0</v>
      </c>
      <c r="K72" s="71"/>
      <c r="L72" s="53"/>
    </row>
    <row r="73" spans="2:12" x14ac:dyDescent="0.2">
      <c r="B73" s="49"/>
      <c r="C73" s="69"/>
      <c r="D73" s="136" t="s">
        <v>271</v>
      </c>
      <c r="E73" s="71"/>
      <c r="F73" s="741">
        <f>IF(begr!$G27=0,0,begr!G27/begr!$G$27)</f>
        <v>1</v>
      </c>
      <c r="G73" s="741">
        <f>IF(begr!$G27=0,0,begr!H27/begr!$G$27)</f>
        <v>1</v>
      </c>
      <c r="H73" s="741">
        <f>IF(begr!$G27=0,0,begr!I27/begr!$G$27)</f>
        <v>1</v>
      </c>
      <c r="I73" s="741">
        <f>IF(begr!$G27=0,0,begr!J27/begr!$G$27)</f>
        <v>1</v>
      </c>
      <c r="J73" s="741">
        <f>IF(begr!$G27=0,0,begr!K27/begr!$G$27)</f>
        <v>1</v>
      </c>
      <c r="K73" s="71"/>
      <c r="L73" s="53"/>
    </row>
    <row r="74" spans="2:12" x14ac:dyDescent="0.2">
      <c r="B74" s="49"/>
      <c r="C74" s="69"/>
      <c r="D74" s="136" t="s">
        <v>141</v>
      </c>
      <c r="E74" s="71"/>
      <c r="F74" s="741">
        <f>IF(begr!$G21=0,0,begr!G21/begr!$G$21)</f>
        <v>1</v>
      </c>
      <c r="G74" s="741">
        <f>IF(begr!$G21=0,0,begr!H21/begr!$G$21)</f>
        <v>1</v>
      </c>
      <c r="H74" s="741">
        <f>IF(begr!$G21=0,0,begr!I21/begr!$G$21)</f>
        <v>1</v>
      </c>
      <c r="I74" s="741">
        <f>IF(begr!$G21=0,0,begr!J21/begr!$G$21)</f>
        <v>1</v>
      </c>
      <c r="J74" s="741">
        <f>IF(begr!$G21=0,0,begr!K21/begr!$G$21)</f>
        <v>1</v>
      </c>
      <c r="K74" s="71"/>
      <c r="L74" s="53"/>
    </row>
    <row r="75" spans="2:12" x14ac:dyDescent="0.2">
      <c r="B75" s="49"/>
      <c r="C75" s="69"/>
      <c r="D75" s="136" t="s">
        <v>142</v>
      </c>
      <c r="E75" s="71"/>
      <c r="F75" s="741">
        <f>IF(begr!$G22=0,0,begr!G22/begr!$G$22)</f>
        <v>0</v>
      </c>
      <c r="G75" s="741">
        <f>IF(begr!$G22=0,0,begr!H22/begr!$G$22)</f>
        <v>0</v>
      </c>
      <c r="H75" s="741">
        <f>IF(begr!$G22=0,0,begr!I22/begr!$G$22)</f>
        <v>0</v>
      </c>
      <c r="I75" s="741">
        <f>IF(begr!$G22=0,0,begr!J22/begr!$G$22)</f>
        <v>0</v>
      </c>
      <c r="J75" s="741">
        <f>IF(begr!$G22=0,0,begr!K22/begr!$G$22)</f>
        <v>0</v>
      </c>
      <c r="K75" s="71"/>
      <c r="L75" s="53"/>
    </row>
    <row r="76" spans="2:12" x14ac:dyDescent="0.2">
      <c r="B76" s="49"/>
      <c r="C76" s="69"/>
      <c r="D76" s="136" t="s">
        <v>273</v>
      </c>
      <c r="E76" s="71"/>
      <c r="F76" s="741">
        <f>IF(begr!$G24=0,0,begr!G24/begr!$G$24)</f>
        <v>0</v>
      </c>
      <c r="G76" s="741">
        <f>IF(begr!$G24=0,0,begr!H24/begr!$G$24)</f>
        <v>0</v>
      </c>
      <c r="H76" s="741">
        <f>IF(begr!$G24=0,0,begr!I24/begr!$G$24)</f>
        <v>0</v>
      </c>
      <c r="I76" s="741">
        <f>IF(begr!$G24=0,0,begr!J24/begr!$G$24)</f>
        <v>0</v>
      </c>
      <c r="J76" s="741">
        <f>IF(begr!$G24=0,0,begr!K24/begr!$G$24)</f>
        <v>0</v>
      </c>
      <c r="K76" s="71"/>
      <c r="L76" s="53"/>
    </row>
    <row r="77" spans="2:12" x14ac:dyDescent="0.2">
      <c r="B77" s="49"/>
      <c r="C77" s="69"/>
      <c r="D77" s="136" t="s">
        <v>272</v>
      </c>
      <c r="E77" s="71"/>
      <c r="F77" s="741">
        <f>IF(SUM(begr!$G24:$G26)=0,0,(SUM(begr!G24:G26)/SUM(begr!$G24:$G26)))</f>
        <v>0</v>
      </c>
      <c r="G77" s="741">
        <f>IF(SUM(begr!$G24:$G26)=0,0,(SUM(begr!H24:H26)/SUM(begr!$G24:$G26)))</f>
        <v>0</v>
      </c>
      <c r="H77" s="741">
        <f>IF(SUM(begr!$G24:$G26)=0,0,(SUM(begr!I24:I26)/SUM(begr!$G24:$G26)))</f>
        <v>0</v>
      </c>
      <c r="I77" s="741">
        <f>IF(SUM(begr!$G24:$G26)=0,0,(SUM(begr!J24:J26)/SUM(begr!$G24:$G26)))</f>
        <v>0</v>
      </c>
      <c r="J77" s="741">
        <f>IF(SUM(begr!$G24:$G26)=0,0,(SUM(begr!K24:K26)/SUM(begr!$G24:$G26)))</f>
        <v>0</v>
      </c>
      <c r="K77" s="71"/>
      <c r="L77" s="53"/>
    </row>
    <row r="78" spans="2:12" x14ac:dyDescent="0.2">
      <c r="B78" s="49"/>
      <c r="C78" s="69"/>
      <c r="D78" s="70" t="s">
        <v>375</v>
      </c>
      <c r="E78" s="71"/>
      <c r="F78" s="741">
        <f>IF(begr!G26=0,0,begr!G26/begr!$G$26)</f>
        <v>0</v>
      </c>
      <c r="G78" s="741">
        <f>IF(begr!H26=0,0,begr!H26/begr!$G$26)</f>
        <v>0</v>
      </c>
      <c r="H78" s="741">
        <f>IF(begr!I26=0,0,begr!I26/begr!$G$26)</f>
        <v>0</v>
      </c>
      <c r="I78" s="741">
        <f>IF(begr!J26=0,0,begr!J26/begr!$G$26)</f>
        <v>0</v>
      </c>
      <c r="J78" s="741">
        <f>IF(begr!K26=0,0,begr!K26/begr!$G$26)</f>
        <v>0</v>
      </c>
      <c r="K78" s="71"/>
      <c r="L78" s="53"/>
    </row>
    <row r="79" spans="2:12" x14ac:dyDescent="0.2">
      <c r="B79" s="49"/>
      <c r="C79" s="76"/>
      <c r="D79" s="302"/>
      <c r="E79" s="77"/>
      <c r="F79" s="631"/>
      <c r="G79" s="631"/>
      <c r="H79" s="631"/>
      <c r="I79" s="631"/>
      <c r="J79" s="631"/>
      <c r="K79" s="77"/>
      <c r="L79" s="53"/>
    </row>
    <row r="80" spans="2:12" x14ac:dyDescent="0.2">
      <c r="B80" s="49"/>
      <c r="C80" s="50"/>
      <c r="D80" s="223"/>
      <c r="E80" s="50"/>
      <c r="F80" s="632"/>
      <c r="G80" s="632"/>
      <c r="H80" s="632"/>
      <c r="I80" s="632"/>
      <c r="J80" s="632"/>
      <c r="K80" s="50"/>
      <c r="L80" s="53"/>
    </row>
    <row r="81" spans="2:14" x14ac:dyDescent="0.2">
      <c r="B81" s="124"/>
      <c r="C81" s="125"/>
      <c r="D81" s="316"/>
      <c r="E81" s="125"/>
      <c r="F81" s="318"/>
      <c r="G81" s="324"/>
      <c r="H81" s="324"/>
      <c r="I81" s="324"/>
      <c r="J81" s="324"/>
      <c r="K81" s="125"/>
      <c r="L81" s="126"/>
    </row>
    <row r="82" spans="2:14" x14ac:dyDescent="0.2">
      <c r="G82" s="127"/>
      <c r="H82" s="127"/>
      <c r="I82" s="127"/>
      <c r="J82" s="127"/>
    </row>
    <row r="83" spans="2:14" x14ac:dyDescent="0.2">
      <c r="G83" s="127"/>
      <c r="H83" s="127"/>
      <c r="I83" s="127"/>
      <c r="J83" s="127"/>
    </row>
    <row r="84" spans="2:14" x14ac:dyDescent="0.2">
      <c r="G84" s="127"/>
      <c r="H84" s="127"/>
      <c r="I84" s="127"/>
      <c r="J84" s="127"/>
    </row>
    <row r="85" spans="2:14" x14ac:dyDescent="0.2">
      <c r="C85" s="69"/>
      <c r="D85" s="690"/>
      <c r="E85" s="71"/>
      <c r="F85" s="74"/>
      <c r="G85" s="74"/>
      <c r="H85" s="74"/>
      <c r="I85" s="74"/>
      <c r="J85" s="74"/>
      <c r="K85" s="71"/>
      <c r="N85" s="81"/>
    </row>
    <row r="86" spans="2:14" x14ac:dyDescent="0.2">
      <c r="C86" s="69"/>
      <c r="D86" s="71"/>
      <c r="E86" s="71"/>
      <c r="F86" s="74"/>
      <c r="G86" s="74"/>
      <c r="H86" s="74"/>
      <c r="I86" s="74"/>
      <c r="J86" s="74"/>
      <c r="K86" s="71"/>
    </row>
    <row r="87" spans="2:14" x14ac:dyDescent="0.2">
      <c r="C87" s="69"/>
      <c r="D87" s="48"/>
      <c r="F87" s="48"/>
      <c r="G87" s="48"/>
      <c r="H87" s="48"/>
      <c r="I87" s="48"/>
      <c r="J87" s="48"/>
    </row>
    <row r="88" spans="2:14" x14ac:dyDescent="0.2">
      <c r="C88" s="69"/>
      <c r="D88" s="1009"/>
      <c r="E88" s="1009"/>
      <c r="F88" s="1010"/>
      <c r="G88" s="1010"/>
      <c r="H88" s="1010"/>
      <c r="I88" s="1010"/>
      <c r="J88" s="1010"/>
      <c r="K88" s="1009"/>
    </row>
    <row r="89" spans="2:14" x14ac:dyDescent="0.2">
      <c r="C89" s="69"/>
      <c r="D89" s="1009"/>
      <c r="E89" s="1009"/>
      <c r="F89" s="1010"/>
      <c r="G89" s="1010"/>
      <c r="H89" s="1010"/>
      <c r="I89" s="1010"/>
      <c r="J89" s="1010"/>
      <c r="K89" s="1009"/>
    </row>
    <row r="90" spans="2:14" x14ac:dyDescent="0.2">
      <c r="C90" s="69"/>
    </row>
  </sheetData>
  <sheetProtection algorithmName="SHA-512" hashValue="U1E51zo0NHdpBR5xEPov8+wpJfnZGyIlkQ2c74xYX46QfqbTcEDZwMkY39skFWgrE7zdiZ3f2DGHpaLLO5oy6A==" saltValue="uFsqo9Qe4fnyxN1DECG7rw==" spinCount="100000" sheet="1" objects="1" scenarios="1"/>
  <phoneticPr fontId="0" type="noConversion"/>
  <pageMargins left="0.74803149606299213" right="0.74803149606299213" top="0.98425196850393704" bottom="0.98425196850393704" header="0.51181102362204722" footer="0.51181102362204722"/>
  <pageSetup paperSize="9" scale="65" orientation="portrait" r:id="rId1"/>
  <headerFooter alignWithMargins="0">
    <oddHeader>&amp;L&amp;"Arial,Vet"&amp;F&amp;R&amp;"Arial,Vet"&amp;A</oddHeader>
    <oddFooter>&amp;L&amp;"Arial,Vet"PO-Raad&amp;C&amp;"Arial,Vet"&amp;D&amp;R&amp;"Arial,Vet"pagina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dimension ref="B1:R174"/>
  <sheetViews>
    <sheetView zoomScale="85" zoomScaleNormal="85" zoomScaleSheetLayoutView="85" workbookViewId="0">
      <selection activeCell="B2" sqref="B2"/>
    </sheetView>
  </sheetViews>
  <sheetFormatPr defaultColWidth="9.140625" defaultRowHeight="12.75" x14ac:dyDescent="0.2"/>
  <cols>
    <col min="1" max="1" width="3.7109375" style="603" customWidth="1"/>
    <col min="2" max="2" width="2.7109375" style="603" customWidth="1"/>
    <col min="3" max="9" width="9.7109375" style="603" customWidth="1"/>
    <col min="10" max="10" width="2.7109375" style="603" customWidth="1"/>
    <col min="11" max="17" width="9.7109375" style="603" customWidth="1"/>
    <col min="18" max="18" width="2.7109375" style="603" customWidth="1"/>
    <col min="19" max="16384" width="9.140625" style="603"/>
  </cols>
  <sheetData>
    <row r="1" spans="2:18" ht="12.75" customHeight="1" x14ac:dyDescent="0.2"/>
    <row r="2" spans="2:18" x14ac:dyDescent="0.2">
      <c r="B2" s="604"/>
      <c r="C2" s="605"/>
      <c r="D2" s="605"/>
      <c r="E2" s="605"/>
      <c r="F2" s="605"/>
      <c r="G2" s="605"/>
      <c r="H2" s="605"/>
      <c r="I2" s="605"/>
      <c r="J2" s="605"/>
      <c r="K2" s="605"/>
      <c r="L2" s="605"/>
      <c r="M2" s="605"/>
      <c r="N2" s="605"/>
      <c r="O2" s="605"/>
      <c r="P2" s="605"/>
      <c r="Q2" s="605"/>
      <c r="R2" s="606"/>
    </row>
    <row r="3" spans="2:18" x14ac:dyDescent="0.2">
      <c r="B3" s="607"/>
      <c r="C3" s="608"/>
      <c r="D3" s="608"/>
      <c r="E3" s="608"/>
      <c r="F3" s="608"/>
      <c r="G3" s="608"/>
      <c r="H3" s="608"/>
      <c r="I3" s="608"/>
      <c r="J3" s="608"/>
      <c r="K3" s="608"/>
      <c r="L3" s="608"/>
      <c r="M3" s="608"/>
      <c r="N3" s="608"/>
      <c r="O3" s="608"/>
      <c r="P3" s="608"/>
      <c r="Q3" s="608"/>
      <c r="R3" s="609"/>
    </row>
    <row r="4" spans="2:18" s="610" customFormat="1" ht="18.75" x14ac:dyDescent="0.3">
      <c r="B4" s="611"/>
      <c r="C4" s="676" t="s">
        <v>211</v>
      </c>
      <c r="D4" s="612"/>
      <c r="E4" s="612"/>
      <c r="F4" s="612"/>
      <c r="G4" s="612"/>
      <c r="H4" s="612"/>
      <c r="I4" s="612"/>
      <c r="J4" s="612"/>
      <c r="K4" s="612"/>
      <c r="L4" s="612"/>
      <c r="M4" s="612"/>
      <c r="N4" s="612"/>
      <c r="O4" s="612"/>
      <c r="P4" s="612"/>
      <c r="Q4" s="612"/>
      <c r="R4" s="613"/>
    </row>
    <row r="5" spans="2:18" ht="18.75" x14ac:dyDescent="0.3">
      <c r="B5" s="614"/>
      <c r="C5" s="615" t="str">
        <f>geg!G12</f>
        <v>voorbeeld Basisschool</v>
      </c>
      <c r="D5" s="608"/>
      <c r="E5" s="608"/>
      <c r="F5" s="608"/>
      <c r="G5" s="608"/>
      <c r="H5" s="608"/>
      <c r="I5" s="608"/>
      <c r="J5" s="608"/>
      <c r="K5" s="608"/>
      <c r="L5" s="608"/>
      <c r="M5" s="608"/>
      <c r="N5" s="608"/>
      <c r="O5" s="608"/>
      <c r="P5" s="608"/>
      <c r="Q5" s="608"/>
      <c r="R5" s="609"/>
    </row>
    <row r="6" spans="2:18" x14ac:dyDescent="0.2">
      <c r="B6" s="607"/>
      <c r="C6" s="608"/>
      <c r="D6" s="608"/>
      <c r="E6" s="608"/>
      <c r="F6" s="608"/>
      <c r="G6" s="608"/>
      <c r="H6" s="608"/>
      <c r="I6" s="608"/>
      <c r="J6" s="608"/>
      <c r="K6" s="608"/>
      <c r="L6" s="608"/>
      <c r="M6" s="608"/>
      <c r="N6" s="608"/>
      <c r="O6" s="608"/>
      <c r="P6" s="608"/>
      <c r="Q6" s="608"/>
      <c r="R6" s="609"/>
    </row>
    <row r="7" spans="2:18" x14ac:dyDescent="0.2">
      <c r="B7" s="607"/>
      <c r="C7" s="608"/>
      <c r="D7" s="608"/>
      <c r="E7" s="608"/>
      <c r="F7" s="608"/>
      <c r="G7" s="608"/>
      <c r="H7" s="608"/>
      <c r="I7" s="608"/>
      <c r="J7" s="608"/>
      <c r="K7" s="608"/>
      <c r="L7" s="608"/>
      <c r="M7" s="608"/>
      <c r="N7" s="608"/>
      <c r="O7" s="608"/>
      <c r="P7" s="608"/>
      <c r="Q7" s="608"/>
      <c r="R7" s="609"/>
    </row>
    <row r="8" spans="2:18" x14ac:dyDescent="0.2">
      <c r="B8" s="607"/>
      <c r="C8" s="608"/>
      <c r="D8" s="608"/>
      <c r="E8" s="608"/>
      <c r="F8" s="608"/>
      <c r="G8" s="608"/>
      <c r="H8" s="608"/>
      <c r="I8" s="608"/>
      <c r="J8" s="608"/>
      <c r="K8" s="608"/>
      <c r="L8" s="608"/>
      <c r="M8" s="608"/>
      <c r="N8" s="608"/>
      <c r="O8" s="608"/>
      <c r="P8" s="608"/>
      <c r="Q8" s="608"/>
      <c r="R8" s="609"/>
    </row>
    <row r="9" spans="2:18" x14ac:dyDescent="0.2">
      <c r="B9" s="607"/>
      <c r="C9" s="608"/>
      <c r="D9" s="608"/>
      <c r="E9" s="608"/>
      <c r="F9" s="608"/>
      <c r="G9" s="608"/>
      <c r="H9" s="608"/>
      <c r="I9" s="608"/>
      <c r="J9" s="608"/>
      <c r="K9" s="608"/>
      <c r="L9" s="608"/>
      <c r="M9" s="608"/>
      <c r="N9" s="608"/>
      <c r="O9" s="608"/>
      <c r="P9" s="608"/>
      <c r="Q9" s="608"/>
      <c r="R9" s="609"/>
    </row>
    <row r="10" spans="2:18" x14ac:dyDescent="0.2">
      <c r="B10" s="607"/>
      <c r="C10" s="608"/>
      <c r="D10" s="608"/>
      <c r="E10" s="608"/>
      <c r="F10" s="608"/>
      <c r="G10" s="608"/>
      <c r="H10" s="608"/>
      <c r="I10" s="608"/>
      <c r="J10" s="608"/>
      <c r="K10" s="608"/>
      <c r="L10" s="608"/>
      <c r="M10" s="608"/>
      <c r="N10" s="608"/>
      <c r="O10" s="608"/>
      <c r="P10" s="608"/>
      <c r="Q10" s="608"/>
      <c r="R10" s="609"/>
    </row>
    <row r="11" spans="2:18" x14ac:dyDescent="0.2">
      <c r="B11" s="607"/>
      <c r="C11" s="608"/>
      <c r="D11" s="608"/>
      <c r="E11" s="608"/>
      <c r="F11" s="608"/>
      <c r="G11" s="608"/>
      <c r="H11" s="608"/>
      <c r="I11" s="608"/>
      <c r="J11" s="608"/>
      <c r="K11" s="608"/>
      <c r="L11" s="608"/>
      <c r="M11" s="608"/>
      <c r="N11" s="608"/>
      <c r="O11" s="608"/>
      <c r="P11" s="608"/>
      <c r="Q11" s="608"/>
      <c r="R11" s="609"/>
    </row>
    <row r="12" spans="2:18" x14ac:dyDescent="0.2">
      <c r="B12" s="607"/>
      <c r="C12" s="608"/>
      <c r="D12" s="608"/>
      <c r="E12" s="608"/>
      <c r="F12" s="608"/>
      <c r="G12" s="608"/>
      <c r="H12" s="608"/>
      <c r="I12" s="608"/>
      <c r="J12" s="608"/>
      <c r="K12" s="608"/>
      <c r="L12" s="608"/>
      <c r="M12" s="608"/>
      <c r="N12" s="608"/>
      <c r="O12" s="608"/>
      <c r="P12" s="608"/>
      <c r="Q12" s="608"/>
      <c r="R12" s="609"/>
    </row>
    <row r="13" spans="2:18" x14ac:dyDescent="0.2">
      <c r="B13" s="607"/>
      <c r="C13" s="608"/>
      <c r="D13" s="608"/>
      <c r="E13" s="608"/>
      <c r="F13" s="608"/>
      <c r="G13" s="608"/>
      <c r="H13" s="608"/>
      <c r="I13" s="608"/>
      <c r="J13" s="608"/>
      <c r="K13" s="608"/>
      <c r="L13" s="608"/>
      <c r="M13" s="608"/>
      <c r="N13" s="608"/>
      <c r="O13" s="608"/>
      <c r="P13" s="608"/>
      <c r="Q13" s="608"/>
      <c r="R13" s="609"/>
    </row>
    <row r="14" spans="2:18" x14ac:dyDescent="0.2">
      <c r="B14" s="607"/>
      <c r="C14" s="608"/>
      <c r="D14" s="608"/>
      <c r="E14" s="608"/>
      <c r="F14" s="608"/>
      <c r="G14" s="608"/>
      <c r="H14" s="608"/>
      <c r="I14" s="608"/>
      <c r="J14" s="608"/>
      <c r="K14" s="608"/>
      <c r="L14" s="608"/>
      <c r="M14" s="608"/>
      <c r="N14" s="608"/>
      <c r="O14" s="608"/>
      <c r="P14" s="608"/>
      <c r="Q14" s="608"/>
      <c r="R14" s="609"/>
    </row>
    <row r="15" spans="2:18" x14ac:dyDescent="0.2">
      <c r="B15" s="607"/>
      <c r="C15" s="608"/>
      <c r="D15" s="608"/>
      <c r="E15" s="608"/>
      <c r="F15" s="608"/>
      <c r="G15" s="608"/>
      <c r="H15" s="608"/>
      <c r="I15" s="608"/>
      <c r="J15" s="608"/>
      <c r="K15" s="608"/>
      <c r="L15" s="608"/>
      <c r="M15" s="608"/>
      <c r="N15" s="608"/>
      <c r="O15" s="608"/>
      <c r="P15" s="608"/>
      <c r="Q15" s="608"/>
      <c r="R15" s="609"/>
    </row>
    <row r="16" spans="2:18" x14ac:dyDescent="0.2">
      <c r="B16" s="607"/>
      <c r="C16" s="608"/>
      <c r="D16" s="608"/>
      <c r="E16" s="608"/>
      <c r="F16" s="608"/>
      <c r="G16" s="608"/>
      <c r="H16" s="608"/>
      <c r="I16" s="608"/>
      <c r="J16" s="608"/>
      <c r="K16" s="608"/>
      <c r="L16" s="608"/>
      <c r="M16" s="608"/>
      <c r="N16" s="608"/>
      <c r="O16" s="608"/>
      <c r="P16" s="608"/>
      <c r="Q16" s="608"/>
      <c r="R16" s="609"/>
    </row>
    <row r="17" spans="2:18" x14ac:dyDescent="0.2">
      <c r="B17" s="607"/>
      <c r="C17" s="608"/>
      <c r="D17" s="608"/>
      <c r="E17" s="608"/>
      <c r="F17" s="608"/>
      <c r="G17" s="608"/>
      <c r="H17" s="608"/>
      <c r="I17" s="608"/>
      <c r="J17" s="608"/>
      <c r="K17" s="608"/>
      <c r="L17" s="608"/>
      <c r="M17" s="608"/>
      <c r="N17" s="608"/>
      <c r="O17" s="608"/>
      <c r="P17" s="608"/>
      <c r="Q17" s="608"/>
      <c r="R17" s="609"/>
    </row>
    <row r="18" spans="2:18" x14ac:dyDescent="0.2">
      <c r="B18" s="607"/>
      <c r="C18" s="608"/>
      <c r="D18" s="608"/>
      <c r="E18" s="608"/>
      <c r="F18" s="608"/>
      <c r="G18" s="608"/>
      <c r="H18" s="608"/>
      <c r="I18" s="608"/>
      <c r="J18" s="608"/>
      <c r="K18" s="608"/>
      <c r="L18" s="608"/>
      <c r="M18" s="608"/>
      <c r="N18" s="608"/>
      <c r="O18" s="608"/>
      <c r="P18" s="608"/>
      <c r="Q18" s="608"/>
      <c r="R18" s="609"/>
    </row>
    <row r="19" spans="2:18" x14ac:dyDescent="0.2">
      <c r="B19" s="607"/>
      <c r="C19" s="608"/>
      <c r="D19" s="608"/>
      <c r="E19" s="608"/>
      <c r="F19" s="608"/>
      <c r="G19" s="608"/>
      <c r="H19" s="608"/>
      <c r="I19" s="608"/>
      <c r="J19" s="608"/>
      <c r="K19" s="608"/>
      <c r="L19" s="608"/>
      <c r="M19" s="608"/>
      <c r="N19" s="608"/>
      <c r="O19" s="608"/>
      <c r="P19" s="608"/>
      <c r="Q19" s="608"/>
      <c r="R19" s="609"/>
    </row>
    <row r="20" spans="2:18" x14ac:dyDescent="0.2">
      <c r="B20" s="607"/>
      <c r="C20" s="608"/>
      <c r="D20" s="608"/>
      <c r="E20" s="608"/>
      <c r="F20" s="608"/>
      <c r="G20" s="608"/>
      <c r="H20" s="608"/>
      <c r="I20" s="608"/>
      <c r="J20" s="608"/>
      <c r="K20" s="608"/>
      <c r="L20" s="608"/>
      <c r="M20" s="608"/>
      <c r="N20" s="608"/>
      <c r="O20" s="608"/>
      <c r="P20" s="608"/>
      <c r="Q20" s="608"/>
      <c r="R20" s="609"/>
    </row>
    <row r="21" spans="2:18" x14ac:dyDescent="0.2">
      <c r="B21" s="607"/>
      <c r="C21" s="608"/>
      <c r="D21" s="608"/>
      <c r="E21" s="608"/>
      <c r="F21" s="608"/>
      <c r="G21" s="608"/>
      <c r="H21" s="608"/>
      <c r="I21" s="608"/>
      <c r="J21" s="608"/>
      <c r="K21" s="608"/>
      <c r="L21" s="608"/>
      <c r="M21" s="608"/>
      <c r="N21" s="608"/>
      <c r="O21" s="608"/>
      <c r="P21" s="608"/>
      <c r="Q21" s="608"/>
      <c r="R21" s="609"/>
    </row>
    <row r="22" spans="2:18" x14ac:dyDescent="0.2">
      <c r="B22" s="607"/>
      <c r="C22" s="608"/>
      <c r="D22" s="608"/>
      <c r="E22" s="608"/>
      <c r="F22" s="608"/>
      <c r="G22" s="608"/>
      <c r="H22" s="608"/>
      <c r="I22" s="608"/>
      <c r="J22" s="608"/>
      <c r="K22" s="608"/>
      <c r="L22" s="608"/>
      <c r="M22" s="608"/>
      <c r="N22" s="608"/>
      <c r="O22" s="608"/>
      <c r="P22" s="608"/>
      <c r="Q22" s="608"/>
      <c r="R22" s="609"/>
    </row>
    <row r="23" spans="2:18" x14ac:dyDescent="0.2">
      <c r="B23" s="607"/>
      <c r="C23" s="608"/>
      <c r="D23" s="608"/>
      <c r="E23" s="608"/>
      <c r="F23" s="608"/>
      <c r="G23" s="608"/>
      <c r="H23" s="608"/>
      <c r="I23" s="608"/>
      <c r="J23" s="608"/>
      <c r="K23" s="608"/>
      <c r="L23" s="608"/>
      <c r="M23" s="608"/>
      <c r="N23" s="608"/>
      <c r="O23" s="608"/>
      <c r="P23" s="608"/>
      <c r="Q23" s="608"/>
      <c r="R23" s="609"/>
    </row>
    <row r="24" spans="2:18" x14ac:dyDescent="0.2">
      <c r="B24" s="607"/>
      <c r="C24" s="608"/>
      <c r="D24" s="608"/>
      <c r="E24" s="608"/>
      <c r="F24" s="608"/>
      <c r="G24" s="608"/>
      <c r="H24" s="608"/>
      <c r="I24" s="608"/>
      <c r="J24" s="608"/>
      <c r="K24" s="608"/>
      <c r="L24" s="608"/>
      <c r="M24" s="608"/>
      <c r="N24" s="608"/>
      <c r="O24" s="608"/>
      <c r="P24" s="608"/>
      <c r="Q24" s="608"/>
      <c r="R24" s="609"/>
    </row>
    <row r="25" spans="2:18" x14ac:dyDescent="0.2">
      <c r="B25" s="607"/>
      <c r="C25" s="608"/>
      <c r="D25" s="608"/>
      <c r="E25" s="608"/>
      <c r="F25" s="608"/>
      <c r="G25" s="608"/>
      <c r="H25" s="608"/>
      <c r="I25" s="608"/>
      <c r="J25" s="608"/>
      <c r="K25" s="608"/>
      <c r="L25" s="608"/>
      <c r="M25" s="608"/>
      <c r="N25" s="608"/>
      <c r="O25" s="608"/>
      <c r="P25" s="608"/>
      <c r="Q25" s="608"/>
      <c r="R25" s="609"/>
    </row>
    <row r="26" spans="2:18" x14ac:dyDescent="0.2">
      <c r="B26" s="607"/>
      <c r="C26" s="608"/>
      <c r="D26" s="608"/>
      <c r="E26" s="608"/>
      <c r="F26" s="608"/>
      <c r="G26" s="608"/>
      <c r="H26" s="608"/>
      <c r="I26" s="608"/>
      <c r="J26" s="608"/>
      <c r="K26" s="608"/>
      <c r="L26" s="608"/>
      <c r="M26" s="608"/>
      <c r="N26" s="608"/>
      <c r="O26" s="608"/>
      <c r="P26" s="608"/>
      <c r="Q26" s="608"/>
      <c r="R26" s="609"/>
    </row>
    <row r="27" spans="2:18" x14ac:dyDescent="0.2">
      <c r="B27" s="607"/>
      <c r="C27" s="608"/>
      <c r="D27" s="608"/>
      <c r="E27" s="608"/>
      <c r="F27" s="608"/>
      <c r="G27" s="608"/>
      <c r="H27" s="608"/>
      <c r="I27" s="608"/>
      <c r="J27" s="608"/>
      <c r="K27" s="608"/>
      <c r="L27" s="608"/>
      <c r="M27" s="608"/>
      <c r="N27" s="608"/>
      <c r="O27" s="608"/>
      <c r="P27" s="608"/>
      <c r="Q27" s="608"/>
      <c r="R27" s="609"/>
    </row>
    <row r="28" spans="2:18" x14ac:dyDescent="0.2">
      <c r="B28" s="607"/>
      <c r="C28" s="608"/>
      <c r="D28" s="608"/>
      <c r="E28" s="608"/>
      <c r="F28" s="608"/>
      <c r="G28" s="608"/>
      <c r="H28" s="608"/>
      <c r="I28" s="608"/>
      <c r="J28" s="608"/>
      <c r="K28" s="608"/>
      <c r="L28" s="608"/>
      <c r="M28" s="608"/>
      <c r="N28" s="608"/>
      <c r="O28" s="608"/>
      <c r="P28" s="608"/>
      <c r="Q28" s="608"/>
      <c r="R28" s="609"/>
    </row>
    <row r="29" spans="2:18" x14ac:dyDescent="0.2">
      <c r="B29" s="607"/>
      <c r="C29" s="608"/>
      <c r="D29" s="608"/>
      <c r="E29" s="608"/>
      <c r="F29" s="608"/>
      <c r="G29" s="608"/>
      <c r="H29" s="608"/>
      <c r="I29" s="608"/>
      <c r="J29" s="608"/>
      <c r="K29" s="608"/>
      <c r="L29" s="608"/>
      <c r="M29" s="608"/>
      <c r="N29" s="608"/>
      <c r="O29" s="608"/>
      <c r="P29" s="608"/>
      <c r="Q29" s="608"/>
      <c r="R29" s="609"/>
    </row>
    <row r="30" spans="2:18" x14ac:dyDescent="0.2">
      <c r="B30" s="607"/>
      <c r="C30" s="608"/>
      <c r="D30" s="608"/>
      <c r="E30" s="608"/>
      <c r="F30" s="608"/>
      <c r="G30" s="608"/>
      <c r="H30" s="608"/>
      <c r="I30" s="608"/>
      <c r="J30" s="608"/>
      <c r="K30" s="608"/>
      <c r="L30" s="608"/>
      <c r="M30" s="608"/>
      <c r="N30" s="608"/>
      <c r="O30" s="608"/>
      <c r="P30" s="608"/>
      <c r="Q30" s="608"/>
      <c r="R30" s="609"/>
    </row>
    <row r="31" spans="2:18" x14ac:dyDescent="0.2">
      <c r="B31" s="607"/>
      <c r="C31" s="608"/>
      <c r="D31" s="608"/>
      <c r="E31" s="608"/>
      <c r="F31" s="608"/>
      <c r="G31" s="608"/>
      <c r="H31" s="608"/>
      <c r="I31" s="608"/>
      <c r="J31" s="608"/>
      <c r="K31" s="608"/>
      <c r="L31" s="608"/>
      <c r="M31" s="608"/>
      <c r="N31" s="608"/>
      <c r="O31" s="608"/>
      <c r="P31" s="608"/>
      <c r="Q31" s="608"/>
      <c r="R31" s="609"/>
    </row>
    <row r="32" spans="2:18" x14ac:dyDescent="0.2">
      <c r="B32" s="607"/>
      <c r="C32" s="608"/>
      <c r="D32" s="608"/>
      <c r="E32" s="608"/>
      <c r="F32" s="608"/>
      <c r="G32" s="608"/>
      <c r="H32" s="608"/>
      <c r="I32" s="608"/>
      <c r="J32" s="608"/>
      <c r="K32" s="608"/>
      <c r="L32" s="608"/>
      <c r="M32" s="608"/>
      <c r="N32" s="608"/>
      <c r="O32" s="608"/>
      <c r="P32" s="608"/>
      <c r="Q32" s="608"/>
      <c r="R32" s="609"/>
    </row>
    <row r="33" spans="2:18" x14ac:dyDescent="0.2">
      <c r="B33" s="607"/>
      <c r="C33" s="608"/>
      <c r="D33" s="608"/>
      <c r="E33" s="608"/>
      <c r="F33" s="608"/>
      <c r="G33" s="608"/>
      <c r="H33" s="608"/>
      <c r="I33" s="608"/>
      <c r="J33" s="608"/>
      <c r="K33" s="608"/>
      <c r="L33" s="608"/>
      <c r="M33" s="608"/>
      <c r="N33" s="608"/>
      <c r="O33" s="608"/>
      <c r="P33" s="608"/>
      <c r="Q33" s="608"/>
      <c r="R33" s="609"/>
    </row>
    <row r="34" spans="2:18" x14ac:dyDescent="0.2">
      <c r="B34" s="607"/>
      <c r="C34" s="608"/>
      <c r="D34" s="608"/>
      <c r="E34" s="608"/>
      <c r="F34" s="608"/>
      <c r="G34" s="608"/>
      <c r="H34" s="608"/>
      <c r="I34" s="608"/>
      <c r="J34" s="608"/>
      <c r="K34" s="608"/>
      <c r="L34" s="608"/>
      <c r="M34" s="608"/>
      <c r="N34" s="608"/>
      <c r="O34" s="608"/>
      <c r="P34" s="608"/>
      <c r="Q34" s="608"/>
      <c r="R34" s="609"/>
    </row>
    <row r="35" spans="2:18" x14ac:dyDescent="0.2">
      <c r="B35" s="607"/>
      <c r="C35" s="608"/>
      <c r="D35" s="608"/>
      <c r="E35" s="608"/>
      <c r="F35" s="608"/>
      <c r="G35" s="608"/>
      <c r="H35" s="608"/>
      <c r="I35" s="608"/>
      <c r="J35" s="608"/>
      <c r="K35" s="608"/>
      <c r="L35" s="608"/>
      <c r="M35" s="608"/>
      <c r="N35" s="608"/>
      <c r="O35" s="608"/>
      <c r="P35" s="608"/>
      <c r="Q35" s="608"/>
      <c r="R35" s="609"/>
    </row>
    <row r="36" spans="2:18" x14ac:dyDescent="0.2">
      <c r="B36" s="607"/>
      <c r="C36" s="608"/>
      <c r="D36" s="608"/>
      <c r="E36" s="608"/>
      <c r="F36" s="608"/>
      <c r="G36" s="608"/>
      <c r="H36" s="608"/>
      <c r="I36" s="608"/>
      <c r="J36" s="608"/>
      <c r="K36" s="608"/>
      <c r="L36" s="608"/>
      <c r="M36" s="608"/>
      <c r="N36" s="608"/>
      <c r="O36" s="608"/>
      <c r="P36" s="608"/>
      <c r="Q36" s="608"/>
      <c r="R36" s="609"/>
    </row>
    <row r="37" spans="2:18" x14ac:dyDescent="0.2">
      <c r="B37" s="607"/>
      <c r="C37" s="608"/>
      <c r="D37" s="608"/>
      <c r="E37" s="608"/>
      <c r="F37" s="608"/>
      <c r="G37" s="608"/>
      <c r="H37" s="608"/>
      <c r="I37" s="608"/>
      <c r="J37" s="608"/>
      <c r="K37" s="608"/>
      <c r="L37" s="608"/>
      <c r="M37" s="608"/>
      <c r="N37" s="608"/>
      <c r="O37" s="608"/>
      <c r="P37" s="608"/>
      <c r="Q37" s="608"/>
      <c r="R37" s="609"/>
    </row>
    <row r="38" spans="2:18" x14ac:dyDescent="0.2">
      <c r="B38" s="607"/>
      <c r="C38" s="608"/>
      <c r="D38" s="608"/>
      <c r="E38" s="608"/>
      <c r="F38" s="608"/>
      <c r="G38" s="608"/>
      <c r="H38" s="608"/>
      <c r="I38" s="608"/>
      <c r="J38" s="608"/>
      <c r="K38" s="608"/>
      <c r="L38" s="608"/>
      <c r="M38" s="608"/>
      <c r="N38" s="608"/>
      <c r="O38" s="608"/>
      <c r="P38" s="608"/>
      <c r="Q38" s="608"/>
      <c r="R38" s="609"/>
    </row>
    <row r="39" spans="2:18" x14ac:dyDescent="0.2">
      <c r="B39" s="607"/>
      <c r="C39" s="608"/>
      <c r="D39" s="608"/>
      <c r="E39" s="608"/>
      <c r="F39" s="608"/>
      <c r="G39" s="608"/>
      <c r="H39" s="608"/>
      <c r="I39" s="608"/>
      <c r="J39" s="608"/>
      <c r="K39" s="608"/>
      <c r="L39" s="608"/>
      <c r="M39" s="608"/>
      <c r="N39" s="608"/>
      <c r="O39" s="608"/>
      <c r="P39" s="608"/>
      <c r="Q39" s="608"/>
      <c r="R39" s="609"/>
    </row>
    <row r="40" spans="2:18" x14ac:dyDescent="0.2">
      <c r="B40" s="607"/>
      <c r="C40" s="608"/>
      <c r="D40" s="608"/>
      <c r="E40" s="608"/>
      <c r="F40" s="608"/>
      <c r="G40" s="608"/>
      <c r="H40" s="608"/>
      <c r="I40" s="608"/>
      <c r="J40" s="608"/>
      <c r="K40" s="608"/>
      <c r="L40" s="608"/>
      <c r="M40" s="608"/>
      <c r="N40" s="608"/>
      <c r="O40" s="608"/>
      <c r="P40" s="608"/>
      <c r="Q40" s="608"/>
      <c r="R40" s="609"/>
    </row>
    <row r="41" spans="2:18" x14ac:dyDescent="0.2">
      <c r="B41" s="607"/>
      <c r="C41" s="608"/>
      <c r="D41" s="608"/>
      <c r="E41" s="608"/>
      <c r="F41" s="608"/>
      <c r="G41" s="608"/>
      <c r="H41" s="608"/>
      <c r="I41" s="608"/>
      <c r="J41" s="608"/>
      <c r="K41" s="608"/>
      <c r="L41" s="608"/>
      <c r="M41" s="608"/>
      <c r="N41" s="608"/>
      <c r="O41" s="608"/>
      <c r="P41" s="608"/>
      <c r="Q41" s="608"/>
      <c r="R41" s="609"/>
    </row>
    <row r="42" spans="2:18" x14ac:dyDescent="0.2">
      <c r="B42" s="607"/>
      <c r="C42" s="608"/>
      <c r="D42" s="608"/>
      <c r="E42" s="608"/>
      <c r="F42" s="608"/>
      <c r="G42" s="608"/>
      <c r="H42" s="608"/>
      <c r="I42" s="608"/>
      <c r="J42" s="608"/>
      <c r="K42" s="608"/>
      <c r="L42" s="608"/>
      <c r="M42" s="608"/>
      <c r="N42" s="608"/>
      <c r="O42" s="608"/>
      <c r="P42" s="608"/>
      <c r="Q42" s="608"/>
      <c r="R42" s="609"/>
    </row>
    <row r="43" spans="2:18" x14ac:dyDescent="0.2">
      <c r="B43" s="607"/>
      <c r="C43" s="608"/>
      <c r="D43" s="608"/>
      <c r="E43" s="608"/>
      <c r="F43" s="608"/>
      <c r="G43" s="608"/>
      <c r="H43" s="608"/>
      <c r="I43" s="608"/>
      <c r="J43" s="608"/>
      <c r="K43" s="608"/>
      <c r="L43" s="608"/>
      <c r="M43" s="608"/>
      <c r="N43" s="608"/>
      <c r="O43" s="608"/>
      <c r="P43" s="608"/>
      <c r="Q43" s="608"/>
      <c r="R43" s="609"/>
    </row>
    <row r="44" spans="2:18" x14ac:dyDescent="0.2">
      <c r="B44" s="607"/>
      <c r="C44" s="608"/>
      <c r="D44" s="608"/>
      <c r="E44" s="608"/>
      <c r="F44" s="608"/>
      <c r="G44" s="608"/>
      <c r="H44" s="608"/>
      <c r="I44" s="608"/>
      <c r="J44" s="608"/>
      <c r="K44" s="608"/>
      <c r="L44" s="608"/>
      <c r="M44" s="608"/>
      <c r="N44" s="608"/>
      <c r="O44" s="608"/>
      <c r="P44" s="608"/>
      <c r="Q44" s="608"/>
      <c r="R44" s="609"/>
    </row>
    <row r="45" spans="2:18" x14ac:dyDescent="0.2">
      <c r="B45" s="607"/>
      <c r="C45" s="608"/>
      <c r="D45" s="608"/>
      <c r="E45" s="608"/>
      <c r="F45" s="608"/>
      <c r="G45" s="608"/>
      <c r="H45" s="608"/>
      <c r="I45" s="608"/>
      <c r="J45" s="608"/>
      <c r="K45" s="608"/>
      <c r="L45" s="608"/>
      <c r="M45" s="608"/>
      <c r="N45" s="608"/>
      <c r="O45" s="608"/>
      <c r="P45" s="608"/>
      <c r="Q45" s="608"/>
      <c r="R45" s="609"/>
    </row>
    <row r="46" spans="2:18" x14ac:dyDescent="0.2">
      <c r="B46" s="607"/>
      <c r="C46" s="608"/>
      <c r="D46" s="608"/>
      <c r="E46" s="608"/>
      <c r="F46" s="608"/>
      <c r="G46" s="608"/>
      <c r="H46" s="608"/>
      <c r="I46" s="608"/>
      <c r="J46" s="608"/>
      <c r="K46" s="608"/>
      <c r="L46" s="608"/>
      <c r="M46" s="608"/>
      <c r="N46" s="608"/>
      <c r="O46" s="608"/>
      <c r="P46" s="608"/>
      <c r="Q46" s="608"/>
      <c r="R46" s="609"/>
    </row>
    <row r="47" spans="2:18" x14ac:dyDescent="0.2">
      <c r="B47" s="607"/>
      <c r="C47" s="608"/>
      <c r="D47" s="608"/>
      <c r="E47" s="608"/>
      <c r="F47" s="608"/>
      <c r="G47" s="608"/>
      <c r="H47" s="608"/>
      <c r="I47" s="608"/>
      <c r="J47" s="608"/>
      <c r="K47" s="608"/>
      <c r="L47" s="608"/>
      <c r="M47" s="608"/>
      <c r="N47" s="608"/>
      <c r="O47" s="608"/>
      <c r="P47" s="608"/>
      <c r="Q47" s="608"/>
      <c r="R47" s="609"/>
    </row>
    <row r="48" spans="2:18" x14ac:dyDescent="0.2">
      <c r="B48" s="607"/>
      <c r="C48" s="608"/>
      <c r="D48" s="608"/>
      <c r="E48" s="608"/>
      <c r="F48" s="608"/>
      <c r="G48" s="608"/>
      <c r="H48" s="608"/>
      <c r="I48" s="608"/>
      <c r="J48" s="608"/>
      <c r="K48" s="608"/>
      <c r="L48" s="608"/>
      <c r="M48" s="608"/>
      <c r="N48" s="608"/>
      <c r="O48" s="608"/>
      <c r="P48" s="608"/>
      <c r="Q48" s="608"/>
      <c r="R48" s="609"/>
    </row>
    <row r="49" spans="2:18" x14ac:dyDescent="0.2">
      <c r="B49" s="607"/>
      <c r="C49" s="608"/>
      <c r="D49" s="608"/>
      <c r="E49" s="608"/>
      <c r="F49" s="608"/>
      <c r="G49" s="608"/>
      <c r="H49" s="608"/>
      <c r="I49" s="608"/>
      <c r="J49" s="608"/>
      <c r="K49" s="608"/>
      <c r="L49" s="608"/>
      <c r="M49" s="608"/>
      <c r="N49" s="608"/>
      <c r="O49" s="608"/>
      <c r="P49" s="608"/>
      <c r="Q49" s="608"/>
      <c r="R49" s="609"/>
    </row>
    <row r="50" spans="2:18" x14ac:dyDescent="0.2">
      <c r="B50" s="607"/>
      <c r="C50" s="608"/>
      <c r="D50" s="608"/>
      <c r="E50" s="608"/>
      <c r="F50" s="608"/>
      <c r="G50" s="608"/>
      <c r="H50" s="608"/>
      <c r="I50" s="608"/>
      <c r="J50" s="608"/>
      <c r="K50" s="608"/>
      <c r="L50" s="608"/>
      <c r="M50" s="608"/>
      <c r="N50" s="608"/>
      <c r="O50" s="608"/>
      <c r="P50" s="608"/>
      <c r="Q50" s="608"/>
      <c r="R50" s="609"/>
    </row>
    <row r="51" spans="2:18" x14ac:dyDescent="0.2">
      <c r="B51" s="607"/>
      <c r="C51" s="608"/>
      <c r="D51" s="608"/>
      <c r="E51" s="608"/>
      <c r="F51" s="608"/>
      <c r="G51" s="608"/>
      <c r="H51" s="608"/>
      <c r="I51" s="608"/>
      <c r="J51" s="608"/>
      <c r="K51" s="608"/>
      <c r="L51" s="608"/>
      <c r="M51" s="608"/>
      <c r="N51" s="608"/>
      <c r="O51" s="608"/>
      <c r="P51" s="608"/>
      <c r="Q51" s="608"/>
      <c r="R51" s="609"/>
    </row>
    <row r="52" spans="2:18" x14ac:dyDescent="0.2">
      <c r="B52" s="607"/>
      <c r="C52" s="608"/>
      <c r="D52" s="608"/>
      <c r="E52" s="608"/>
      <c r="F52" s="608"/>
      <c r="G52" s="608"/>
      <c r="H52" s="608"/>
      <c r="I52" s="608"/>
      <c r="J52" s="608"/>
      <c r="K52" s="608"/>
      <c r="L52" s="608"/>
      <c r="M52" s="608"/>
      <c r="N52" s="608"/>
      <c r="O52" s="608"/>
      <c r="P52" s="608"/>
      <c r="Q52" s="608"/>
      <c r="R52" s="609"/>
    </row>
    <row r="53" spans="2:18" x14ac:dyDescent="0.2">
      <c r="B53" s="607"/>
      <c r="C53" s="608"/>
      <c r="D53" s="608"/>
      <c r="E53" s="608"/>
      <c r="F53" s="608"/>
      <c r="G53" s="608"/>
      <c r="H53" s="608"/>
      <c r="I53" s="608"/>
      <c r="J53" s="608"/>
      <c r="K53" s="608"/>
      <c r="L53" s="608"/>
      <c r="M53" s="608"/>
      <c r="N53" s="608"/>
      <c r="O53" s="608"/>
      <c r="P53" s="608"/>
      <c r="Q53" s="608"/>
      <c r="R53" s="609"/>
    </row>
    <row r="54" spans="2:18" x14ac:dyDescent="0.2">
      <c r="B54" s="607"/>
      <c r="C54" s="608"/>
      <c r="D54" s="608"/>
      <c r="E54" s="608"/>
      <c r="F54" s="608"/>
      <c r="G54" s="608"/>
      <c r="H54" s="608"/>
      <c r="I54" s="608"/>
      <c r="J54" s="608"/>
      <c r="K54" s="608"/>
      <c r="L54" s="608"/>
      <c r="M54" s="608"/>
      <c r="N54" s="608"/>
      <c r="O54" s="608"/>
      <c r="P54" s="608"/>
      <c r="Q54" s="608"/>
      <c r="R54" s="609"/>
    </row>
    <row r="55" spans="2:18" x14ac:dyDescent="0.2">
      <c r="B55" s="607"/>
      <c r="C55" s="608"/>
      <c r="D55" s="608"/>
      <c r="E55" s="608"/>
      <c r="F55" s="608"/>
      <c r="G55" s="608"/>
      <c r="H55" s="608"/>
      <c r="I55" s="608"/>
      <c r="J55" s="608"/>
      <c r="K55" s="608"/>
      <c r="L55" s="608"/>
      <c r="M55" s="608"/>
      <c r="N55" s="608"/>
      <c r="O55" s="608"/>
      <c r="P55" s="608"/>
      <c r="Q55" s="608"/>
      <c r="R55" s="609"/>
    </row>
    <row r="56" spans="2:18" x14ac:dyDescent="0.2">
      <c r="B56" s="607"/>
      <c r="C56" s="608"/>
      <c r="D56" s="608"/>
      <c r="E56" s="608"/>
      <c r="F56" s="608"/>
      <c r="G56" s="608"/>
      <c r="H56" s="608"/>
      <c r="I56" s="608"/>
      <c r="J56" s="608"/>
      <c r="K56" s="608"/>
      <c r="L56" s="608"/>
      <c r="M56" s="608"/>
      <c r="N56" s="608"/>
      <c r="O56" s="608"/>
      <c r="P56" s="608"/>
      <c r="Q56" s="608"/>
      <c r="R56" s="609"/>
    </row>
    <row r="57" spans="2:18" x14ac:dyDescent="0.2">
      <c r="B57" s="607"/>
      <c r="C57" s="608"/>
      <c r="D57" s="608"/>
      <c r="E57" s="608"/>
      <c r="F57" s="608"/>
      <c r="G57" s="608"/>
      <c r="H57" s="608"/>
      <c r="I57" s="608"/>
      <c r="J57" s="608"/>
      <c r="K57" s="608"/>
      <c r="L57" s="608"/>
      <c r="M57" s="608"/>
      <c r="N57" s="608"/>
      <c r="O57" s="608"/>
      <c r="P57" s="608"/>
      <c r="Q57" s="608"/>
      <c r="R57" s="609"/>
    </row>
    <row r="58" spans="2:18" x14ac:dyDescent="0.2">
      <c r="B58" s="607"/>
      <c r="C58" s="608"/>
      <c r="D58" s="608"/>
      <c r="E58" s="608"/>
      <c r="F58" s="608"/>
      <c r="G58" s="608"/>
      <c r="H58" s="608"/>
      <c r="I58" s="608"/>
      <c r="J58" s="608"/>
      <c r="K58" s="608"/>
      <c r="L58" s="608"/>
      <c r="M58" s="608"/>
      <c r="N58" s="608"/>
      <c r="O58" s="608"/>
      <c r="P58" s="608"/>
      <c r="Q58" s="608"/>
      <c r="R58" s="609"/>
    </row>
    <row r="59" spans="2:18" x14ac:dyDescent="0.2">
      <c r="B59" s="607"/>
      <c r="C59" s="608"/>
      <c r="D59" s="608"/>
      <c r="E59" s="608"/>
      <c r="F59" s="608"/>
      <c r="G59" s="608"/>
      <c r="H59" s="608"/>
      <c r="I59" s="608"/>
      <c r="J59" s="608"/>
      <c r="K59" s="608"/>
      <c r="L59" s="608"/>
      <c r="M59" s="608"/>
      <c r="N59" s="608"/>
      <c r="O59" s="608"/>
      <c r="P59" s="608"/>
      <c r="Q59" s="608"/>
      <c r="R59" s="609"/>
    </row>
    <row r="60" spans="2:18" x14ac:dyDescent="0.2">
      <c r="B60" s="607"/>
      <c r="C60" s="608"/>
      <c r="D60" s="608"/>
      <c r="E60" s="608"/>
      <c r="F60" s="608"/>
      <c r="G60" s="608"/>
      <c r="H60" s="608"/>
      <c r="I60" s="608"/>
      <c r="J60" s="608"/>
      <c r="K60" s="608"/>
      <c r="L60" s="608"/>
      <c r="M60" s="608"/>
      <c r="N60" s="608"/>
      <c r="O60" s="608"/>
      <c r="P60" s="608"/>
      <c r="Q60" s="608"/>
      <c r="R60" s="609"/>
    </row>
    <row r="61" spans="2:18" x14ac:dyDescent="0.2">
      <c r="B61" s="607"/>
      <c r="C61" s="608"/>
      <c r="D61" s="608"/>
      <c r="E61" s="608"/>
      <c r="F61" s="608"/>
      <c r="G61" s="608"/>
      <c r="H61" s="608"/>
      <c r="I61" s="608"/>
      <c r="J61" s="608"/>
      <c r="K61" s="608"/>
      <c r="L61" s="608"/>
      <c r="M61" s="608"/>
      <c r="N61" s="608"/>
      <c r="O61" s="608"/>
      <c r="P61" s="608"/>
      <c r="Q61" s="608"/>
      <c r="R61" s="609"/>
    </row>
    <row r="62" spans="2:18" x14ac:dyDescent="0.2">
      <c r="B62" s="607"/>
      <c r="C62" s="608"/>
      <c r="D62" s="608"/>
      <c r="E62" s="608"/>
      <c r="F62" s="608"/>
      <c r="G62" s="608"/>
      <c r="H62" s="608"/>
      <c r="I62" s="608"/>
      <c r="J62" s="608"/>
      <c r="K62" s="608"/>
      <c r="L62" s="608"/>
      <c r="M62" s="608"/>
      <c r="N62" s="608"/>
      <c r="O62" s="608"/>
      <c r="P62" s="608"/>
      <c r="Q62" s="608"/>
      <c r="R62" s="609"/>
    </row>
    <row r="63" spans="2:18" x14ac:dyDescent="0.2">
      <c r="B63" s="607"/>
      <c r="C63" s="608"/>
      <c r="D63" s="608"/>
      <c r="E63" s="608"/>
      <c r="F63" s="608"/>
      <c r="G63" s="608"/>
      <c r="H63" s="608"/>
      <c r="I63" s="608"/>
      <c r="J63" s="608"/>
      <c r="K63" s="608"/>
      <c r="L63" s="608"/>
      <c r="M63" s="608"/>
      <c r="N63" s="608"/>
      <c r="O63" s="608"/>
      <c r="P63" s="608"/>
      <c r="Q63" s="608"/>
      <c r="R63" s="609"/>
    </row>
    <row r="64" spans="2:18" x14ac:dyDescent="0.2">
      <c r="B64" s="607"/>
      <c r="C64" s="608"/>
      <c r="D64" s="608"/>
      <c r="E64" s="608"/>
      <c r="F64" s="608"/>
      <c r="G64" s="608"/>
      <c r="H64" s="608"/>
      <c r="I64" s="608"/>
      <c r="J64" s="608"/>
      <c r="K64" s="608"/>
      <c r="L64" s="608"/>
      <c r="M64" s="608"/>
      <c r="N64" s="608"/>
      <c r="O64" s="608"/>
      <c r="P64" s="608"/>
      <c r="Q64" s="608"/>
      <c r="R64" s="609"/>
    </row>
    <row r="65" spans="2:18" x14ac:dyDescent="0.2">
      <c r="B65" s="607"/>
      <c r="C65" s="608"/>
      <c r="D65" s="608"/>
      <c r="E65" s="608"/>
      <c r="F65" s="608"/>
      <c r="G65" s="608"/>
      <c r="H65" s="608"/>
      <c r="I65" s="608"/>
      <c r="J65" s="608"/>
      <c r="K65" s="608"/>
      <c r="L65" s="608"/>
      <c r="M65" s="608"/>
      <c r="N65" s="608"/>
      <c r="O65" s="608"/>
      <c r="P65" s="608"/>
      <c r="Q65" s="608"/>
      <c r="R65" s="609"/>
    </row>
    <row r="66" spans="2:18" x14ac:dyDescent="0.2">
      <c r="B66" s="607"/>
      <c r="C66" s="608"/>
      <c r="D66" s="608"/>
      <c r="E66" s="608"/>
      <c r="F66" s="608"/>
      <c r="G66" s="608"/>
      <c r="H66" s="608"/>
      <c r="I66" s="608"/>
      <c r="J66" s="608"/>
      <c r="K66" s="608"/>
      <c r="L66" s="608"/>
      <c r="M66" s="608"/>
      <c r="N66" s="608"/>
      <c r="O66" s="608"/>
      <c r="P66" s="608"/>
      <c r="Q66" s="608"/>
      <c r="R66" s="609"/>
    </row>
    <row r="67" spans="2:18" x14ac:dyDescent="0.2">
      <c r="B67" s="607"/>
      <c r="C67" s="608"/>
      <c r="D67" s="608"/>
      <c r="E67" s="608"/>
      <c r="F67" s="608"/>
      <c r="G67" s="608"/>
      <c r="H67" s="608"/>
      <c r="I67" s="608"/>
      <c r="J67" s="608"/>
      <c r="K67" s="608"/>
      <c r="L67" s="608"/>
      <c r="M67" s="608"/>
      <c r="N67" s="608"/>
      <c r="O67" s="608"/>
      <c r="P67" s="608"/>
      <c r="Q67" s="608"/>
      <c r="R67" s="609"/>
    </row>
    <row r="68" spans="2:18" x14ac:dyDescent="0.2">
      <c r="B68" s="607"/>
      <c r="C68" s="608"/>
      <c r="D68" s="608"/>
      <c r="E68" s="608"/>
      <c r="F68" s="608"/>
      <c r="G68" s="608"/>
      <c r="H68" s="608"/>
      <c r="I68" s="608"/>
      <c r="J68" s="608"/>
      <c r="K68" s="608"/>
      <c r="L68" s="608"/>
      <c r="M68" s="608"/>
      <c r="N68" s="608"/>
      <c r="O68" s="608"/>
      <c r="P68" s="608"/>
      <c r="Q68" s="608"/>
      <c r="R68" s="609"/>
    </row>
    <row r="69" spans="2:18" x14ac:dyDescent="0.2">
      <c r="B69" s="607"/>
      <c r="C69" s="608"/>
      <c r="D69" s="608"/>
      <c r="E69" s="608"/>
      <c r="F69" s="608"/>
      <c r="G69" s="608"/>
      <c r="H69" s="608"/>
      <c r="I69" s="608"/>
      <c r="J69" s="608"/>
      <c r="K69" s="608"/>
      <c r="L69" s="608"/>
      <c r="M69" s="608"/>
      <c r="N69" s="608"/>
      <c r="O69" s="608"/>
      <c r="P69" s="608"/>
      <c r="Q69" s="608"/>
      <c r="R69" s="609"/>
    </row>
    <row r="70" spans="2:18" x14ac:dyDescent="0.2">
      <c r="B70" s="607"/>
      <c r="C70" s="608"/>
      <c r="D70" s="608"/>
      <c r="E70" s="608"/>
      <c r="F70" s="608"/>
      <c r="G70" s="608"/>
      <c r="H70" s="608"/>
      <c r="I70" s="608"/>
      <c r="J70" s="608"/>
      <c r="K70" s="608"/>
      <c r="L70" s="608"/>
      <c r="M70" s="608"/>
      <c r="N70" s="608"/>
      <c r="O70" s="608"/>
      <c r="P70" s="608"/>
      <c r="Q70" s="608"/>
      <c r="R70" s="609"/>
    </row>
    <row r="71" spans="2:18" x14ac:dyDescent="0.2">
      <c r="B71" s="607"/>
      <c r="C71" s="608"/>
      <c r="D71" s="608"/>
      <c r="E71" s="608"/>
      <c r="F71" s="608"/>
      <c r="G71" s="608"/>
      <c r="H71" s="608"/>
      <c r="I71" s="608"/>
      <c r="J71" s="608"/>
      <c r="K71" s="608"/>
      <c r="L71" s="608"/>
      <c r="M71" s="608"/>
      <c r="N71" s="608"/>
      <c r="O71" s="608"/>
      <c r="P71" s="608"/>
      <c r="Q71" s="608"/>
      <c r="R71" s="609"/>
    </row>
    <row r="72" spans="2:18" x14ac:dyDescent="0.2">
      <c r="B72" s="607"/>
      <c r="C72" s="608"/>
      <c r="D72" s="608"/>
      <c r="E72" s="608"/>
      <c r="F72" s="608"/>
      <c r="G72" s="608"/>
      <c r="H72" s="608"/>
      <c r="I72" s="608"/>
      <c r="J72" s="608"/>
      <c r="K72" s="608"/>
      <c r="L72" s="608"/>
      <c r="M72" s="608"/>
      <c r="N72" s="608"/>
      <c r="O72" s="608"/>
      <c r="P72" s="608"/>
      <c r="Q72" s="608"/>
      <c r="R72" s="609"/>
    </row>
    <row r="73" spans="2:18" x14ac:dyDescent="0.2">
      <c r="B73" s="607"/>
      <c r="C73" s="608"/>
      <c r="D73" s="608"/>
      <c r="E73" s="608"/>
      <c r="F73" s="608"/>
      <c r="G73" s="608"/>
      <c r="H73" s="608"/>
      <c r="I73" s="608"/>
      <c r="J73" s="608"/>
      <c r="K73" s="608"/>
      <c r="L73" s="608"/>
      <c r="M73" s="608"/>
      <c r="N73" s="608"/>
      <c r="O73" s="608"/>
      <c r="P73" s="608"/>
      <c r="Q73" s="608"/>
      <c r="R73" s="609"/>
    </row>
    <row r="74" spans="2:18" x14ac:dyDescent="0.2">
      <c r="B74" s="607"/>
      <c r="C74" s="608"/>
      <c r="D74" s="608"/>
      <c r="E74" s="608"/>
      <c r="F74" s="608"/>
      <c r="G74" s="608"/>
      <c r="H74" s="608"/>
      <c r="I74" s="608"/>
      <c r="J74" s="608"/>
      <c r="K74" s="608"/>
      <c r="L74" s="608"/>
      <c r="M74" s="608"/>
      <c r="N74" s="608"/>
      <c r="O74" s="608"/>
      <c r="P74" s="608"/>
      <c r="Q74" s="608"/>
      <c r="R74" s="609"/>
    </row>
    <row r="75" spans="2:18" x14ac:dyDescent="0.2">
      <c r="B75" s="607"/>
      <c r="C75" s="608"/>
      <c r="D75" s="608"/>
      <c r="E75" s="608"/>
      <c r="F75" s="608"/>
      <c r="G75" s="608"/>
      <c r="H75" s="608"/>
      <c r="I75" s="608"/>
      <c r="J75" s="608"/>
      <c r="K75" s="608"/>
      <c r="L75" s="608"/>
      <c r="M75" s="608"/>
      <c r="N75" s="608"/>
      <c r="O75" s="608"/>
      <c r="P75" s="608"/>
      <c r="Q75" s="608"/>
      <c r="R75" s="609"/>
    </row>
    <row r="76" spans="2:18" x14ac:dyDescent="0.2">
      <c r="B76" s="607"/>
      <c r="C76" s="608"/>
      <c r="D76" s="608"/>
      <c r="E76" s="608"/>
      <c r="F76" s="608"/>
      <c r="G76" s="608"/>
      <c r="H76" s="608"/>
      <c r="I76" s="608"/>
      <c r="J76" s="608"/>
      <c r="K76" s="608"/>
      <c r="L76" s="608"/>
      <c r="M76" s="608"/>
      <c r="N76" s="608"/>
      <c r="O76" s="608"/>
      <c r="P76" s="608"/>
      <c r="Q76" s="608"/>
      <c r="R76" s="609"/>
    </row>
    <row r="77" spans="2:18" x14ac:dyDescent="0.2">
      <c r="B77" s="607"/>
      <c r="C77" s="608"/>
      <c r="D77" s="608"/>
      <c r="E77" s="608"/>
      <c r="F77" s="608"/>
      <c r="G77" s="608"/>
      <c r="H77" s="608"/>
      <c r="I77" s="608"/>
      <c r="J77" s="608"/>
      <c r="K77" s="608"/>
      <c r="L77" s="608"/>
      <c r="M77" s="608"/>
      <c r="N77" s="608"/>
      <c r="O77" s="608"/>
      <c r="P77" s="608"/>
      <c r="Q77" s="608"/>
      <c r="R77" s="609"/>
    </row>
    <row r="78" spans="2:18" x14ac:dyDescent="0.2">
      <c r="B78" s="607"/>
      <c r="C78" s="608"/>
      <c r="D78" s="608"/>
      <c r="E78" s="608"/>
      <c r="F78" s="608"/>
      <c r="G78" s="608"/>
      <c r="H78" s="608"/>
      <c r="I78" s="608"/>
      <c r="J78" s="608"/>
      <c r="K78" s="608"/>
      <c r="L78" s="608"/>
      <c r="M78" s="608"/>
      <c r="N78" s="608"/>
      <c r="O78" s="608"/>
      <c r="P78" s="608"/>
      <c r="Q78" s="608"/>
      <c r="R78" s="609"/>
    </row>
    <row r="79" spans="2:18" x14ac:dyDescent="0.2">
      <c r="B79" s="607"/>
      <c r="C79" s="608"/>
      <c r="D79" s="608"/>
      <c r="E79" s="608"/>
      <c r="F79" s="608"/>
      <c r="G79" s="608"/>
      <c r="H79" s="608"/>
      <c r="I79" s="608"/>
      <c r="J79" s="608"/>
      <c r="K79" s="608"/>
      <c r="L79" s="608"/>
      <c r="M79" s="608"/>
      <c r="N79" s="608"/>
      <c r="O79" s="608"/>
      <c r="P79" s="608"/>
      <c r="Q79" s="608"/>
      <c r="R79" s="609"/>
    </row>
    <row r="80" spans="2:18" x14ac:dyDescent="0.2">
      <c r="B80" s="607"/>
      <c r="C80" s="608"/>
      <c r="D80" s="608"/>
      <c r="E80" s="608"/>
      <c r="F80" s="608"/>
      <c r="G80" s="608"/>
      <c r="H80" s="608"/>
      <c r="I80" s="608"/>
      <c r="J80" s="608"/>
      <c r="K80" s="608"/>
      <c r="L80" s="608"/>
      <c r="M80" s="608"/>
      <c r="N80" s="608"/>
      <c r="O80" s="608"/>
      <c r="P80" s="608"/>
      <c r="Q80" s="608"/>
      <c r="R80" s="609"/>
    </row>
    <row r="81" spans="2:18" x14ac:dyDescent="0.2">
      <c r="B81" s="607"/>
      <c r="C81" s="608"/>
      <c r="D81" s="608"/>
      <c r="E81" s="608"/>
      <c r="F81" s="608"/>
      <c r="G81" s="608"/>
      <c r="H81" s="608"/>
      <c r="I81" s="608"/>
      <c r="J81" s="608"/>
      <c r="K81" s="608"/>
      <c r="L81" s="608"/>
      <c r="M81" s="608"/>
      <c r="N81" s="608"/>
      <c r="O81" s="608"/>
      <c r="P81" s="608"/>
      <c r="Q81" s="608"/>
      <c r="R81" s="609"/>
    </row>
    <row r="82" spans="2:18" x14ac:dyDescent="0.2">
      <c r="B82" s="607"/>
      <c r="C82" s="608"/>
      <c r="D82" s="608"/>
      <c r="E82" s="608"/>
      <c r="F82" s="608"/>
      <c r="G82" s="608"/>
      <c r="H82" s="608"/>
      <c r="I82" s="608"/>
      <c r="J82" s="608"/>
      <c r="K82" s="608"/>
      <c r="L82" s="608"/>
      <c r="M82" s="608"/>
      <c r="N82" s="608"/>
      <c r="O82" s="608"/>
      <c r="P82" s="608"/>
      <c r="Q82" s="608"/>
      <c r="R82" s="609"/>
    </row>
    <row r="83" spans="2:18" x14ac:dyDescent="0.2">
      <c r="B83" s="607"/>
      <c r="C83" s="608"/>
      <c r="D83" s="608"/>
      <c r="E83" s="608"/>
      <c r="F83" s="608"/>
      <c r="G83" s="608"/>
      <c r="H83" s="608"/>
      <c r="I83" s="608"/>
      <c r="J83" s="608"/>
      <c r="K83" s="608"/>
      <c r="L83" s="608"/>
      <c r="M83" s="608"/>
      <c r="N83" s="608"/>
      <c r="O83" s="608"/>
      <c r="P83" s="608"/>
      <c r="Q83" s="608"/>
      <c r="R83" s="609"/>
    </row>
    <row r="84" spans="2:18" x14ac:dyDescent="0.2">
      <c r="B84" s="607"/>
      <c r="C84" s="608"/>
      <c r="D84" s="608"/>
      <c r="E84" s="608"/>
      <c r="F84" s="608"/>
      <c r="G84" s="608"/>
      <c r="H84" s="608"/>
      <c r="I84" s="608"/>
      <c r="J84" s="608"/>
      <c r="K84" s="608"/>
      <c r="L84" s="608"/>
      <c r="M84" s="608"/>
      <c r="N84" s="608"/>
      <c r="O84" s="608"/>
      <c r="P84" s="608"/>
      <c r="Q84" s="608"/>
      <c r="R84" s="609"/>
    </row>
    <row r="85" spans="2:18" x14ac:dyDescent="0.2">
      <c r="B85" s="607"/>
      <c r="C85" s="608"/>
      <c r="D85" s="608"/>
      <c r="E85" s="608"/>
      <c r="F85" s="608"/>
      <c r="G85" s="608"/>
      <c r="H85" s="608"/>
      <c r="I85" s="608"/>
      <c r="J85" s="608"/>
      <c r="K85" s="608"/>
      <c r="L85" s="608"/>
      <c r="M85" s="608"/>
      <c r="N85" s="608"/>
      <c r="O85" s="608"/>
      <c r="P85" s="608"/>
      <c r="Q85" s="608"/>
      <c r="R85" s="609"/>
    </row>
    <row r="86" spans="2:18" x14ac:dyDescent="0.2">
      <c r="B86" s="607"/>
      <c r="C86" s="608"/>
      <c r="D86" s="608"/>
      <c r="E86" s="608"/>
      <c r="F86" s="608"/>
      <c r="G86" s="608"/>
      <c r="H86" s="608"/>
      <c r="I86" s="608"/>
      <c r="J86" s="608"/>
      <c r="K86" s="608"/>
      <c r="L86" s="608"/>
      <c r="M86" s="608"/>
      <c r="N86" s="608"/>
      <c r="O86" s="608"/>
      <c r="P86" s="608"/>
      <c r="Q86" s="608"/>
      <c r="R86" s="609"/>
    </row>
    <row r="87" spans="2:18" x14ac:dyDescent="0.2">
      <c r="B87" s="607"/>
      <c r="C87" s="608"/>
      <c r="D87" s="608"/>
      <c r="E87" s="608"/>
      <c r="F87" s="608"/>
      <c r="G87" s="608"/>
      <c r="H87" s="608"/>
      <c r="I87" s="608"/>
      <c r="J87" s="608"/>
      <c r="K87" s="608"/>
      <c r="L87" s="608"/>
      <c r="M87" s="608"/>
      <c r="N87" s="608"/>
      <c r="O87" s="608"/>
      <c r="P87" s="608"/>
      <c r="Q87" s="608"/>
      <c r="R87" s="609"/>
    </row>
    <row r="88" spans="2:18" x14ac:dyDescent="0.2">
      <c r="B88" s="607"/>
      <c r="C88" s="608"/>
      <c r="D88" s="608"/>
      <c r="E88" s="608"/>
      <c r="F88" s="608"/>
      <c r="G88" s="608"/>
      <c r="H88" s="608"/>
      <c r="I88" s="608"/>
      <c r="J88" s="608"/>
      <c r="K88" s="608"/>
      <c r="L88" s="608"/>
      <c r="M88" s="608"/>
      <c r="N88" s="608"/>
      <c r="O88" s="608"/>
      <c r="P88" s="608"/>
      <c r="Q88" s="608"/>
      <c r="R88" s="609"/>
    </row>
    <row r="89" spans="2:18" x14ac:dyDescent="0.2">
      <c r="B89" s="607"/>
      <c r="C89" s="608"/>
      <c r="D89" s="608"/>
      <c r="E89" s="608"/>
      <c r="F89" s="608"/>
      <c r="G89" s="608"/>
      <c r="H89" s="608"/>
      <c r="I89" s="608"/>
      <c r="J89" s="608"/>
      <c r="K89" s="608"/>
      <c r="L89" s="608"/>
      <c r="M89" s="608"/>
      <c r="N89" s="608"/>
      <c r="O89" s="608"/>
      <c r="P89" s="608"/>
      <c r="Q89" s="608"/>
      <c r="R89" s="609"/>
    </row>
    <row r="90" spans="2:18" x14ac:dyDescent="0.2">
      <c r="B90" s="607"/>
      <c r="C90" s="608"/>
      <c r="D90" s="608"/>
      <c r="E90" s="608"/>
      <c r="F90" s="608"/>
      <c r="G90" s="608"/>
      <c r="H90" s="608"/>
      <c r="I90" s="608"/>
      <c r="J90" s="608"/>
      <c r="K90" s="608"/>
      <c r="L90" s="608"/>
      <c r="M90" s="608"/>
      <c r="N90" s="608"/>
      <c r="O90" s="608"/>
      <c r="P90" s="608"/>
      <c r="Q90" s="608"/>
      <c r="R90" s="609"/>
    </row>
    <row r="91" spans="2:18" x14ac:dyDescent="0.2">
      <c r="B91" s="607"/>
      <c r="C91" s="608"/>
      <c r="D91" s="608"/>
      <c r="E91" s="608"/>
      <c r="F91" s="608"/>
      <c r="G91" s="608"/>
      <c r="H91" s="608"/>
      <c r="I91" s="608"/>
      <c r="J91" s="608"/>
      <c r="K91" s="608"/>
      <c r="L91" s="608"/>
      <c r="M91" s="608"/>
      <c r="N91" s="608"/>
      <c r="O91" s="608"/>
      <c r="P91" s="608"/>
      <c r="Q91" s="608"/>
      <c r="R91" s="609"/>
    </row>
    <row r="92" spans="2:18" x14ac:dyDescent="0.2">
      <c r="B92" s="607"/>
      <c r="C92" s="608"/>
      <c r="D92" s="608"/>
      <c r="E92" s="608"/>
      <c r="F92" s="608"/>
      <c r="G92" s="608"/>
      <c r="H92" s="608"/>
      <c r="I92" s="608"/>
      <c r="J92" s="608"/>
      <c r="K92" s="608"/>
      <c r="L92" s="608"/>
      <c r="M92" s="608"/>
      <c r="N92" s="608"/>
      <c r="O92" s="608"/>
      <c r="P92" s="608"/>
      <c r="Q92" s="608"/>
      <c r="R92" s="609"/>
    </row>
    <row r="93" spans="2:18" x14ac:dyDescent="0.2">
      <c r="B93" s="607"/>
      <c r="C93" s="608"/>
      <c r="D93" s="608"/>
      <c r="E93" s="608"/>
      <c r="F93" s="608"/>
      <c r="G93" s="608"/>
      <c r="H93" s="608"/>
      <c r="I93" s="608"/>
      <c r="J93" s="608"/>
      <c r="K93" s="608"/>
      <c r="L93" s="608"/>
      <c r="M93" s="608"/>
      <c r="N93" s="608"/>
      <c r="O93" s="608"/>
      <c r="P93" s="608"/>
      <c r="Q93" s="608"/>
      <c r="R93" s="609"/>
    </row>
    <row r="94" spans="2:18" x14ac:dyDescent="0.2">
      <c r="B94" s="607"/>
      <c r="C94" s="608"/>
      <c r="D94" s="608"/>
      <c r="E94" s="608"/>
      <c r="F94" s="608"/>
      <c r="G94" s="608"/>
      <c r="H94" s="608"/>
      <c r="I94" s="608"/>
      <c r="J94" s="608"/>
      <c r="K94" s="608"/>
      <c r="L94" s="608"/>
      <c r="M94" s="608"/>
      <c r="N94" s="608"/>
      <c r="O94" s="608"/>
      <c r="P94" s="608"/>
      <c r="Q94" s="608"/>
      <c r="R94" s="609"/>
    </row>
    <row r="95" spans="2:18" s="155" customFormat="1" ht="15" x14ac:dyDescent="0.25">
      <c r="B95" s="111"/>
      <c r="C95" s="112"/>
      <c r="D95" s="187"/>
      <c r="E95" s="187"/>
      <c r="F95" s="187"/>
      <c r="G95" s="187"/>
      <c r="H95" s="188"/>
      <c r="I95" s="188"/>
      <c r="J95" s="188"/>
      <c r="K95" s="188"/>
      <c r="L95" s="188"/>
      <c r="M95" s="188"/>
      <c r="N95" s="188"/>
      <c r="O95" s="188"/>
      <c r="P95" s="188"/>
      <c r="Q95" s="114" t="s">
        <v>384</v>
      </c>
      <c r="R95" s="115"/>
    </row>
    <row r="174" spans="2:3" ht="13.5" customHeight="1" x14ac:dyDescent="0.3">
      <c r="B174" s="616"/>
      <c r="C174" s="616"/>
    </row>
  </sheetData>
  <sheetProtection algorithmName="SHA-512" hashValue="parttpJPmps0ZOgXzWKi/3daSeh4SB17zWJh9PUTOToqXGd4MDQQyZ0z1+K1FD3lZx/BErl+DvVUYCj6YOJisQ==" saltValue="YCipb4XBxrtICyio7eYJ5g==" spinCount="100000" sheet="1" objects="1" scenarios="1"/>
  <phoneticPr fontId="0" type="noConversion"/>
  <pageMargins left="0.74803149606299213" right="0.74803149606299213" top="0.98425196850393704" bottom="0.98425196850393704" header="0.51181102362204722" footer="0.51181102362204722"/>
  <pageSetup paperSize="9" scale="56" orientation="portrait" r:id="rId1"/>
  <headerFooter alignWithMargins="0">
    <oddHeader>&amp;L&amp;"Arial,Vet"&amp;F&amp;R&amp;"Arial,Vet"&amp;A</oddHeader>
    <oddFooter>&amp;L&amp;"Arial,Vet"PO-Raad&amp;C&amp;"Arial,Vet"&amp;D&amp;R&amp;"Arial,Vet"pagina &amp;P</odd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1"/>
  <dimension ref="A2:O110"/>
  <sheetViews>
    <sheetView zoomScale="85" zoomScaleNormal="85" workbookViewId="0">
      <selection activeCell="B2" sqref="B2"/>
    </sheetView>
  </sheetViews>
  <sheetFormatPr defaultColWidth="9.140625" defaultRowHeight="12.75" x14ac:dyDescent="0.2"/>
  <cols>
    <col min="1" max="1" width="3.7109375" style="48" customWidth="1"/>
    <col min="2" max="2" width="2.7109375" style="48" customWidth="1"/>
    <col min="3" max="3" width="2.85546875" style="48" customWidth="1"/>
    <col min="4" max="4" width="40.7109375" style="48" customWidth="1"/>
    <col min="5" max="5" width="2.7109375" style="48" customWidth="1"/>
    <col min="6" max="9" width="16.85546875" style="48" customWidth="1"/>
    <col min="10" max="10" width="16.85546875" style="48" hidden="1" customWidth="1"/>
    <col min="11" max="12" width="2.7109375" style="48" customWidth="1"/>
    <col min="13" max="16384" width="9.140625" style="48"/>
  </cols>
  <sheetData>
    <row r="2" spans="2:12" x14ac:dyDescent="0.2">
      <c r="B2" s="43"/>
      <c r="C2" s="44"/>
      <c r="D2" s="44"/>
      <c r="E2" s="44"/>
      <c r="F2" s="44"/>
      <c r="G2" s="44"/>
      <c r="H2" s="44"/>
      <c r="I2" s="44"/>
      <c r="J2" s="44"/>
      <c r="K2" s="44"/>
      <c r="L2" s="47"/>
    </row>
    <row r="3" spans="2:12" x14ac:dyDescent="0.2">
      <c r="B3" s="49"/>
      <c r="C3" s="50"/>
      <c r="D3" s="50"/>
      <c r="E3" s="50"/>
      <c r="F3" s="50"/>
      <c r="G3" s="50"/>
      <c r="H3" s="50"/>
      <c r="I3" s="50"/>
      <c r="J3" s="50"/>
      <c r="K3" s="50"/>
      <c r="L3" s="53"/>
    </row>
    <row r="4" spans="2:12" s="130" customFormat="1" ht="18.75" x14ac:dyDescent="0.3">
      <c r="B4" s="60"/>
      <c r="C4" s="673" t="s">
        <v>37</v>
      </c>
      <c r="D4" s="147"/>
      <c r="E4" s="62"/>
      <c r="F4" s="521"/>
      <c r="G4" s="62"/>
      <c r="H4" s="62"/>
      <c r="I4" s="62"/>
      <c r="J4" s="62"/>
      <c r="K4" s="62"/>
      <c r="L4" s="86"/>
    </row>
    <row r="5" spans="2:12" ht="18.75" x14ac:dyDescent="0.3">
      <c r="B5" s="483"/>
      <c r="C5" s="61" t="str">
        <f>geg!G12</f>
        <v>voorbeeld Basisschool</v>
      </c>
      <c r="D5" s="487"/>
      <c r="E5" s="50"/>
      <c r="F5" s="538"/>
      <c r="G5" s="50"/>
      <c r="H5" s="50"/>
      <c r="I5" s="50"/>
      <c r="J5" s="50"/>
      <c r="K5" s="50"/>
      <c r="L5" s="53"/>
    </row>
    <row r="6" spans="2:12" x14ac:dyDescent="0.2">
      <c r="B6" s="49"/>
      <c r="C6" s="50"/>
      <c r="D6" s="50"/>
      <c r="E6" s="50"/>
      <c r="F6" s="50"/>
      <c r="G6" s="50"/>
      <c r="H6" s="50"/>
      <c r="I6" s="50"/>
      <c r="J6" s="50"/>
      <c r="K6" s="50"/>
      <c r="L6" s="53"/>
    </row>
    <row r="7" spans="2:12" x14ac:dyDescent="0.2">
      <c r="B7" s="49"/>
      <c r="C7" s="50"/>
      <c r="D7" s="687"/>
      <c r="E7" s="687"/>
      <c r="F7" s="687"/>
      <c r="G7" s="687"/>
      <c r="H7" s="687"/>
      <c r="I7" s="687"/>
      <c r="J7" s="687"/>
      <c r="K7" s="687"/>
      <c r="L7" s="53"/>
    </row>
    <row r="8" spans="2:12" x14ac:dyDescent="0.2">
      <c r="B8" s="49"/>
      <c r="C8" s="50"/>
      <c r="D8" s="801" t="s">
        <v>339</v>
      </c>
      <c r="E8" s="687"/>
      <c r="F8" s="687"/>
      <c r="G8" s="687"/>
      <c r="H8" s="687"/>
      <c r="I8" s="687"/>
      <c r="J8" s="687"/>
      <c r="K8" s="687"/>
      <c r="L8" s="53"/>
    </row>
    <row r="9" spans="2:12" x14ac:dyDescent="0.2">
      <c r="B9" s="49"/>
      <c r="C9" s="50"/>
      <c r="D9" s="802" t="s">
        <v>536</v>
      </c>
      <c r="E9" s="687"/>
      <c r="F9" s="1175"/>
      <c r="G9" s="1175"/>
      <c r="H9" s="1175"/>
      <c r="I9" s="804"/>
      <c r="J9" s="804"/>
      <c r="K9" s="687"/>
      <c r="L9" s="53"/>
    </row>
    <row r="10" spans="2:12" x14ac:dyDescent="0.2">
      <c r="B10" s="49"/>
      <c r="C10" s="50"/>
      <c r="D10" s="802" t="s">
        <v>38</v>
      </c>
      <c r="E10" s="687"/>
      <c r="F10" s="803"/>
      <c r="G10" s="803"/>
      <c r="H10" s="803"/>
      <c r="I10" s="804"/>
      <c r="J10" s="804"/>
      <c r="K10" s="687"/>
      <c r="L10" s="53"/>
    </row>
    <row r="11" spans="2:12" x14ac:dyDescent="0.2">
      <c r="B11" s="49"/>
      <c r="C11" s="50"/>
      <c r="D11" s="805" t="s">
        <v>30</v>
      </c>
      <c r="E11" s="687"/>
      <c r="F11" s="803"/>
      <c r="G11" s="803"/>
      <c r="H11" s="803"/>
      <c r="I11" s="804"/>
      <c r="J11" s="804"/>
      <c r="K11" s="687"/>
      <c r="L11" s="53"/>
    </row>
    <row r="12" spans="2:12" x14ac:dyDescent="0.2">
      <c r="B12" s="49"/>
      <c r="C12" s="50"/>
      <c r="D12" s="805" t="s">
        <v>118</v>
      </c>
      <c r="E12" s="687"/>
      <c r="F12" s="803"/>
      <c r="G12" s="803"/>
      <c r="H12" s="803"/>
      <c r="I12" s="804"/>
      <c r="J12" s="804"/>
      <c r="K12" s="687"/>
      <c r="L12" s="53"/>
    </row>
    <row r="13" spans="2:12" x14ac:dyDescent="0.2">
      <c r="B13" s="49"/>
      <c r="C13" s="50"/>
      <c r="D13" s="805" t="s">
        <v>390</v>
      </c>
      <c r="E13" s="687"/>
      <c r="F13" s="803"/>
      <c r="G13" s="803"/>
      <c r="H13" s="803"/>
      <c r="I13" s="804"/>
      <c r="J13" s="804"/>
      <c r="K13" s="687"/>
      <c r="L13" s="53"/>
    </row>
    <row r="14" spans="2:12" x14ac:dyDescent="0.2">
      <c r="B14" s="49"/>
      <c r="C14" s="50"/>
      <c r="D14" s="805"/>
      <c r="E14" s="806"/>
      <c r="F14" s="688"/>
      <c r="G14" s="688"/>
      <c r="H14" s="688"/>
      <c r="I14" s="688"/>
      <c r="J14" s="688"/>
      <c r="K14" s="806"/>
      <c r="L14" s="542"/>
    </row>
    <row r="15" spans="2:12" x14ac:dyDescent="0.2">
      <c r="B15" s="49"/>
      <c r="C15" s="50"/>
      <c r="D15" s="805"/>
      <c r="E15" s="806"/>
      <c r="F15" s="688"/>
      <c r="G15" s="688"/>
      <c r="H15" s="688"/>
      <c r="I15" s="688"/>
      <c r="J15" s="688"/>
      <c r="K15" s="806"/>
      <c r="L15" s="542"/>
    </row>
    <row r="16" spans="2:12" s="130" customFormat="1" x14ac:dyDescent="0.2">
      <c r="B16" s="63"/>
      <c r="C16" s="62"/>
      <c r="D16" s="807"/>
      <c r="E16" s="806"/>
      <c r="F16" s="688">
        <f>tab!F4</f>
        <v>2020</v>
      </c>
      <c r="G16" s="688">
        <f>F16+1</f>
        <v>2021</v>
      </c>
      <c r="H16" s="688">
        <f>G16+1</f>
        <v>2022</v>
      </c>
      <c r="I16" s="688">
        <f>H16+1</f>
        <v>2023</v>
      </c>
      <c r="J16" s="688">
        <f>I16+1</f>
        <v>2024</v>
      </c>
      <c r="K16" s="806"/>
      <c r="L16" s="617"/>
    </row>
    <row r="17" spans="1:15" x14ac:dyDescent="0.2">
      <c r="B17" s="49"/>
      <c r="C17" s="50"/>
      <c r="D17" s="50"/>
      <c r="E17" s="484"/>
      <c r="F17" s="50"/>
      <c r="G17" s="50"/>
      <c r="H17" s="50"/>
      <c r="I17" s="50"/>
      <c r="J17" s="50"/>
      <c r="K17" s="484"/>
      <c r="L17" s="542"/>
    </row>
    <row r="18" spans="1:15" x14ac:dyDescent="0.2">
      <c r="B18" s="49"/>
      <c r="C18" s="66"/>
      <c r="D18" s="507"/>
      <c r="E18" s="67"/>
      <c r="F18" s="508"/>
      <c r="G18" s="274"/>
      <c r="H18" s="274"/>
      <c r="I18" s="67"/>
      <c r="J18" s="67"/>
      <c r="K18" s="67"/>
      <c r="L18" s="53"/>
    </row>
    <row r="19" spans="1:15" x14ac:dyDescent="0.2">
      <c r="B19" s="49"/>
      <c r="C19" s="69"/>
      <c r="D19" s="70" t="s">
        <v>3</v>
      </c>
      <c r="E19" s="71"/>
      <c r="F19" s="678" t="str">
        <f>geg!G12</f>
        <v>voorbeeld Basisschool</v>
      </c>
      <c r="G19" s="679"/>
      <c r="H19" s="679"/>
      <c r="I19" s="680"/>
      <c r="J19" s="680"/>
      <c r="K19" s="71"/>
      <c r="L19" s="53"/>
      <c r="O19" s="209"/>
    </row>
    <row r="20" spans="1:15" x14ac:dyDescent="0.2">
      <c r="B20" s="49"/>
      <c r="C20" s="69"/>
      <c r="D20" s="70" t="s">
        <v>4</v>
      </c>
      <c r="E20" s="71"/>
      <c r="F20" s="678" t="str">
        <f>geg!G13</f>
        <v>14XR00</v>
      </c>
      <c r="G20" s="679"/>
      <c r="H20" s="679"/>
      <c r="I20" s="680"/>
      <c r="J20" s="680"/>
      <c r="K20" s="71"/>
      <c r="L20" s="53"/>
      <c r="O20" s="209"/>
    </row>
    <row r="21" spans="1:15" x14ac:dyDescent="0.2">
      <c r="B21" s="49"/>
      <c r="C21" s="69"/>
      <c r="D21" s="70" t="s">
        <v>5</v>
      </c>
      <c r="E21" s="71"/>
      <c r="F21" s="681">
        <f ca="1">TODAY()</f>
        <v>43632</v>
      </c>
      <c r="G21" s="679"/>
      <c r="H21" s="679"/>
      <c r="I21" s="680"/>
      <c r="J21" s="680"/>
      <c r="K21" s="71"/>
      <c r="L21" s="53"/>
      <c r="O21" s="209"/>
    </row>
    <row r="22" spans="1:15" x14ac:dyDescent="0.2">
      <c r="A22" s="137"/>
      <c r="B22" s="138"/>
      <c r="C22" s="139"/>
      <c r="D22" s="70" t="s">
        <v>251</v>
      </c>
      <c r="E22" s="71"/>
      <c r="F22" s="682">
        <f>begr!G14</f>
        <v>2178373.4364145836</v>
      </c>
      <c r="G22" s="682">
        <f>begr!H14</f>
        <v>2147256.1312395837</v>
      </c>
      <c r="H22" s="682">
        <f>begr!I14</f>
        <v>2122820.0800145837</v>
      </c>
      <c r="I22" s="682">
        <f>begr!J14</f>
        <v>2114457.4751333338</v>
      </c>
      <c r="J22" s="682">
        <f>begr!K14</f>
        <v>2128597.6951333336</v>
      </c>
      <c r="K22" s="71"/>
      <c r="L22" s="141"/>
      <c r="O22" s="209"/>
    </row>
    <row r="23" spans="1:15" x14ac:dyDescent="0.2">
      <c r="A23" s="137"/>
      <c r="B23" s="138"/>
      <c r="C23" s="139"/>
      <c r="D23" s="70" t="s">
        <v>363</v>
      </c>
      <c r="E23" s="140"/>
      <c r="F23" s="682">
        <f>begr!G15</f>
        <v>0</v>
      </c>
      <c r="G23" s="682">
        <f>begr!H15</f>
        <v>0</v>
      </c>
      <c r="H23" s="682">
        <f>begr!I15</f>
        <v>0</v>
      </c>
      <c r="I23" s="682">
        <f>begr!J15</f>
        <v>0</v>
      </c>
      <c r="J23" s="682">
        <f>begr!K15</f>
        <v>0</v>
      </c>
      <c r="K23" s="140"/>
      <c r="L23" s="141"/>
      <c r="O23" s="209"/>
    </row>
    <row r="24" spans="1:15" x14ac:dyDescent="0.2">
      <c r="A24" s="137"/>
      <c r="B24" s="138"/>
      <c r="C24" s="139"/>
      <c r="D24" s="70" t="s">
        <v>369</v>
      </c>
      <c r="E24" s="140"/>
      <c r="F24" s="682">
        <f>begr!G16</f>
        <v>0</v>
      </c>
      <c r="G24" s="682">
        <f>begr!H16</f>
        <v>0</v>
      </c>
      <c r="H24" s="682">
        <f>begr!I16</f>
        <v>0</v>
      </c>
      <c r="I24" s="682">
        <f>begr!J16</f>
        <v>0</v>
      </c>
      <c r="J24" s="682">
        <f>begr!K16</f>
        <v>0</v>
      </c>
      <c r="K24" s="140"/>
      <c r="L24" s="141"/>
      <c r="O24" s="209"/>
    </row>
    <row r="25" spans="1:15" x14ac:dyDescent="0.2">
      <c r="A25" s="137"/>
      <c r="B25" s="138"/>
      <c r="C25" s="139"/>
      <c r="D25" s="70" t="s">
        <v>370</v>
      </c>
      <c r="E25" s="140"/>
      <c r="F25" s="682">
        <f>begr!G17</f>
        <v>0</v>
      </c>
      <c r="G25" s="682">
        <f>begr!H17</f>
        <v>0</v>
      </c>
      <c r="H25" s="682">
        <f>begr!I17</f>
        <v>0</v>
      </c>
      <c r="I25" s="682">
        <f>begr!J17</f>
        <v>0</v>
      </c>
      <c r="J25" s="682">
        <f>begr!K17</f>
        <v>0</v>
      </c>
      <c r="K25" s="140"/>
      <c r="L25" s="141"/>
      <c r="O25" s="209"/>
    </row>
    <row r="26" spans="1:15" x14ac:dyDescent="0.2">
      <c r="B26" s="49"/>
      <c r="C26" s="69"/>
      <c r="D26" s="71" t="s">
        <v>247</v>
      </c>
      <c r="E26" s="71"/>
      <c r="F26" s="682">
        <f>begr!G18</f>
        <v>0</v>
      </c>
      <c r="G26" s="682">
        <f>begr!H18</f>
        <v>0</v>
      </c>
      <c r="H26" s="682">
        <f>begr!I18</f>
        <v>0</v>
      </c>
      <c r="I26" s="682">
        <f>begr!J18</f>
        <v>0</v>
      </c>
      <c r="J26" s="682">
        <f>begr!K18</f>
        <v>0</v>
      </c>
      <c r="K26" s="71"/>
      <c r="L26" s="53"/>
    </row>
    <row r="27" spans="1:15" x14ac:dyDescent="0.2">
      <c r="B27" s="49"/>
      <c r="C27" s="69"/>
      <c r="D27" s="149" t="s">
        <v>316</v>
      </c>
      <c r="E27" s="71"/>
      <c r="F27" s="682">
        <f>begr!G21</f>
        <v>7507.2</v>
      </c>
      <c r="G27" s="682">
        <f>begr!H21</f>
        <v>7507.2</v>
      </c>
      <c r="H27" s="682">
        <f>begr!I21</f>
        <v>7507.2</v>
      </c>
      <c r="I27" s="682">
        <f>begr!J21</f>
        <v>7507.2</v>
      </c>
      <c r="J27" s="682">
        <f>begr!K21</f>
        <v>7507.2</v>
      </c>
      <c r="K27" s="71"/>
      <c r="L27" s="53"/>
      <c r="O27" s="260"/>
    </row>
    <row r="28" spans="1:15" x14ac:dyDescent="0.2">
      <c r="B28" s="49"/>
      <c r="C28" s="69"/>
      <c r="D28" s="149" t="s">
        <v>338</v>
      </c>
      <c r="E28" s="71"/>
      <c r="F28" s="682">
        <f>begr!G22</f>
        <v>0</v>
      </c>
      <c r="G28" s="682">
        <f>begr!H22</f>
        <v>0</v>
      </c>
      <c r="H28" s="682">
        <f>begr!I22</f>
        <v>0</v>
      </c>
      <c r="I28" s="682">
        <f>begr!J22</f>
        <v>0</v>
      </c>
      <c r="J28" s="682">
        <f>begr!K22</f>
        <v>0</v>
      </c>
      <c r="K28" s="71"/>
      <c r="L28" s="53"/>
      <c r="O28" s="260"/>
    </row>
    <row r="29" spans="1:15" x14ac:dyDescent="0.2">
      <c r="B29" s="49"/>
      <c r="C29" s="69"/>
      <c r="D29" s="71" t="s">
        <v>249</v>
      </c>
      <c r="E29" s="71"/>
      <c r="F29" s="682">
        <f>begr!G24</f>
        <v>0</v>
      </c>
      <c r="G29" s="682">
        <f>begr!H24</f>
        <v>0</v>
      </c>
      <c r="H29" s="682">
        <f>begr!I24</f>
        <v>0</v>
      </c>
      <c r="I29" s="682">
        <f>begr!J24</f>
        <v>0</v>
      </c>
      <c r="J29" s="682">
        <f>begr!K24</f>
        <v>0</v>
      </c>
      <c r="K29" s="71"/>
      <c r="L29" s="53"/>
    </row>
    <row r="30" spans="1:15" x14ac:dyDescent="0.2">
      <c r="B30" s="49"/>
      <c r="C30" s="69"/>
      <c r="D30" s="71" t="s">
        <v>250</v>
      </c>
      <c r="E30" s="71"/>
      <c r="F30" s="682">
        <f>begr!G25</f>
        <v>0</v>
      </c>
      <c r="G30" s="682">
        <f>begr!H25</f>
        <v>0</v>
      </c>
      <c r="H30" s="682">
        <f>begr!I25</f>
        <v>0</v>
      </c>
      <c r="I30" s="682">
        <f>begr!J25</f>
        <v>0</v>
      </c>
      <c r="J30" s="682">
        <f>begr!K25</f>
        <v>0</v>
      </c>
      <c r="K30" s="71"/>
      <c r="L30" s="53"/>
    </row>
    <row r="31" spans="1:15" x14ac:dyDescent="0.2">
      <c r="B31" s="49"/>
      <c r="C31" s="69"/>
      <c r="D31" s="71" t="s">
        <v>354</v>
      </c>
      <c r="E31" s="71"/>
      <c r="F31" s="682">
        <f>begr!G26</f>
        <v>0</v>
      </c>
      <c r="G31" s="682">
        <f>begr!H26</f>
        <v>0</v>
      </c>
      <c r="H31" s="682">
        <f>begr!I26</f>
        <v>0</v>
      </c>
      <c r="I31" s="682">
        <f>begr!J26</f>
        <v>0</v>
      </c>
      <c r="J31" s="682">
        <f>begr!K26</f>
        <v>0</v>
      </c>
      <c r="K31" s="71"/>
      <c r="L31" s="53"/>
    </row>
    <row r="32" spans="1:15" x14ac:dyDescent="0.2">
      <c r="B32" s="49"/>
      <c r="C32" s="69"/>
      <c r="D32" s="70" t="s">
        <v>232</v>
      </c>
      <c r="E32" s="153"/>
      <c r="F32" s="682">
        <f>begr!G35</f>
        <v>0</v>
      </c>
      <c r="G32" s="682">
        <f>begr!H35</f>
        <v>0</v>
      </c>
      <c r="H32" s="682">
        <f>begr!I35</f>
        <v>0</v>
      </c>
      <c r="I32" s="682">
        <f>begr!J35</f>
        <v>0</v>
      </c>
      <c r="J32" s="682">
        <f>begr!K35</f>
        <v>0</v>
      </c>
      <c r="K32" s="153"/>
      <c r="L32" s="53"/>
      <c r="O32" s="209"/>
    </row>
    <row r="33" spans="2:15" x14ac:dyDescent="0.2">
      <c r="B33" s="49"/>
      <c r="C33" s="69"/>
      <c r="D33" s="70" t="s">
        <v>233</v>
      </c>
      <c r="E33" s="153"/>
      <c r="F33" s="682">
        <f>begr!G36</f>
        <v>0</v>
      </c>
      <c r="G33" s="682">
        <f>begr!H36</f>
        <v>0</v>
      </c>
      <c r="H33" s="682">
        <f>begr!I36</f>
        <v>0</v>
      </c>
      <c r="I33" s="682">
        <f>begr!J36</f>
        <v>0</v>
      </c>
      <c r="J33" s="682">
        <f>begr!K36</f>
        <v>0</v>
      </c>
      <c r="K33" s="153"/>
      <c r="L33" s="53"/>
      <c r="O33" s="209"/>
    </row>
    <row r="34" spans="2:15" x14ac:dyDescent="0.2">
      <c r="B34" s="49"/>
      <c r="C34" s="69"/>
      <c r="D34" s="70" t="s">
        <v>368</v>
      </c>
      <c r="E34" s="153"/>
      <c r="F34" s="682">
        <f>begr!G42</f>
        <v>2170866.2364145834</v>
      </c>
      <c r="G34" s="682">
        <f>begr!H42</f>
        <v>2139748.9312395835</v>
      </c>
      <c r="H34" s="682">
        <f>begr!I42</f>
        <v>2115312.8800145835</v>
      </c>
      <c r="I34" s="682">
        <f>begr!J42</f>
        <v>2106950.2751333336</v>
      </c>
      <c r="J34" s="682">
        <f>begr!K42</f>
        <v>2121090.4951333334</v>
      </c>
      <c r="K34" s="153"/>
      <c r="L34" s="53"/>
      <c r="O34" s="209"/>
    </row>
    <row r="35" spans="2:15" x14ac:dyDescent="0.2">
      <c r="B35" s="49"/>
      <c r="C35" s="69"/>
      <c r="D35" s="71" t="s">
        <v>388</v>
      </c>
      <c r="E35" s="71"/>
      <c r="F35" s="682">
        <f>bal!H17</f>
        <v>0</v>
      </c>
      <c r="G35" s="682">
        <f>bal!I17</f>
        <v>0</v>
      </c>
      <c r="H35" s="682">
        <f>bal!J17</f>
        <v>0</v>
      </c>
      <c r="I35" s="682">
        <f>bal!K17</f>
        <v>0</v>
      </c>
      <c r="J35" s="682">
        <f>bal!L17</f>
        <v>0</v>
      </c>
      <c r="K35" s="71"/>
      <c r="L35" s="53"/>
    </row>
    <row r="36" spans="2:15" x14ac:dyDescent="0.2">
      <c r="B36" s="49"/>
      <c r="C36" s="69"/>
      <c r="D36" s="71" t="s">
        <v>156</v>
      </c>
      <c r="E36" s="71"/>
      <c r="F36" s="682">
        <f>bal!H23</f>
        <v>2170866.2364145834</v>
      </c>
      <c r="G36" s="682">
        <f>bal!I23</f>
        <v>4310615.1676541669</v>
      </c>
      <c r="H36" s="682">
        <f>bal!J23</f>
        <v>6425928.0476687504</v>
      </c>
      <c r="I36" s="682">
        <f>bal!K23</f>
        <v>8532878.3228020836</v>
      </c>
      <c r="J36" s="682">
        <f>bal!L23</f>
        <v>10653968.817935416</v>
      </c>
      <c r="K36" s="71"/>
      <c r="L36" s="53"/>
    </row>
    <row r="37" spans="2:15" x14ac:dyDescent="0.2">
      <c r="B37" s="49"/>
      <c r="C37" s="69"/>
      <c r="D37" s="71" t="s">
        <v>117</v>
      </c>
      <c r="E37" s="71"/>
      <c r="F37" s="682">
        <f>bal!H36</f>
        <v>2170866.2364145834</v>
      </c>
      <c r="G37" s="682">
        <f>bal!I36</f>
        <v>4310615.1676541669</v>
      </c>
      <c r="H37" s="682">
        <f>bal!J36</f>
        <v>6425928.0476687504</v>
      </c>
      <c r="I37" s="682">
        <f>bal!K36</f>
        <v>8532878.3228020836</v>
      </c>
      <c r="J37" s="682">
        <f>bal!L36</f>
        <v>10653968.817935416</v>
      </c>
      <c r="K37" s="71"/>
      <c r="L37" s="53"/>
    </row>
    <row r="38" spans="2:15" x14ac:dyDescent="0.2">
      <c r="B38" s="49"/>
      <c r="C38" s="69"/>
      <c r="D38" s="71" t="s">
        <v>200</v>
      </c>
      <c r="E38" s="71"/>
      <c r="F38" s="682">
        <f>bal!H42</f>
        <v>0</v>
      </c>
      <c r="G38" s="682">
        <f>bal!I42</f>
        <v>0</v>
      </c>
      <c r="H38" s="682">
        <f>bal!J42</f>
        <v>0</v>
      </c>
      <c r="I38" s="682">
        <f>bal!K42</f>
        <v>0</v>
      </c>
      <c r="J38" s="682">
        <f>bal!L42</f>
        <v>0</v>
      </c>
      <c r="K38" s="71"/>
      <c r="L38" s="53"/>
    </row>
    <row r="39" spans="2:15" x14ac:dyDescent="0.2">
      <c r="B39" s="49"/>
      <c r="C39" s="69"/>
      <c r="D39" s="71" t="s">
        <v>158</v>
      </c>
      <c r="E39" s="71"/>
      <c r="F39" s="682">
        <f>bal!H46</f>
        <v>0</v>
      </c>
      <c r="G39" s="682">
        <f>bal!I46</f>
        <v>0</v>
      </c>
      <c r="H39" s="682">
        <f>bal!J46</f>
        <v>0</v>
      </c>
      <c r="I39" s="682">
        <f>bal!K46</f>
        <v>0</v>
      </c>
      <c r="J39" s="682">
        <f>bal!L46</f>
        <v>0</v>
      </c>
      <c r="K39" s="71"/>
      <c r="L39" s="53"/>
    </row>
    <row r="40" spans="2:15" x14ac:dyDescent="0.2">
      <c r="B40" s="49"/>
      <c r="C40" s="69"/>
      <c r="D40" s="71" t="s">
        <v>159</v>
      </c>
      <c r="E40" s="71"/>
      <c r="F40" s="682">
        <f>bal!H55</f>
        <v>0</v>
      </c>
      <c r="G40" s="682">
        <f>bal!I55</f>
        <v>0</v>
      </c>
      <c r="H40" s="682">
        <f>bal!J55</f>
        <v>0</v>
      </c>
      <c r="I40" s="682">
        <f>bal!K55</f>
        <v>0</v>
      </c>
      <c r="J40" s="682">
        <f>bal!L55</f>
        <v>0</v>
      </c>
      <c r="K40" s="71"/>
      <c r="L40" s="53"/>
    </row>
    <row r="41" spans="2:15" x14ac:dyDescent="0.2">
      <c r="B41" s="49"/>
      <c r="C41" s="69"/>
      <c r="D41" s="70" t="s">
        <v>545</v>
      </c>
      <c r="E41" s="71"/>
      <c r="F41" s="684">
        <f>geg!H25</f>
        <v>146</v>
      </c>
      <c r="G41" s="684">
        <f>geg!I25</f>
        <v>146</v>
      </c>
      <c r="H41" s="684">
        <f>geg!J25</f>
        <v>146</v>
      </c>
      <c r="I41" s="684">
        <f>geg!K25</f>
        <v>146</v>
      </c>
      <c r="J41" s="684">
        <f>geg!L25</f>
        <v>146</v>
      </c>
      <c r="K41" s="71"/>
      <c r="L41" s="53"/>
    </row>
    <row r="42" spans="2:15" x14ac:dyDescent="0.2">
      <c r="B42" s="49"/>
      <c r="C42" s="69"/>
      <c r="D42" s="71" t="s">
        <v>7</v>
      </c>
      <c r="E42" s="71"/>
      <c r="F42" s="684">
        <f>geg!H26</f>
        <v>176</v>
      </c>
      <c r="G42" s="684">
        <f>geg!I26</f>
        <v>176</v>
      </c>
      <c r="H42" s="684">
        <f>geg!J26</f>
        <v>176</v>
      </c>
      <c r="I42" s="684">
        <f>geg!K26</f>
        <v>176</v>
      </c>
      <c r="J42" s="684">
        <f>geg!L26</f>
        <v>176</v>
      </c>
      <c r="K42" s="71"/>
      <c r="L42" s="53"/>
    </row>
    <row r="43" spans="2:15" x14ac:dyDescent="0.2">
      <c r="B43" s="49"/>
      <c r="C43" s="69"/>
      <c r="D43" s="70" t="s">
        <v>576</v>
      </c>
      <c r="E43" s="71"/>
      <c r="F43" s="684">
        <f>geg!H35</f>
        <v>675.08</v>
      </c>
      <c r="G43" s="684">
        <f>geg!I35</f>
        <v>675.08</v>
      </c>
      <c r="H43" s="684">
        <f>geg!J35</f>
        <v>675.08</v>
      </c>
      <c r="I43" s="684">
        <f>geg!K35</f>
        <v>675.08</v>
      </c>
      <c r="J43" s="684">
        <f>geg!L31</f>
        <v>0</v>
      </c>
      <c r="K43" s="71"/>
      <c r="L43" s="53"/>
      <c r="O43" s="209"/>
    </row>
    <row r="44" spans="2:15" x14ac:dyDescent="0.2">
      <c r="B44" s="49"/>
      <c r="C44" s="69"/>
      <c r="D44" s="70" t="s">
        <v>8</v>
      </c>
      <c r="E44" s="71"/>
      <c r="F44" s="684">
        <f>geg!H27</f>
        <v>322</v>
      </c>
      <c r="G44" s="684">
        <f>geg!I27</f>
        <v>322</v>
      </c>
      <c r="H44" s="684">
        <f>geg!J27</f>
        <v>322</v>
      </c>
      <c r="I44" s="684">
        <f>geg!K27</f>
        <v>322</v>
      </c>
      <c r="J44" s="684">
        <f>geg!L27</f>
        <v>322</v>
      </c>
      <c r="K44" s="71"/>
      <c r="L44" s="53"/>
      <c r="O44" s="209"/>
    </row>
    <row r="45" spans="2:15" x14ac:dyDescent="0.2">
      <c r="B45" s="49"/>
      <c r="C45" s="69"/>
      <c r="D45" s="70" t="s">
        <v>9</v>
      </c>
      <c r="E45" s="71"/>
      <c r="F45" s="684"/>
      <c r="G45" s="684"/>
      <c r="H45" s="684"/>
      <c r="I45" s="684"/>
      <c r="J45" s="684"/>
      <c r="K45" s="71"/>
      <c r="L45" s="53"/>
      <c r="O45" s="209"/>
    </row>
    <row r="46" spans="2:15" x14ac:dyDescent="0.2">
      <c r="B46" s="49"/>
      <c r="C46" s="69"/>
      <c r="D46" s="70" t="s">
        <v>529</v>
      </c>
      <c r="E46" s="71"/>
      <c r="F46" s="684"/>
      <c r="G46" s="684"/>
      <c r="H46" s="684"/>
      <c r="I46" s="684"/>
      <c r="J46" s="684"/>
      <c r="K46" s="71"/>
      <c r="L46" s="53"/>
      <c r="O46" s="209"/>
    </row>
    <row r="47" spans="2:15" x14ac:dyDescent="0.2">
      <c r="B47" s="49"/>
      <c r="C47" s="69"/>
      <c r="D47" s="70" t="s">
        <v>530</v>
      </c>
      <c r="E47" s="71"/>
      <c r="F47" s="684"/>
      <c r="G47" s="684"/>
      <c r="H47" s="684"/>
      <c r="I47" s="684"/>
      <c r="J47" s="684"/>
      <c r="K47" s="71"/>
      <c r="L47" s="53"/>
      <c r="O47" s="209"/>
    </row>
    <row r="48" spans="2:15" x14ac:dyDescent="0.2">
      <c r="B48" s="49"/>
      <c r="C48" s="69"/>
      <c r="D48" s="70" t="s">
        <v>531</v>
      </c>
      <c r="E48" s="71"/>
      <c r="F48" s="684"/>
      <c r="G48" s="684"/>
      <c r="H48" s="684"/>
      <c r="I48" s="684"/>
      <c r="J48" s="684"/>
      <c r="K48" s="71"/>
      <c r="L48" s="53"/>
      <c r="O48" s="209"/>
    </row>
    <row r="49" spans="2:15" x14ac:dyDescent="0.2">
      <c r="B49" s="49"/>
      <c r="C49" s="69"/>
      <c r="D49" s="70" t="s">
        <v>532</v>
      </c>
      <c r="E49" s="71"/>
      <c r="F49" s="684"/>
      <c r="G49" s="684"/>
      <c r="H49" s="684"/>
      <c r="I49" s="684"/>
      <c r="J49" s="684"/>
      <c r="K49" s="71"/>
      <c r="L49" s="53"/>
      <c r="O49" s="209"/>
    </row>
    <row r="50" spans="2:15" x14ac:dyDescent="0.2">
      <c r="B50" s="49"/>
      <c r="C50" s="69"/>
      <c r="D50" s="70" t="s">
        <v>344</v>
      </c>
      <c r="E50" s="71"/>
      <c r="F50" s="684"/>
      <c r="G50" s="684"/>
      <c r="H50" s="684"/>
      <c r="I50" s="684"/>
      <c r="J50" s="684"/>
      <c r="K50" s="71"/>
      <c r="L50" s="53"/>
      <c r="O50" s="209"/>
    </row>
    <row r="51" spans="2:15" x14ac:dyDescent="0.2">
      <c r="B51" s="49"/>
      <c r="C51" s="69"/>
      <c r="D51" s="618" t="s">
        <v>345</v>
      </c>
      <c r="E51" s="71"/>
      <c r="F51" s="684"/>
      <c r="G51" s="684"/>
      <c r="H51" s="684"/>
      <c r="I51" s="684"/>
      <c r="J51" s="684"/>
      <c r="K51" s="71"/>
      <c r="L51" s="53"/>
      <c r="O51" s="1112"/>
    </row>
    <row r="52" spans="2:15" x14ac:dyDescent="0.2">
      <c r="B52" s="49"/>
      <c r="C52" s="69"/>
      <c r="D52" s="618" t="s">
        <v>346</v>
      </c>
      <c r="E52" s="71"/>
      <c r="F52" s="684"/>
      <c r="G52" s="684"/>
      <c r="H52" s="684"/>
      <c r="I52" s="684"/>
      <c r="J52" s="684"/>
      <c r="K52" s="71"/>
      <c r="L52" s="53"/>
      <c r="O52" s="1112"/>
    </row>
    <row r="53" spans="2:15" x14ac:dyDescent="0.2">
      <c r="B53" s="49"/>
      <c r="C53" s="69"/>
      <c r="D53" s="618" t="s">
        <v>509</v>
      </c>
      <c r="E53" s="71"/>
      <c r="F53" s="684"/>
      <c r="G53" s="684"/>
      <c r="H53" s="684"/>
      <c r="I53" s="684"/>
      <c r="J53" s="684"/>
      <c r="K53" s="71"/>
      <c r="L53" s="53"/>
      <c r="N53" s="329"/>
      <c r="O53" s="1112"/>
    </row>
    <row r="54" spans="2:15" x14ac:dyDescent="0.2">
      <c r="B54" s="49"/>
      <c r="C54" s="69"/>
      <c r="D54" s="1011" t="s">
        <v>533</v>
      </c>
      <c r="E54" s="71"/>
      <c r="F54" s="684"/>
      <c r="G54" s="684"/>
      <c r="H54" s="684"/>
      <c r="I54" s="684"/>
      <c r="J54" s="684"/>
      <c r="K54" s="71"/>
      <c r="L54" s="53"/>
      <c r="N54" s="329"/>
      <c r="O54" s="1112"/>
    </row>
    <row r="55" spans="2:15" x14ac:dyDescent="0.2">
      <c r="B55" s="49"/>
      <c r="C55" s="69"/>
      <c r="D55" s="1011" t="s">
        <v>534</v>
      </c>
      <c r="E55" s="71"/>
      <c r="F55" s="684"/>
      <c r="G55" s="684"/>
      <c r="H55" s="684"/>
      <c r="I55" s="684"/>
      <c r="J55" s="684"/>
      <c r="K55" s="71"/>
      <c r="L55" s="53"/>
      <c r="N55" s="329"/>
      <c r="O55" s="1112"/>
    </row>
    <row r="56" spans="2:15" x14ac:dyDescent="0.2">
      <c r="B56" s="49"/>
      <c r="C56" s="69"/>
      <c r="D56" s="70" t="s">
        <v>537</v>
      </c>
      <c r="E56" s="71"/>
      <c r="F56" s="677">
        <f>+ken!F36</f>
        <v>181.00542495479203</v>
      </c>
      <c r="G56" s="677">
        <f>+ken!G36</f>
        <v>181.00542495479203</v>
      </c>
      <c r="H56" s="677">
        <f>+ken!H36</f>
        <v>181.00542495479203</v>
      </c>
      <c r="I56" s="677">
        <f>+ken!I36</f>
        <v>181.00542495479203</v>
      </c>
      <c r="J56" s="677">
        <f>+ken!J36</f>
        <v>181.00542495479203</v>
      </c>
      <c r="K56" s="71"/>
      <c r="L56" s="53"/>
      <c r="O56" s="209"/>
    </row>
    <row r="57" spans="2:15" x14ac:dyDescent="0.2">
      <c r="B57" s="49"/>
      <c r="C57" s="69"/>
      <c r="D57" s="70" t="s">
        <v>93</v>
      </c>
      <c r="E57" s="71"/>
      <c r="F57" s="677">
        <f>pers!I165</f>
        <v>123.16500000000002</v>
      </c>
      <c r="G57" s="677">
        <f>pers!J165</f>
        <v>0</v>
      </c>
      <c r="H57" s="677">
        <f>pers!K165</f>
        <v>0</v>
      </c>
      <c r="I57" s="677">
        <f>pers!L165</f>
        <v>0</v>
      </c>
      <c r="J57" s="677">
        <f>pers!M165</f>
        <v>0</v>
      </c>
      <c r="K57" s="71"/>
      <c r="L57" s="53"/>
      <c r="O57" s="209"/>
    </row>
    <row r="58" spans="2:15" x14ac:dyDescent="0.2">
      <c r="B58" s="49"/>
      <c r="C58" s="69"/>
      <c r="D58" s="71" t="s">
        <v>94</v>
      </c>
      <c r="E58" s="71"/>
      <c r="F58" s="677">
        <f>pers!I166</f>
        <v>0</v>
      </c>
      <c r="G58" s="677">
        <f>pers!J166</f>
        <v>0</v>
      </c>
      <c r="H58" s="677">
        <f>pers!K166</f>
        <v>0</v>
      </c>
      <c r="I58" s="677">
        <f>pers!L166</f>
        <v>0</v>
      </c>
      <c r="J58" s="677">
        <f>pers!M166</f>
        <v>0</v>
      </c>
      <c r="K58" s="71"/>
      <c r="L58" s="53"/>
    </row>
    <row r="59" spans="2:15" x14ac:dyDescent="0.2">
      <c r="B59" s="49"/>
      <c r="C59" s="69"/>
      <c r="D59" s="149" t="s">
        <v>10</v>
      </c>
      <c r="E59" s="71"/>
      <c r="F59" s="685">
        <f>7/12*ken!F59+5/12*ken!G59</f>
        <v>0</v>
      </c>
      <c r="G59" s="685">
        <f>7/12*ken!G59+5/12*ken!H59</f>
        <v>0</v>
      </c>
      <c r="H59" s="685">
        <f>7/12*ken!H59+5/12*ken!I59</f>
        <v>0</v>
      </c>
      <c r="I59" s="685">
        <f>7/12*ken!I59+5/12*ken!J59</f>
        <v>0</v>
      </c>
      <c r="J59" s="685">
        <f>ken!J59</f>
        <v>0</v>
      </c>
      <c r="K59" s="71"/>
      <c r="L59" s="53"/>
      <c r="O59" s="260"/>
    </row>
    <row r="60" spans="2:15" x14ac:dyDescent="0.2">
      <c r="B60" s="49"/>
      <c r="C60" s="69"/>
      <c r="D60" s="149" t="s">
        <v>18</v>
      </c>
      <c r="E60" s="71"/>
      <c r="F60" s="685">
        <f>7/12*ken!F60+5/12*ken!G60</f>
        <v>0.1</v>
      </c>
      <c r="G60" s="685">
        <f>7/12*ken!G60+5/12*ken!H60</f>
        <v>0.1</v>
      </c>
      <c r="H60" s="685">
        <f>7/12*ken!H60+5/12*ken!I60</f>
        <v>0.1</v>
      </c>
      <c r="I60" s="685">
        <f>7/12*ken!I60+5/12*ken!J60</f>
        <v>0.1</v>
      </c>
      <c r="J60" s="685">
        <f>ken!J60</f>
        <v>0.1</v>
      </c>
      <c r="K60" s="71"/>
      <c r="L60" s="53"/>
      <c r="O60" s="260"/>
    </row>
    <row r="61" spans="2:15" x14ac:dyDescent="0.2">
      <c r="B61" s="49"/>
      <c r="C61" s="69"/>
      <c r="D61" s="149" t="s">
        <v>535</v>
      </c>
      <c r="E61" s="71"/>
      <c r="F61" s="685">
        <f>7/12*ken!F61+5/12*ken!G61</f>
        <v>0</v>
      </c>
      <c r="G61" s="685">
        <f>7/12*ken!G61+5/12*ken!H61</f>
        <v>0</v>
      </c>
      <c r="H61" s="685">
        <f>7/12*ken!H61+5/12*ken!I61</f>
        <v>0</v>
      </c>
      <c r="I61" s="685">
        <f>7/12*ken!I61+5/12*ken!J61</f>
        <v>0</v>
      </c>
      <c r="J61" s="685">
        <f>ken!J61</f>
        <v>0</v>
      </c>
      <c r="K61" s="71"/>
      <c r="L61" s="53"/>
      <c r="O61" s="260"/>
    </row>
    <row r="62" spans="2:15" x14ac:dyDescent="0.2">
      <c r="B62" s="49"/>
      <c r="C62" s="69"/>
      <c r="D62" s="71" t="s">
        <v>1</v>
      </c>
      <c r="E62" s="71"/>
      <c r="F62" s="677">
        <f>begr!G49</f>
        <v>0</v>
      </c>
      <c r="G62" s="677">
        <f>begr!H49</f>
        <v>0</v>
      </c>
      <c r="H62" s="677">
        <f>begr!I49</f>
        <v>0</v>
      </c>
      <c r="I62" s="677">
        <f>begr!J49</f>
        <v>0</v>
      </c>
      <c r="J62" s="677">
        <f>begr!K49</f>
        <v>0</v>
      </c>
      <c r="K62" s="71"/>
      <c r="L62" s="53"/>
    </row>
    <row r="63" spans="2:15" x14ac:dyDescent="0.2">
      <c r="B63" s="49"/>
      <c r="C63" s="69"/>
      <c r="D63" s="71" t="s">
        <v>2</v>
      </c>
      <c r="E63" s="71"/>
      <c r="F63" s="677">
        <f>begr!G50</f>
        <v>0</v>
      </c>
      <c r="G63" s="677">
        <f>begr!H50</f>
        <v>0</v>
      </c>
      <c r="H63" s="677">
        <f>begr!I50</f>
        <v>0</v>
      </c>
      <c r="I63" s="677">
        <f>begr!J50</f>
        <v>0</v>
      </c>
      <c r="J63" s="677">
        <f>begr!K50</f>
        <v>0</v>
      </c>
      <c r="K63" s="71"/>
      <c r="L63" s="53"/>
    </row>
    <row r="64" spans="2:15" x14ac:dyDescent="0.2">
      <c r="B64" s="49"/>
      <c r="C64" s="69"/>
      <c r="D64" s="70" t="s">
        <v>110</v>
      </c>
      <c r="E64" s="71"/>
      <c r="F64" s="677">
        <f>act!G29</f>
        <v>0</v>
      </c>
      <c r="G64" s="677">
        <f>act!H29</f>
        <v>0</v>
      </c>
      <c r="H64" s="677">
        <f>act!I29</f>
        <v>0</v>
      </c>
      <c r="I64" s="677">
        <f>act!J29</f>
        <v>0</v>
      </c>
      <c r="J64" s="677">
        <f>act!K29</f>
        <v>0</v>
      </c>
      <c r="K64" s="71"/>
      <c r="L64" s="53"/>
      <c r="O64" s="209"/>
    </row>
    <row r="65" spans="2:15" x14ac:dyDescent="0.2">
      <c r="B65" s="49"/>
      <c r="C65" s="69"/>
      <c r="D65" s="70" t="s">
        <v>111</v>
      </c>
      <c r="E65" s="71"/>
      <c r="F65" s="677">
        <f>mop!G18</f>
        <v>0</v>
      </c>
      <c r="G65" s="677">
        <f>mop!H18</f>
        <v>0</v>
      </c>
      <c r="H65" s="677">
        <f>mop!I18</f>
        <v>0</v>
      </c>
      <c r="I65" s="677">
        <f>mop!J18</f>
        <v>0</v>
      </c>
      <c r="J65" s="677">
        <f>mop!K18</f>
        <v>0</v>
      </c>
      <c r="K65" s="71"/>
      <c r="L65" s="53"/>
      <c r="O65" s="209"/>
    </row>
    <row r="66" spans="2:15" x14ac:dyDescent="0.2">
      <c r="B66" s="49"/>
      <c r="C66" s="69"/>
      <c r="D66" s="70" t="s">
        <v>295</v>
      </c>
      <c r="E66" s="71"/>
      <c r="F66" s="677">
        <f>ken!F32</f>
        <v>2178373.4364145836</v>
      </c>
      <c r="G66" s="677">
        <f>ken!G32</f>
        <v>2147256.1312395837</v>
      </c>
      <c r="H66" s="677">
        <f>ken!H32</f>
        <v>2122820.0800145837</v>
      </c>
      <c r="I66" s="677">
        <f>ken!I32</f>
        <v>2114457.4751333338</v>
      </c>
      <c r="J66" s="677">
        <f>ken!J32</f>
        <v>2128597.6951333336</v>
      </c>
      <c r="K66" s="71"/>
      <c r="L66" s="53"/>
      <c r="O66" s="209"/>
    </row>
    <row r="67" spans="2:15" x14ac:dyDescent="0.2">
      <c r="B67" s="49"/>
      <c r="C67" s="69"/>
      <c r="D67" s="70" t="s">
        <v>464</v>
      </c>
      <c r="E67" s="71"/>
      <c r="F67" s="677">
        <f>pers!I153+mat!I30</f>
        <v>0</v>
      </c>
      <c r="G67" s="677">
        <f>pers!J153+mat!J30</f>
        <v>0</v>
      </c>
      <c r="H67" s="677">
        <f>pers!K153+mat!K30</f>
        <v>0</v>
      </c>
      <c r="I67" s="677">
        <f>pers!L153+mat!L30</f>
        <v>0</v>
      </c>
      <c r="J67" s="677">
        <f>pers!M153+mat!M30</f>
        <v>0</v>
      </c>
      <c r="K67" s="71"/>
      <c r="L67" s="53"/>
    </row>
    <row r="68" spans="2:15" x14ac:dyDescent="0.2">
      <c r="B68" s="49"/>
      <c r="C68" s="76"/>
      <c r="D68" s="107"/>
      <c r="E68" s="77"/>
      <c r="F68" s="77"/>
      <c r="G68" s="77"/>
      <c r="H68" s="619"/>
      <c r="I68" s="77"/>
      <c r="J68" s="77"/>
      <c r="K68" s="77"/>
      <c r="L68" s="53"/>
    </row>
    <row r="69" spans="2:15" x14ac:dyDescent="0.2">
      <c r="B69" s="49"/>
      <c r="C69" s="50"/>
      <c r="D69" s="50"/>
      <c r="E69" s="50"/>
      <c r="F69" s="50"/>
      <c r="G69" s="50"/>
      <c r="H69" s="620"/>
      <c r="I69" s="50"/>
      <c r="J69" s="50"/>
      <c r="K69" s="50"/>
      <c r="L69" s="53"/>
    </row>
    <row r="70" spans="2:15" x14ac:dyDescent="0.2">
      <c r="B70" s="124"/>
      <c r="C70" s="125"/>
      <c r="D70" s="125"/>
      <c r="E70" s="125"/>
      <c r="F70" s="125"/>
      <c r="G70" s="125"/>
      <c r="H70" s="621"/>
      <c r="I70" s="125"/>
      <c r="J70" s="125"/>
      <c r="K70" s="125"/>
      <c r="L70" s="126"/>
    </row>
    <row r="71" spans="2:15" x14ac:dyDescent="0.2">
      <c r="H71" s="216"/>
    </row>
    <row r="72" spans="2:15" x14ac:dyDescent="0.2">
      <c r="H72" s="216"/>
    </row>
    <row r="73" spans="2:15" x14ac:dyDescent="0.2">
      <c r="H73" s="216"/>
    </row>
    <row r="74" spans="2:15" x14ac:dyDescent="0.2">
      <c r="H74" s="216"/>
    </row>
    <row r="75" spans="2:15" x14ac:dyDescent="0.2">
      <c r="H75" s="216"/>
    </row>
    <row r="76" spans="2:15" x14ac:dyDescent="0.2">
      <c r="H76" s="216"/>
    </row>
    <row r="77" spans="2:15" x14ac:dyDescent="0.2">
      <c r="H77" s="216"/>
    </row>
    <row r="78" spans="2:15" x14ac:dyDescent="0.2">
      <c r="H78" s="216"/>
    </row>
    <row r="79" spans="2:15" x14ac:dyDescent="0.2">
      <c r="H79" s="216"/>
    </row>
    <row r="80" spans="2:15" x14ac:dyDescent="0.2">
      <c r="H80" s="216"/>
    </row>
    <row r="81" spans="8:8" x14ac:dyDescent="0.2">
      <c r="H81" s="216"/>
    </row>
    <row r="82" spans="8:8" x14ac:dyDescent="0.2">
      <c r="H82" s="216"/>
    </row>
    <row r="83" spans="8:8" x14ac:dyDescent="0.2">
      <c r="H83" s="216"/>
    </row>
    <row r="84" spans="8:8" x14ac:dyDescent="0.2">
      <c r="H84" s="216"/>
    </row>
    <row r="85" spans="8:8" x14ac:dyDescent="0.2">
      <c r="H85" s="216"/>
    </row>
    <row r="86" spans="8:8" x14ac:dyDescent="0.2">
      <c r="H86" s="216"/>
    </row>
    <row r="87" spans="8:8" x14ac:dyDescent="0.2">
      <c r="H87" s="216"/>
    </row>
    <row r="88" spans="8:8" x14ac:dyDescent="0.2">
      <c r="H88" s="216"/>
    </row>
    <row r="89" spans="8:8" x14ac:dyDescent="0.2">
      <c r="H89" s="216"/>
    </row>
    <row r="90" spans="8:8" x14ac:dyDescent="0.2">
      <c r="H90" s="216"/>
    </row>
    <row r="91" spans="8:8" x14ac:dyDescent="0.2">
      <c r="H91" s="216"/>
    </row>
    <row r="92" spans="8:8" x14ac:dyDescent="0.2">
      <c r="H92" s="216"/>
    </row>
    <row r="93" spans="8:8" x14ac:dyDescent="0.2">
      <c r="H93" s="216"/>
    </row>
    <row r="94" spans="8:8" x14ac:dyDescent="0.2">
      <c r="H94" s="216"/>
    </row>
    <row r="95" spans="8:8" x14ac:dyDescent="0.2">
      <c r="H95" s="216"/>
    </row>
    <row r="96" spans="8:8" x14ac:dyDescent="0.2">
      <c r="H96" s="216"/>
    </row>
    <row r="97" spans="8:8" x14ac:dyDescent="0.2">
      <c r="H97" s="216"/>
    </row>
    <row r="98" spans="8:8" x14ac:dyDescent="0.2">
      <c r="H98" s="216"/>
    </row>
    <row r="99" spans="8:8" x14ac:dyDescent="0.2">
      <c r="H99" s="216"/>
    </row>
    <row r="100" spans="8:8" x14ac:dyDescent="0.2">
      <c r="H100" s="216"/>
    </row>
    <row r="101" spans="8:8" x14ac:dyDescent="0.2">
      <c r="H101" s="216"/>
    </row>
    <row r="102" spans="8:8" x14ac:dyDescent="0.2">
      <c r="H102" s="216"/>
    </row>
    <row r="103" spans="8:8" x14ac:dyDescent="0.2">
      <c r="H103" s="216"/>
    </row>
    <row r="104" spans="8:8" x14ac:dyDescent="0.2">
      <c r="H104" s="216"/>
    </row>
    <row r="105" spans="8:8" x14ac:dyDescent="0.2">
      <c r="H105" s="216"/>
    </row>
    <row r="106" spans="8:8" x14ac:dyDescent="0.2">
      <c r="H106" s="216"/>
    </row>
    <row r="107" spans="8:8" x14ac:dyDescent="0.2">
      <c r="H107" s="216"/>
    </row>
    <row r="108" spans="8:8" x14ac:dyDescent="0.2">
      <c r="H108" s="216"/>
    </row>
    <row r="109" spans="8:8" x14ac:dyDescent="0.2">
      <c r="H109" s="216"/>
    </row>
    <row r="110" spans="8:8" x14ac:dyDescent="0.2">
      <c r="H110" s="216"/>
    </row>
  </sheetData>
  <sheetProtection algorithmName="SHA-512" hashValue="YQU49wvvr6/W5nL/ek9Y+ZuYQPVA+W0FQPlL3B4+TbkgOXT5YrKWoYBtiXq0n3fiLpktUYppGcFH03hIm19ESQ==" saltValue="tSAOiRrUUa2sz6egvS23lw==" spinCount="100000" sheet="1" objects="1" scenarios="1"/>
  <mergeCells count="1">
    <mergeCell ref="F9:H9"/>
  </mergeCells>
  <phoneticPr fontId="0" type="noConversion"/>
  <pageMargins left="0.74803149606299213" right="0.74803149606299213" top="0.98425196850393704" bottom="0.98425196850393704" header="0.51181102362204722" footer="0.51181102362204722"/>
  <pageSetup paperSize="9" scale="59" orientation="portrait" r:id="rId1"/>
  <headerFooter alignWithMargins="0">
    <oddHeader>&amp;L&amp;"Arial,Vet"&amp;F&amp;R&amp;"Arial,Vet"&amp;A</oddHeader>
    <oddFooter>&amp;L&amp;"Arial,Vet"PO-Raad&amp;C&amp;"Arial,Vet"&amp;D&amp;R&amp;"Arial,Vet"pagina &amp;P</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3"/>
  <dimension ref="A1:N1104"/>
  <sheetViews>
    <sheetView zoomScale="85" zoomScaleNormal="85" workbookViewId="0">
      <pane ySplit="5" topLeftCell="A6" activePane="bottomLeft" state="frozen"/>
      <selection activeCell="B2" sqref="B2"/>
      <selection pane="bottomLeft" activeCell="G39" sqref="G39"/>
    </sheetView>
  </sheetViews>
  <sheetFormatPr defaultColWidth="9.140625" defaultRowHeight="12.75" x14ac:dyDescent="0.2"/>
  <cols>
    <col min="1" max="1" width="45.7109375" style="4" customWidth="1"/>
    <col min="2" max="2" width="14.85546875" style="7" customWidth="1"/>
    <col min="3" max="29" width="14.85546875" style="4" customWidth="1"/>
    <col min="30" max="16384" width="9.140625" style="4"/>
  </cols>
  <sheetData>
    <row r="1" spans="1:12" x14ac:dyDescent="0.2">
      <c r="B1" s="831"/>
    </row>
    <row r="2" spans="1:12" s="1" customFormat="1" x14ac:dyDescent="0.2">
      <c r="A2" s="2" t="s">
        <v>165</v>
      </c>
      <c r="B2" s="832"/>
      <c r="C2" s="2" t="s">
        <v>422</v>
      </c>
      <c r="D2" s="2" t="s">
        <v>450</v>
      </c>
      <c r="E2" s="2" t="s">
        <v>461</v>
      </c>
      <c r="F2" s="2" t="s">
        <v>501</v>
      </c>
      <c r="G2" s="2" t="s">
        <v>538</v>
      </c>
      <c r="H2" s="2" t="s">
        <v>544</v>
      </c>
      <c r="I2" s="2" t="s">
        <v>546</v>
      </c>
      <c r="J2" s="2" t="s">
        <v>547</v>
      </c>
      <c r="K2" s="2" t="s">
        <v>6939</v>
      </c>
      <c r="L2" s="2" t="s">
        <v>6940</v>
      </c>
    </row>
    <row r="3" spans="1:12" s="1" customFormat="1" x14ac:dyDescent="0.2">
      <c r="A3" s="2" t="s">
        <v>231</v>
      </c>
      <c r="B3" s="832"/>
      <c r="C3" s="1054">
        <v>42644</v>
      </c>
      <c r="D3" s="1054">
        <v>43009</v>
      </c>
      <c r="E3" s="1054">
        <v>43374</v>
      </c>
      <c r="F3" s="1054">
        <v>43739</v>
      </c>
      <c r="G3" s="1054">
        <v>44105</v>
      </c>
      <c r="H3" s="1054">
        <v>44470</v>
      </c>
      <c r="I3" s="1054">
        <v>44835</v>
      </c>
      <c r="J3" s="1054">
        <v>45200</v>
      </c>
      <c r="K3" s="1054">
        <v>45566</v>
      </c>
      <c r="L3" s="1054">
        <v>45931</v>
      </c>
    </row>
    <row r="4" spans="1:12" s="1" customFormat="1" x14ac:dyDescent="0.2">
      <c r="A4" s="2" t="s">
        <v>246</v>
      </c>
      <c r="B4" s="832"/>
      <c r="C4" s="2">
        <v>2017</v>
      </c>
      <c r="D4" s="2">
        <v>2018</v>
      </c>
      <c r="E4" s="2">
        <f t="shared" ref="E4:L4" si="0">D4+1</f>
        <v>2019</v>
      </c>
      <c r="F4" s="2">
        <f t="shared" si="0"/>
        <v>2020</v>
      </c>
      <c r="G4" s="2">
        <f t="shared" si="0"/>
        <v>2021</v>
      </c>
      <c r="H4" s="2">
        <f t="shared" si="0"/>
        <v>2022</v>
      </c>
      <c r="I4" s="2">
        <f t="shared" si="0"/>
        <v>2023</v>
      </c>
      <c r="J4" s="2">
        <f t="shared" si="0"/>
        <v>2024</v>
      </c>
      <c r="K4" s="2">
        <f t="shared" si="0"/>
        <v>2025</v>
      </c>
      <c r="L4" s="2">
        <f t="shared" si="0"/>
        <v>2026</v>
      </c>
    </row>
    <row r="5" spans="1:12" x14ac:dyDescent="0.2">
      <c r="B5" s="831"/>
    </row>
    <row r="6" spans="1:12" x14ac:dyDescent="0.2">
      <c r="B6" s="831"/>
    </row>
    <row r="7" spans="1:12" s="1" customFormat="1" x14ac:dyDescent="0.2">
      <c r="A7" s="9" t="s">
        <v>320</v>
      </c>
      <c r="B7" s="832"/>
      <c r="C7" s="9"/>
      <c r="D7" s="10"/>
    </row>
    <row r="8" spans="1:12" s="1" customFormat="1" x14ac:dyDescent="0.2">
      <c r="A8" s="2" t="s">
        <v>178</v>
      </c>
      <c r="B8" s="832"/>
      <c r="C8" s="2">
        <v>5.9499999999999997E-2</v>
      </c>
      <c r="D8" s="2">
        <v>5.9499999999999997E-2</v>
      </c>
      <c r="E8" s="2">
        <v>5.9499999999999997E-2</v>
      </c>
    </row>
    <row r="9" spans="1:12" s="1" customFormat="1" x14ac:dyDescent="0.2">
      <c r="A9" s="2" t="s">
        <v>179</v>
      </c>
      <c r="B9" s="832"/>
      <c r="C9" s="2">
        <v>4.1399999999999999E-2</v>
      </c>
      <c r="D9" s="2">
        <v>4.1399999999999999E-2</v>
      </c>
      <c r="E9" s="2">
        <v>4.1399999999999999E-2</v>
      </c>
    </row>
    <row r="10" spans="1:12" s="1" customFormat="1" x14ac:dyDescent="0.2">
      <c r="A10" s="2" t="s">
        <v>182</v>
      </c>
      <c r="B10" s="833"/>
      <c r="C10" s="2">
        <v>5.0299999999999997E-2</v>
      </c>
      <c r="D10" s="2">
        <v>5.0299999999999997E-2</v>
      </c>
      <c r="E10" s="2">
        <v>5.0299999999999997E-2</v>
      </c>
    </row>
    <row r="11" spans="1:12" s="1" customFormat="1" x14ac:dyDescent="0.2">
      <c r="A11" s="2" t="s">
        <v>185</v>
      </c>
      <c r="B11" s="833"/>
      <c r="C11" s="2">
        <v>145</v>
      </c>
      <c r="D11" s="2">
        <v>145</v>
      </c>
      <c r="E11" s="2">
        <v>145</v>
      </c>
    </row>
    <row r="12" spans="1:12" s="1" customFormat="1" x14ac:dyDescent="0.2">
      <c r="A12" s="2" t="s">
        <v>180</v>
      </c>
      <c r="B12" s="833"/>
      <c r="C12" s="2">
        <v>2.1507999999999998</v>
      </c>
      <c r="D12" s="2">
        <v>2.1507999999999998</v>
      </c>
      <c r="E12" s="2">
        <v>2.1507999999999998</v>
      </c>
    </row>
    <row r="13" spans="1:12" s="1" customFormat="1" x14ac:dyDescent="0.2">
      <c r="A13" s="2" t="s">
        <v>181</v>
      </c>
      <c r="B13" s="833"/>
      <c r="C13" s="2">
        <v>1.49E-2</v>
      </c>
      <c r="D13" s="2">
        <v>1.49E-2</v>
      </c>
      <c r="E13" s="2">
        <v>1.49E-2</v>
      </c>
    </row>
    <row r="14" spans="1:12" s="1" customFormat="1" x14ac:dyDescent="0.2">
      <c r="A14" s="2" t="s">
        <v>183</v>
      </c>
      <c r="B14" s="832"/>
      <c r="C14" s="2">
        <v>4.87E-2</v>
      </c>
      <c r="D14" s="2">
        <v>4.87E-2</v>
      </c>
      <c r="E14" s="2">
        <v>4.87E-2</v>
      </c>
    </row>
    <row r="15" spans="1:12" s="1" customFormat="1" x14ac:dyDescent="0.2">
      <c r="A15" s="2" t="s">
        <v>323</v>
      </c>
      <c r="B15" s="832"/>
      <c r="C15" s="2">
        <v>1.4500000000000001E-2</v>
      </c>
      <c r="D15" s="2">
        <v>1.4500000000000001E-2</v>
      </c>
      <c r="E15" s="2">
        <v>1.4500000000000001E-2</v>
      </c>
    </row>
    <row r="16" spans="1:12" s="1" customFormat="1" x14ac:dyDescent="0.2">
      <c r="A16" s="11" t="s">
        <v>378</v>
      </c>
      <c r="B16" s="832"/>
      <c r="C16" s="2">
        <v>2.6926999999999999</v>
      </c>
      <c r="D16" s="2">
        <v>2.6926999999999999</v>
      </c>
      <c r="E16" s="2">
        <v>2.6926999999999999</v>
      </c>
    </row>
    <row r="17" spans="1:9" s="1" customFormat="1" x14ac:dyDescent="0.2">
      <c r="A17" s="2" t="s">
        <v>418</v>
      </c>
      <c r="B17" s="833"/>
      <c r="C17" s="2">
        <v>13</v>
      </c>
      <c r="D17" s="2">
        <v>13</v>
      </c>
      <c r="E17" s="2">
        <v>13</v>
      </c>
    </row>
    <row r="18" spans="1:9" s="1" customFormat="1" x14ac:dyDescent="0.2">
      <c r="A18" s="2" t="s">
        <v>334</v>
      </c>
      <c r="B18" s="832"/>
      <c r="C18" s="2">
        <v>6.54E-2</v>
      </c>
      <c r="D18" s="2">
        <v>6.54E-2</v>
      </c>
      <c r="E18" s="2">
        <v>6.54E-2</v>
      </c>
    </row>
    <row r="19" spans="1:9" x14ac:dyDescent="0.2">
      <c r="A19" s="5"/>
      <c r="B19" s="834"/>
      <c r="C19" s="5"/>
      <c r="D19" s="5"/>
      <c r="E19" s="5"/>
      <c r="F19" s="665"/>
      <c r="G19" s="5"/>
      <c r="H19" s="5"/>
    </row>
    <row r="20" spans="1:9" s="15" customFormat="1" x14ac:dyDescent="0.2">
      <c r="A20" s="12" t="s">
        <v>328</v>
      </c>
      <c r="B20" s="833"/>
      <c r="C20" s="1051">
        <v>40.159999999999997</v>
      </c>
      <c r="D20" s="1051">
        <v>39.909999999999997</v>
      </c>
      <c r="E20" s="1051">
        <v>39.619999999999997</v>
      </c>
      <c r="F20" s="1139"/>
      <c r="G20" s="1140"/>
      <c r="H20" s="665"/>
      <c r="I20" s="665"/>
    </row>
    <row r="21" spans="1:9" s="15" customFormat="1" x14ac:dyDescent="0.2">
      <c r="A21" s="12" t="s">
        <v>325</v>
      </c>
      <c r="B21" s="833"/>
      <c r="C21" s="1022">
        <v>65875.59</v>
      </c>
      <c r="D21" s="1022">
        <v>67843.289999999994</v>
      </c>
      <c r="E21" s="1022">
        <v>67876.53</v>
      </c>
      <c r="F21" s="1139"/>
      <c r="G21" s="1141"/>
      <c r="H21" s="665"/>
      <c r="I21" s="665"/>
    </row>
    <row r="22" spans="1:9" s="15" customFormat="1" x14ac:dyDescent="0.2">
      <c r="A22" s="17" t="s">
        <v>324</v>
      </c>
      <c r="B22" s="833"/>
      <c r="C22" s="1022">
        <v>81604.960000000006</v>
      </c>
      <c r="D22" s="1022">
        <v>82819.240000000005</v>
      </c>
      <c r="E22" s="1022">
        <v>82819.240000000005</v>
      </c>
      <c r="F22" s="1139"/>
      <c r="G22" s="1141"/>
      <c r="H22" s="665"/>
      <c r="I22" s="665"/>
    </row>
    <row r="23" spans="1:9" s="15" customFormat="1" x14ac:dyDescent="0.2">
      <c r="A23" s="12" t="s">
        <v>326</v>
      </c>
      <c r="B23" s="832"/>
      <c r="C23" s="1022">
        <v>31614.51</v>
      </c>
      <c r="D23" s="1022">
        <v>32664.59</v>
      </c>
      <c r="E23" s="1022">
        <v>32804.199999999997</v>
      </c>
      <c r="F23" s="1139"/>
      <c r="G23" s="1142"/>
      <c r="H23"/>
      <c r="I23" s="665"/>
    </row>
    <row r="24" spans="1:9" s="15" customFormat="1" x14ac:dyDescent="0.2">
      <c r="A24" s="12" t="s">
        <v>327</v>
      </c>
      <c r="B24" s="832"/>
      <c r="C24" s="1022">
        <v>853.11</v>
      </c>
      <c r="D24" s="1022">
        <v>881.45</v>
      </c>
      <c r="E24" s="1022">
        <v>885.22</v>
      </c>
      <c r="F24" s="1139"/>
      <c r="G24" s="1142"/>
      <c r="H24"/>
      <c r="I24" s="664"/>
    </row>
    <row r="25" spans="1:9" s="15" customFormat="1" x14ac:dyDescent="0.2">
      <c r="A25" s="19" t="s">
        <v>26</v>
      </c>
      <c r="B25" s="833"/>
      <c r="C25" s="1022">
        <v>18521.37</v>
      </c>
      <c r="D25" s="1022">
        <v>17809.95</v>
      </c>
      <c r="E25" s="1022">
        <v>17776.71</v>
      </c>
      <c r="F25" s="1139"/>
      <c r="G25" s="1142"/>
      <c r="H25"/>
    </row>
    <row r="26" spans="1:9" s="15" customFormat="1" x14ac:dyDescent="0.2">
      <c r="A26" s="19" t="s">
        <v>27</v>
      </c>
      <c r="B26" s="835"/>
      <c r="C26" s="1022">
        <v>34250.74</v>
      </c>
      <c r="D26" s="1022">
        <v>32785.9</v>
      </c>
      <c r="E26" s="1022">
        <v>32719.42</v>
      </c>
      <c r="F26" s="1139"/>
      <c r="G26" s="1143"/>
      <c r="H26" s="14"/>
    </row>
    <row r="27" spans="1:9" s="15" customFormat="1" x14ac:dyDescent="0.2">
      <c r="A27" s="17" t="s">
        <v>351</v>
      </c>
      <c r="B27" s="832"/>
      <c r="C27" s="20">
        <v>0.06</v>
      </c>
      <c r="D27" s="20">
        <f>C27</f>
        <v>0.06</v>
      </c>
      <c r="E27" s="20">
        <f>D27</f>
        <v>0.06</v>
      </c>
      <c r="H27" s="14"/>
    </row>
    <row r="28" spans="1:9" s="15" customFormat="1" x14ac:dyDescent="0.2">
      <c r="A28" s="14" t="s">
        <v>80</v>
      </c>
      <c r="B28" s="834"/>
      <c r="C28" s="1022">
        <v>1924</v>
      </c>
      <c r="D28" s="1022">
        <v>1981</v>
      </c>
      <c r="E28" s="1170">
        <v>1982</v>
      </c>
      <c r="H28" s="994"/>
    </row>
    <row r="29" spans="1:9" s="15" customFormat="1" x14ac:dyDescent="0.2">
      <c r="A29" s="13"/>
      <c r="B29" s="833"/>
      <c r="C29" s="17"/>
      <c r="D29" s="17"/>
      <c r="E29" s="17"/>
      <c r="G29" s="17"/>
      <c r="H29" s="14"/>
    </row>
    <row r="30" spans="1:9" s="15" customFormat="1" x14ac:dyDescent="0.2">
      <c r="A30" s="17" t="s">
        <v>84</v>
      </c>
      <c r="B30" s="833"/>
      <c r="C30" s="18">
        <f>ROUND(C23*tab!C8,2)</f>
        <v>1881.06</v>
      </c>
      <c r="D30" s="18">
        <f>ROUND(D23*tab!D8,2)</f>
        <v>1943.54</v>
      </c>
      <c r="E30" s="18">
        <f>ROUND(E23*tab!E8,2)</f>
        <v>1951.85</v>
      </c>
      <c r="G30" s="18"/>
      <c r="H30" s="14"/>
    </row>
    <row r="31" spans="1:9" s="15" customFormat="1" x14ac:dyDescent="0.2">
      <c r="A31" s="17" t="s">
        <v>86</v>
      </c>
      <c r="B31" s="833"/>
      <c r="C31" s="18">
        <f>ROUND(tab!C8*C24,2)</f>
        <v>50.76</v>
      </c>
      <c r="D31" s="18">
        <f>ROUND(tab!D8*D24,2)</f>
        <v>52.45</v>
      </c>
      <c r="E31" s="18">
        <f>ROUND(tab!E8*E24,2)</f>
        <v>52.67</v>
      </c>
      <c r="G31" s="18"/>
      <c r="H31" s="14"/>
    </row>
    <row r="32" spans="1:9" s="15" customFormat="1" x14ac:dyDescent="0.2">
      <c r="A32" s="17" t="s">
        <v>85</v>
      </c>
      <c r="B32" s="833"/>
      <c r="C32" s="18">
        <f>ROUND(C23*tab!C9,2)</f>
        <v>1308.8399999999999</v>
      </c>
      <c r="D32" s="18">
        <f>ROUND(D23*tab!D9,2)</f>
        <v>1352.31</v>
      </c>
      <c r="E32" s="18">
        <f>ROUND(E23*tab!E9,2)</f>
        <v>1358.09</v>
      </c>
      <c r="G32" s="18"/>
      <c r="H32" s="14"/>
    </row>
    <row r="33" spans="1:8" s="15" customFormat="1" x14ac:dyDescent="0.2">
      <c r="A33" s="17" t="s">
        <v>87</v>
      </c>
      <c r="B33" s="833"/>
      <c r="C33" s="18">
        <f>ROUND(tab!C9*C24,2)</f>
        <v>35.32</v>
      </c>
      <c r="D33" s="18">
        <f>ROUND(tab!D9*D24,2)</f>
        <v>36.49</v>
      </c>
      <c r="E33" s="18">
        <f>ROUND(tab!E9*E24,2)</f>
        <v>36.65</v>
      </c>
      <c r="G33" s="18"/>
      <c r="H33" s="1171"/>
    </row>
    <row r="34" spans="1:8" s="15" customFormat="1" x14ac:dyDescent="0.2">
      <c r="A34" s="17" t="s">
        <v>88</v>
      </c>
      <c r="B34" s="832"/>
      <c r="C34" s="18">
        <f>ROUND(C23*tab!C10,2)</f>
        <v>1590.21</v>
      </c>
      <c r="D34" s="18">
        <f>ROUND(D23*tab!D10,2)</f>
        <v>1643.03</v>
      </c>
      <c r="E34" s="18">
        <f>ROUND(E23*tab!E10,2)</f>
        <v>1650.05</v>
      </c>
      <c r="G34" s="18"/>
      <c r="H34" s="14"/>
    </row>
    <row r="35" spans="1:8" s="15" customFormat="1" x14ac:dyDescent="0.2">
      <c r="A35" s="17" t="s">
        <v>89</v>
      </c>
      <c r="B35" s="832"/>
      <c r="C35" s="18">
        <f>ROUND(tab!C10*C24,2)</f>
        <v>42.91</v>
      </c>
      <c r="D35" s="18">
        <f>ROUND(tab!D10*D24,2)</f>
        <v>44.34</v>
      </c>
      <c r="E35" s="18">
        <f>ROUND(tab!E10*E24,2)</f>
        <v>44.53</v>
      </c>
      <c r="G35" s="18"/>
      <c r="H35" s="14"/>
    </row>
    <row r="36" spans="1:8" s="15" customFormat="1" x14ac:dyDescent="0.2">
      <c r="A36" s="1116" t="s">
        <v>576</v>
      </c>
      <c r="B36" s="832"/>
      <c r="C36" s="18">
        <v>0</v>
      </c>
      <c r="D36" s="18">
        <v>0</v>
      </c>
      <c r="E36" s="18">
        <v>523.71</v>
      </c>
      <c r="G36" s="18"/>
      <c r="H36" s="14"/>
    </row>
    <row r="37" spans="1:8" s="15" customFormat="1" x14ac:dyDescent="0.2">
      <c r="A37" s="1116" t="s">
        <v>6928</v>
      </c>
      <c r="B37" s="832"/>
      <c r="C37" s="1136">
        <v>0</v>
      </c>
      <c r="D37" s="1136">
        <v>0</v>
      </c>
      <c r="E37" s="1138">
        <v>0.75</v>
      </c>
      <c r="F37" s="1137">
        <v>0.5</v>
      </c>
      <c r="G37" s="1138">
        <v>0.25</v>
      </c>
      <c r="H37" s="14"/>
    </row>
    <row r="38" spans="1:8" s="15" customFormat="1" x14ac:dyDescent="0.2">
      <c r="A38" s="1116" t="s">
        <v>6929</v>
      </c>
      <c r="B38" s="832"/>
      <c r="C38" s="1136">
        <v>0</v>
      </c>
      <c r="D38" s="1136">
        <v>0</v>
      </c>
      <c r="E38" s="1138">
        <v>0.49</v>
      </c>
      <c r="F38" s="1137">
        <v>0.3</v>
      </c>
      <c r="G38" s="1138">
        <v>0.1</v>
      </c>
      <c r="H38" s="14"/>
    </row>
    <row r="39" spans="1:8" s="15" customFormat="1" x14ac:dyDescent="0.2">
      <c r="A39" s="1116" t="s">
        <v>6931</v>
      </c>
      <c r="B39" s="832"/>
      <c r="C39" s="1136"/>
      <c r="D39" s="1136"/>
      <c r="E39" s="1144">
        <v>0</v>
      </c>
      <c r="F39" s="1137"/>
      <c r="G39" s="1138"/>
      <c r="H39" s="14"/>
    </row>
    <row r="40" spans="1:8" s="15" customFormat="1" x14ac:dyDescent="0.2">
      <c r="A40" s="17" t="s">
        <v>213</v>
      </c>
      <c r="B40" s="832"/>
      <c r="C40" s="18">
        <f>ROUND(C23*tab!C12,2)</f>
        <v>67996.490000000005</v>
      </c>
      <c r="D40" s="18">
        <f>ROUND(D23*tab!D12,2)</f>
        <v>70255</v>
      </c>
      <c r="E40" s="18">
        <f>ROUND(E23*tab!E12,2)</f>
        <v>70555.27</v>
      </c>
      <c r="G40" s="18"/>
      <c r="H40" s="14"/>
    </row>
    <row r="41" spans="1:8" s="15" customFormat="1" x14ac:dyDescent="0.2">
      <c r="A41" s="17" t="s">
        <v>214</v>
      </c>
      <c r="B41" s="832"/>
      <c r="C41" s="18">
        <f>ROUND(tab!C12*C24,2)</f>
        <v>1834.87</v>
      </c>
      <c r="D41" s="18">
        <f>ROUND(tab!D12*D24,2)</f>
        <v>1895.82</v>
      </c>
      <c r="E41" s="18">
        <f>ROUND(tab!E12*E24,2)</f>
        <v>1903.93</v>
      </c>
      <c r="G41" s="18"/>
      <c r="H41" s="14"/>
    </row>
    <row r="42" spans="1:8" s="15" customFormat="1" x14ac:dyDescent="0.2">
      <c r="A42" s="17" t="s">
        <v>215</v>
      </c>
      <c r="B42" s="832"/>
      <c r="C42" s="18">
        <f>ROUND(C23*tab!C13,2)</f>
        <v>471.06</v>
      </c>
      <c r="D42" s="18">
        <f>ROUND(D23*tab!D13,2)</f>
        <v>486.7</v>
      </c>
      <c r="E42" s="18">
        <f>ROUND(E23*tab!E13,2)</f>
        <v>488.78</v>
      </c>
      <c r="G42" s="18"/>
      <c r="H42" s="14"/>
    </row>
    <row r="43" spans="1:8" s="15" customFormat="1" x14ac:dyDescent="0.2">
      <c r="A43" s="17" t="s">
        <v>216</v>
      </c>
      <c r="B43" s="833"/>
      <c r="C43" s="18">
        <f>ROUND(tab!C13*C24,2)</f>
        <v>12.71</v>
      </c>
      <c r="D43" s="18">
        <f>ROUND(tab!D13*D24,2)</f>
        <v>13.13</v>
      </c>
      <c r="E43" s="18">
        <f>ROUND(tab!E13*E24,2)</f>
        <v>13.19</v>
      </c>
      <c r="G43" s="18"/>
      <c r="H43" s="14"/>
    </row>
    <row r="44" spans="1:8" s="15" customFormat="1" x14ac:dyDescent="0.2">
      <c r="A44" s="17" t="s">
        <v>217</v>
      </c>
      <c r="B44" s="832"/>
      <c r="C44" s="18">
        <f>ROUND(C23*tab!C16+C25,2)</f>
        <v>103649.76</v>
      </c>
      <c r="D44" s="18">
        <f>ROUND(D23*tab!D16+D25,2)</f>
        <v>105765.89</v>
      </c>
      <c r="E44" s="18">
        <f>ROUND(E23*tab!E16+E25,2)</f>
        <v>106108.58</v>
      </c>
      <c r="G44" s="18"/>
      <c r="H44" s="14"/>
    </row>
    <row r="45" spans="1:8" s="15" customFormat="1" x14ac:dyDescent="0.2">
      <c r="A45" s="17" t="s">
        <v>218</v>
      </c>
      <c r="B45" s="832"/>
      <c r="C45" s="18">
        <f>ROUND(C24*tab!C16,2)</f>
        <v>2297.17</v>
      </c>
      <c r="D45" s="18">
        <f>ROUND(D24*tab!D16,2)</f>
        <v>2373.48</v>
      </c>
      <c r="E45" s="18">
        <f>ROUND(E24*tab!E16,2)</f>
        <v>2383.63</v>
      </c>
      <c r="G45" s="18"/>
      <c r="H45" s="14"/>
    </row>
    <row r="46" spans="1:8" s="15" customFormat="1" x14ac:dyDescent="0.2">
      <c r="A46" s="17" t="s">
        <v>212</v>
      </c>
      <c r="B46" s="832"/>
      <c r="C46" s="22">
        <v>98</v>
      </c>
      <c r="D46" s="22">
        <v>98</v>
      </c>
      <c r="E46" s="22">
        <v>98</v>
      </c>
      <c r="G46" s="23"/>
      <c r="H46" s="14"/>
    </row>
    <row r="47" spans="1:8" s="15" customFormat="1" x14ac:dyDescent="0.2">
      <c r="A47" s="17" t="s">
        <v>184</v>
      </c>
      <c r="B47" s="832"/>
      <c r="C47" s="18">
        <f>2*C25-C26</f>
        <v>2792</v>
      </c>
      <c r="D47" s="18">
        <f>2*D25-D26</f>
        <v>2834</v>
      </c>
      <c r="E47" s="18">
        <f>2*E25-E26</f>
        <v>2834</v>
      </c>
      <c r="G47" s="18"/>
      <c r="H47" s="994"/>
    </row>
    <row r="48" spans="1:8" x14ac:dyDescent="0.2">
      <c r="A48" s="1107"/>
      <c r="B48" s="1108"/>
      <c r="C48" s="1109"/>
      <c r="D48" s="1109"/>
      <c r="E48" s="5"/>
      <c r="F48" s="15"/>
      <c r="G48" s="5"/>
      <c r="H48" s="5"/>
    </row>
    <row r="49" spans="1:9" x14ac:dyDescent="0.2">
      <c r="A49" s="5"/>
      <c r="B49" s="834"/>
      <c r="C49" s="5"/>
      <c r="D49" s="5"/>
      <c r="E49" s="5"/>
      <c r="F49" s="15"/>
      <c r="G49" s="5"/>
      <c r="H49" s="5"/>
    </row>
    <row r="50" spans="1:9" s="15" customFormat="1" x14ac:dyDescent="0.2">
      <c r="A50" s="25" t="s">
        <v>81</v>
      </c>
      <c r="B50" s="834"/>
      <c r="C50" s="14"/>
      <c r="D50" s="14"/>
      <c r="E50" s="14"/>
      <c r="G50" s="14"/>
      <c r="H50" s="14"/>
    </row>
    <row r="51" spans="1:9" s="15" customFormat="1" x14ac:dyDescent="0.2">
      <c r="A51" s="22" t="s">
        <v>96</v>
      </c>
      <c r="B51" s="836"/>
      <c r="C51" s="16">
        <v>17664.78</v>
      </c>
      <c r="D51" s="16">
        <v>18192.43</v>
      </c>
      <c r="E51" s="16">
        <v>18201.34</v>
      </c>
    </row>
    <row r="52" spans="1:9" s="1" customFormat="1" x14ac:dyDescent="0.2">
      <c r="A52" s="27" t="s">
        <v>97</v>
      </c>
      <c r="B52" s="832"/>
      <c r="C52" s="16">
        <v>5708</v>
      </c>
      <c r="D52" s="16">
        <v>5878</v>
      </c>
      <c r="E52" s="16">
        <v>5881</v>
      </c>
      <c r="F52" s="15"/>
    </row>
    <row r="53" spans="1:9" s="15" customFormat="1" x14ac:dyDescent="0.2">
      <c r="A53" s="22" t="s">
        <v>98</v>
      </c>
      <c r="B53" s="833"/>
      <c r="C53" s="16">
        <v>492.78</v>
      </c>
      <c r="D53" s="16">
        <v>663.05</v>
      </c>
      <c r="E53" s="16">
        <v>727.83</v>
      </c>
    </row>
    <row r="54" spans="1:9" s="15" customFormat="1" x14ac:dyDescent="0.2">
      <c r="A54" s="22" t="s">
        <v>99</v>
      </c>
      <c r="B54" s="833"/>
      <c r="C54" s="16">
        <v>303.01</v>
      </c>
      <c r="D54" s="16">
        <v>312.06</v>
      </c>
      <c r="E54" s="16">
        <v>312.20999999999998</v>
      </c>
    </row>
    <row r="55" spans="1:9" s="15" customFormat="1" x14ac:dyDescent="0.2">
      <c r="A55" s="22" t="s">
        <v>100</v>
      </c>
      <c r="B55" s="833"/>
      <c r="C55" s="16">
        <v>15292.45</v>
      </c>
      <c r="D55" s="16">
        <v>41885.43</v>
      </c>
      <c r="E55" s="16">
        <v>41905.949999999997</v>
      </c>
    </row>
    <row r="56" spans="1:9" s="15" customFormat="1" x14ac:dyDescent="0.2">
      <c r="A56" s="22" t="s">
        <v>101</v>
      </c>
      <c r="B56" s="833"/>
      <c r="C56" s="16">
        <v>105.48</v>
      </c>
      <c r="D56" s="16">
        <v>288.89999999999998</v>
      </c>
      <c r="E56" s="16">
        <v>289.04000000000002</v>
      </c>
    </row>
    <row r="57" spans="1:9" s="15" customFormat="1" x14ac:dyDescent="0.2">
      <c r="A57" s="22" t="s">
        <v>185</v>
      </c>
      <c r="B57" s="833"/>
      <c r="C57" s="26">
        <v>145</v>
      </c>
      <c r="D57" s="26">
        <v>145</v>
      </c>
      <c r="E57" s="26">
        <v>145</v>
      </c>
    </row>
    <row r="58" spans="1:9" x14ac:dyDescent="0.2">
      <c r="A58" s="5"/>
      <c r="B58" s="834"/>
      <c r="C58" s="5"/>
      <c r="D58" s="5"/>
      <c r="E58" s="5"/>
      <c r="F58" s="15"/>
      <c r="G58" s="5"/>
      <c r="H58" s="5"/>
    </row>
    <row r="59" spans="1:9" x14ac:dyDescent="0.2">
      <c r="A59" s="33" t="s">
        <v>432</v>
      </c>
      <c r="B59" s="834"/>
      <c r="C59" s="5"/>
      <c r="D59" s="5"/>
      <c r="E59" s="5"/>
      <c r="F59" s="5"/>
      <c r="G59" s="5"/>
      <c r="H59" s="5"/>
    </row>
    <row r="60" spans="1:9" s="15" customFormat="1" x14ac:dyDescent="0.2">
      <c r="A60" s="637" t="s">
        <v>433</v>
      </c>
      <c r="B60" s="21"/>
      <c r="C60" s="16">
        <v>173.45</v>
      </c>
      <c r="D60" s="16">
        <v>191.62</v>
      </c>
      <c r="E60" s="16">
        <v>192.47</v>
      </c>
      <c r="F60" s="645"/>
      <c r="G60" s="14"/>
      <c r="H60" s="14"/>
    </row>
    <row r="61" spans="1:9" x14ac:dyDescent="0.2">
      <c r="F61" s="5"/>
      <c r="G61" s="5"/>
      <c r="H61" s="5"/>
    </row>
    <row r="62" spans="1:9" s="15" customFormat="1" ht="15.75" x14ac:dyDescent="0.25">
      <c r="A62" s="1115" t="s">
        <v>299</v>
      </c>
      <c r="B62" s="21"/>
      <c r="C62" s="1055">
        <v>0.62</v>
      </c>
      <c r="D62" s="1055">
        <v>0.6</v>
      </c>
      <c r="E62" s="1055">
        <v>0.6</v>
      </c>
      <c r="F62" s="1148"/>
      <c r="G62" s="1149" t="s">
        <v>6934</v>
      </c>
      <c r="H62" s="721" t="s">
        <v>575</v>
      </c>
      <c r="I62" s="14"/>
    </row>
    <row r="63" spans="1:9" s="15" customFormat="1" x14ac:dyDescent="0.2">
      <c r="A63" s="2" t="s">
        <v>6984</v>
      </c>
      <c r="B63" s="21"/>
      <c r="C63" s="993">
        <v>0.5</v>
      </c>
      <c r="D63" s="993">
        <v>0.5</v>
      </c>
      <c r="E63" s="993">
        <v>0.5</v>
      </c>
      <c r="F63" s="993"/>
      <c r="G63" s="14"/>
      <c r="H63" s="21"/>
      <c r="I63" s="995"/>
    </row>
    <row r="64" spans="1:9" s="15" customFormat="1" x14ac:dyDescent="0.2">
      <c r="A64" s="2" t="s">
        <v>484</v>
      </c>
      <c r="B64" s="21"/>
      <c r="C64" s="993">
        <f>C62-C63</f>
        <v>0.12</v>
      </c>
      <c r="D64" s="993">
        <f>D62-D63</f>
        <v>9.9999999999999978E-2</v>
      </c>
      <c r="E64" s="993">
        <f>E62-E63</f>
        <v>9.9999999999999978E-2</v>
      </c>
      <c r="F64" s="24">
        <f>(1+$C$62-E63)/(1+$C$62)</f>
        <v>0.6913580246913581</v>
      </c>
      <c r="G64" s="14"/>
      <c r="H64" s="21"/>
      <c r="I64" s="995"/>
    </row>
    <row r="65" spans="1:13" s="15" customFormat="1" x14ac:dyDescent="0.2">
      <c r="A65" s="2" t="s">
        <v>6985</v>
      </c>
      <c r="B65" s="21"/>
      <c r="C65" s="993">
        <v>0.4</v>
      </c>
      <c r="D65" s="993">
        <v>0.4</v>
      </c>
      <c r="E65" s="993">
        <v>0.4</v>
      </c>
      <c r="G65" s="14"/>
      <c r="H65" s="14"/>
      <c r="I65" s="995"/>
    </row>
    <row r="66" spans="1:13" s="15" customFormat="1" x14ac:dyDescent="0.2">
      <c r="A66" s="2" t="s">
        <v>484</v>
      </c>
      <c r="B66" s="21"/>
      <c r="C66" s="993">
        <f>C62-C65</f>
        <v>0.21999999999999997</v>
      </c>
      <c r="D66" s="993">
        <f>D62-D65</f>
        <v>0.19999999999999996</v>
      </c>
      <c r="E66" s="993">
        <f>E62-E65</f>
        <v>0.19999999999999996</v>
      </c>
      <c r="F66" s="24">
        <f>(1+$C$62-E65)/(1+$C$62)</f>
        <v>0.75308641975308654</v>
      </c>
      <c r="G66" s="14"/>
      <c r="H66" s="14"/>
    </row>
    <row r="68" spans="1:13" s="2" customFormat="1" x14ac:dyDescent="0.2">
      <c r="A68" s="9" t="s">
        <v>45</v>
      </c>
      <c r="B68" s="3"/>
      <c r="D68" s="33">
        <f>E4</f>
        <v>2019</v>
      </c>
      <c r="E68" s="4"/>
      <c r="H68" s="10"/>
      <c r="I68" s="33">
        <v>2020</v>
      </c>
      <c r="J68" s="4"/>
    </row>
    <row r="69" spans="1:13" s="10" customFormat="1" x14ac:dyDescent="0.2">
      <c r="B69" s="28"/>
      <c r="D69" s="32" t="s">
        <v>423</v>
      </c>
      <c r="E69" s="1052">
        <v>1.4999999999999999E-2</v>
      </c>
      <c r="I69" s="32" t="s">
        <v>423</v>
      </c>
      <c r="J69" s="1050">
        <v>0</v>
      </c>
    </row>
    <row r="70" spans="1:13" s="10" customFormat="1" x14ac:dyDescent="0.2">
      <c r="A70" s="2" t="s">
        <v>307</v>
      </c>
      <c r="B70" s="3"/>
      <c r="D70" s="1053">
        <v>13951.54</v>
      </c>
      <c r="E70" s="1053">
        <v>337.87</v>
      </c>
      <c r="I70" s="1049">
        <f>ROUND(D70*(1+$J$69),2)</f>
        <v>13951.54</v>
      </c>
      <c r="J70" s="1049">
        <f>ROUND(E70*(1+$J69),2)</f>
        <v>337.87</v>
      </c>
      <c r="L70" s="1018"/>
      <c r="M70" s="1018"/>
    </row>
    <row r="71" spans="1:13" s="10" customFormat="1" x14ac:dyDescent="0.2">
      <c r="A71" s="2" t="s">
        <v>28</v>
      </c>
      <c r="B71" s="3"/>
      <c r="D71" s="1053">
        <v>115.59</v>
      </c>
      <c r="E71" s="1053">
        <v>20.71</v>
      </c>
      <c r="I71" s="1049">
        <f>ROUND(D71*(1+$J$69),2)</f>
        <v>115.59</v>
      </c>
      <c r="J71" s="1049">
        <f>ROUND(E71*(1+$J$69),2)</f>
        <v>20.71</v>
      </c>
      <c r="L71" s="1018"/>
      <c r="M71" s="1018"/>
    </row>
    <row r="72" spans="1:13" s="10" customFormat="1" x14ac:dyDescent="0.2">
      <c r="B72" s="28"/>
    </row>
    <row r="73" spans="1:13" s="10" customFormat="1" x14ac:dyDescent="0.2">
      <c r="A73" s="34" t="s">
        <v>288</v>
      </c>
      <c r="B73" s="3"/>
      <c r="C73" s="2"/>
    </row>
    <row r="74" spans="1:13" s="10" customFormat="1" x14ac:dyDescent="0.2">
      <c r="A74" s="35" t="s">
        <v>166</v>
      </c>
      <c r="B74" s="3"/>
      <c r="C74" s="36">
        <v>0.05</v>
      </c>
      <c r="E74" s="37"/>
      <c r="I74" s="36">
        <v>0.05</v>
      </c>
      <c r="J74" s="33"/>
    </row>
    <row r="75" spans="1:13" s="10" customFormat="1" x14ac:dyDescent="0.2">
      <c r="A75" s="2" t="s">
        <v>167</v>
      </c>
      <c r="B75" s="3"/>
      <c r="C75" s="9">
        <v>3.4299999999999997E-2</v>
      </c>
      <c r="E75" s="37"/>
      <c r="I75" s="9">
        <v>3.4299999999999997E-2</v>
      </c>
      <c r="J75" s="33"/>
    </row>
    <row r="76" spans="1:13" s="10" customFormat="1" x14ac:dyDescent="0.2">
      <c r="A76" s="2" t="s">
        <v>168</v>
      </c>
      <c r="B76" s="3"/>
      <c r="C76" s="2">
        <v>1.7899999999999999E-2</v>
      </c>
      <c r="E76" s="37"/>
      <c r="I76" s="2">
        <v>1.7899999999999999E-2</v>
      </c>
      <c r="J76" s="33"/>
    </row>
    <row r="77" spans="1:13" s="10" customFormat="1" x14ac:dyDescent="0.2">
      <c r="A77" s="2" t="s">
        <v>226</v>
      </c>
      <c r="B77" s="3"/>
      <c r="C77" s="2">
        <v>1.5642</v>
      </c>
      <c r="E77" s="37"/>
      <c r="I77" s="2">
        <v>1.5642</v>
      </c>
      <c r="J77" s="33"/>
    </row>
    <row r="78" spans="1:13" s="10" customFormat="1" x14ac:dyDescent="0.2">
      <c r="A78" s="2" t="s">
        <v>227</v>
      </c>
      <c r="B78" s="3"/>
      <c r="C78" s="2">
        <v>1.15E-2</v>
      </c>
      <c r="E78" s="37"/>
      <c r="I78" s="2">
        <v>1.15E-2</v>
      </c>
      <c r="J78" s="33"/>
    </row>
    <row r="79" spans="1:13" s="10" customFormat="1" x14ac:dyDescent="0.2">
      <c r="A79" s="2"/>
      <c r="B79" s="3"/>
      <c r="C79" s="2"/>
      <c r="J79" s="2"/>
    </row>
    <row r="80" spans="1:13" s="10" customFormat="1" x14ac:dyDescent="0.2">
      <c r="B80" s="28"/>
      <c r="D80" s="33">
        <f>+D4</f>
        <v>2018</v>
      </c>
      <c r="I80" s="33">
        <f>+E4</f>
        <v>2019</v>
      </c>
      <c r="K80" s="9"/>
      <c r="L80" s="9"/>
      <c r="M80" s="2"/>
    </row>
    <row r="81" spans="1:14" s="10" customFormat="1" x14ac:dyDescent="0.2">
      <c r="A81" s="2" t="s">
        <v>308</v>
      </c>
      <c r="B81" s="2" t="s">
        <v>224</v>
      </c>
      <c r="D81" s="2" t="s">
        <v>308</v>
      </c>
      <c r="E81" s="2" t="s">
        <v>175</v>
      </c>
      <c r="F81" s="2" t="s">
        <v>309</v>
      </c>
      <c r="G81" s="38" t="s">
        <v>310</v>
      </c>
      <c r="H81" s="2" t="s">
        <v>82</v>
      </c>
      <c r="I81" s="2" t="s">
        <v>308</v>
      </c>
      <c r="J81" s="2" t="s">
        <v>175</v>
      </c>
      <c r="K81" s="2" t="s">
        <v>309</v>
      </c>
      <c r="L81" s="38" t="s">
        <v>310</v>
      </c>
      <c r="M81" s="2" t="s">
        <v>82</v>
      </c>
    </row>
    <row r="82" spans="1:14" s="10" customFormat="1" x14ac:dyDescent="0.2">
      <c r="A82" s="2" t="s">
        <v>223</v>
      </c>
      <c r="B82" s="2" t="s">
        <v>225</v>
      </c>
      <c r="D82" s="38"/>
      <c r="E82" s="2"/>
      <c r="F82" s="2"/>
      <c r="G82" s="2"/>
      <c r="H82" s="38" t="s">
        <v>321</v>
      </c>
      <c r="I82" s="38"/>
      <c r="J82" s="2"/>
      <c r="K82" s="2"/>
      <c r="L82" s="2"/>
      <c r="M82" s="38" t="s">
        <v>321</v>
      </c>
    </row>
    <row r="83" spans="1:14" s="10" customFormat="1" x14ac:dyDescent="0.2">
      <c r="A83" s="2">
        <v>0</v>
      </c>
      <c r="B83" s="2">
        <v>0</v>
      </c>
      <c r="D83" s="2">
        <v>0</v>
      </c>
      <c r="E83" s="1048">
        <v>0</v>
      </c>
      <c r="F83" s="39"/>
      <c r="G83" s="39"/>
      <c r="H83" s="39"/>
      <c r="I83" s="2">
        <v>0</v>
      </c>
      <c r="J83" s="1048">
        <v>0</v>
      </c>
      <c r="K83" s="39"/>
      <c r="L83" s="39"/>
      <c r="M83" s="39"/>
    </row>
    <row r="84" spans="1:14" s="10" customFormat="1" x14ac:dyDescent="0.2">
      <c r="A84" s="2">
        <v>2</v>
      </c>
      <c r="B84" s="2">
        <v>375</v>
      </c>
      <c r="D84" s="40">
        <v>2</v>
      </c>
      <c r="E84" s="1048">
        <v>25465</v>
      </c>
      <c r="F84" s="39"/>
      <c r="G84" s="39"/>
      <c r="H84" s="39"/>
      <c r="I84" s="40">
        <v>2</v>
      </c>
      <c r="J84" s="1048">
        <v>25847</v>
      </c>
      <c r="K84" s="39"/>
      <c r="L84" s="39"/>
      <c r="M84" s="39"/>
      <c r="N84" s="1017"/>
    </row>
    <row r="85" spans="1:14" s="10" customFormat="1" x14ac:dyDescent="0.2">
      <c r="A85" s="2">
        <v>3</v>
      </c>
      <c r="B85" s="2">
        <v>495</v>
      </c>
      <c r="D85" s="40">
        <v>3</v>
      </c>
      <c r="E85" s="1048">
        <v>32966</v>
      </c>
      <c r="F85" s="638">
        <v>7501</v>
      </c>
      <c r="G85" s="638"/>
      <c r="H85" s="39"/>
      <c r="I85" s="40">
        <v>3</v>
      </c>
      <c r="J85" s="1048">
        <v>33461</v>
      </c>
      <c r="K85" s="638">
        <f t="shared" ref="K85:K132" si="1">+J85-J84</f>
        <v>7614</v>
      </c>
      <c r="L85" s="638"/>
      <c r="M85" s="39"/>
    </row>
    <row r="86" spans="1:14" s="10" customFormat="1" x14ac:dyDescent="0.2">
      <c r="A86" s="2">
        <v>4</v>
      </c>
      <c r="B86" s="2">
        <v>650</v>
      </c>
      <c r="D86" s="40">
        <v>4</v>
      </c>
      <c r="E86" s="1048">
        <v>42656</v>
      </c>
      <c r="F86" s="638">
        <v>9690</v>
      </c>
      <c r="G86" s="638"/>
      <c r="H86" s="39"/>
      <c r="I86" s="40">
        <v>4</v>
      </c>
      <c r="J86" s="1048">
        <v>43296</v>
      </c>
      <c r="K86" s="638">
        <f t="shared" si="1"/>
        <v>9835</v>
      </c>
      <c r="L86" s="638"/>
      <c r="M86" s="39"/>
    </row>
    <row r="87" spans="1:14" s="10" customFormat="1" x14ac:dyDescent="0.2">
      <c r="A87" s="2">
        <v>5</v>
      </c>
      <c r="B87" s="2">
        <v>785</v>
      </c>
      <c r="D87" s="40">
        <v>5</v>
      </c>
      <c r="E87" s="1048">
        <v>51095</v>
      </c>
      <c r="F87" s="638">
        <v>8439</v>
      </c>
      <c r="G87" s="638"/>
      <c r="H87" s="39"/>
      <c r="I87" s="40">
        <v>5</v>
      </c>
      <c r="J87" s="1048">
        <v>51862</v>
      </c>
      <c r="K87" s="638">
        <f t="shared" si="1"/>
        <v>8566</v>
      </c>
      <c r="L87" s="638"/>
      <c r="M87" s="39"/>
    </row>
    <row r="88" spans="1:14" s="10" customFormat="1" x14ac:dyDescent="0.2">
      <c r="A88" s="2">
        <v>6</v>
      </c>
      <c r="B88" s="2">
        <v>875</v>
      </c>
      <c r="D88" s="40">
        <v>6</v>
      </c>
      <c r="E88" s="1048">
        <v>56721</v>
      </c>
      <c r="F88" s="638">
        <v>5626</v>
      </c>
      <c r="G88" s="638"/>
      <c r="H88" s="39"/>
      <c r="I88" s="40">
        <v>6</v>
      </c>
      <c r="J88" s="1048">
        <v>57572</v>
      </c>
      <c r="K88" s="638">
        <f t="shared" si="1"/>
        <v>5710</v>
      </c>
      <c r="L88" s="638"/>
      <c r="M88" s="39"/>
    </row>
    <row r="89" spans="1:14" s="10" customFormat="1" x14ac:dyDescent="0.2">
      <c r="A89" s="2">
        <v>7</v>
      </c>
      <c r="B89" s="2">
        <v>980</v>
      </c>
      <c r="D89" s="40">
        <v>7</v>
      </c>
      <c r="E89" s="41">
        <v>63285</v>
      </c>
      <c r="F89" s="638">
        <v>6564</v>
      </c>
      <c r="G89" s="1048">
        <v>6564</v>
      </c>
      <c r="H89" s="39"/>
      <c r="I89" s="40">
        <v>7</v>
      </c>
      <c r="J89" s="41">
        <f t="shared" ref="J89:J95" si="2">+J88+L89</f>
        <v>64234</v>
      </c>
      <c r="K89" s="638">
        <f t="shared" si="1"/>
        <v>6662</v>
      </c>
      <c r="L89" s="1048">
        <v>6662</v>
      </c>
      <c r="M89" s="39"/>
    </row>
    <row r="90" spans="1:14" s="10" customFormat="1" x14ac:dyDescent="0.2">
      <c r="A90" s="2">
        <v>8</v>
      </c>
      <c r="B90" s="2">
        <v>1085</v>
      </c>
      <c r="D90" s="40">
        <v>8</v>
      </c>
      <c r="E90" s="41">
        <v>69849</v>
      </c>
      <c r="F90" s="638">
        <v>6564</v>
      </c>
      <c r="G90" s="638">
        <v>6564</v>
      </c>
      <c r="H90" s="39"/>
      <c r="I90" s="40">
        <v>8</v>
      </c>
      <c r="J90" s="41">
        <f t="shared" si="2"/>
        <v>70896</v>
      </c>
      <c r="K90" s="638">
        <f t="shared" si="1"/>
        <v>6662</v>
      </c>
      <c r="L90" s="638">
        <f t="shared" ref="L90:L132" si="3">L89</f>
        <v>6662</v>
      </c>
      <c r="M90" s="39"/>
    </row>
    <row r="91" spans="1:14" s="10" customFormat="1" x14ac:dyDescent="0.2">
      <c r="A91" s="2">
        <v>9</v>
      </c>
      <c r="B91" s="2">
        <v>1190</v>
      </c>
      <c r="D91" s="40">
        <v>9</v>
      </c>
      <c r="E91" s="41">
        <v>76413</v>
      </c>
      <c r="F91" s="638">
        <v>6564</v>
      </c>
      <c r="G91" s="638">
        <v>6564</v>
      </c>
      <c r="H91" s="39"/>
      <c r="I91" s="40">
        <v>9</v>
      </c>
      <c r="J91" s="41">
        <f t="shared" si="2"/>
        <v>77558</v>
      </c>
      <c r="K91" s="638">
        <f t="shared" si="1"/>
        <v>6662</v>
      </c>
      <c r="L91" s="638">
        <f t="shared" si="3"/>
        <v>6662</v>
      </c>
      <c r="M91" s="39"/>
    </row>
    <row r="92" spans="1:14" s="10" customFormat="1" x14ac:dyDescent="0.2">
      <c r="A92" s="2">
        <v>10</v>
      </c>
      <c r="B92" s="2">
        <v>1295</v>
      </c>
      <c r="D92" s="40">
        <v>10</v>
      </c>
      <c r="E92" s="41">
        <v>82977</v>
      </c>
      <c r="F92" s="638">
        <v>6564</v>
      </c>
      <c r="G92" s="638">
        <v>6564</v>
      </c>
      <c r="H92" s="39"/>
      <c r="I92" s="40">
        <v>10</v>
      </c>
      <c r="J92" s="41">
        <f t="shared" si="2"/>
        <v>84220</v>
      </c>
      <c r="K92" s="638">
        <f t="shared" si="1"/>
        <v>6662</v>
      </c>
      <c r="L92" s="638">
        <f t="shared" si="3"/>
        <v>6662</v>
      </c>
      <c r="M92" s="39"/>
    </row>
    <row r="93" spans="1:14" s="10" customFormat="1" x14ac:dyDescent="0.2">
      <c r="A93" s="2">
        <v>11</v>
      </c>
      <c r="B93" s="2">
        <v>1400</v>
      </c>
      <c r="D93" s="40">
        <v>11</v>
      </c>
      <c r="E93" s="41">
        <v>89541</v>
      </c>
      <c r="F93" s="638">
        <v>6564</v>
      </c>
      <c r="G93" s="638">
        <v>6564</v>
      </c>
      <c r="H93" s="39"/>
      <c r="I93" s="40">
        <v>11</v>
      </c>
      <c r="J93" s="41">
        <f t="shared" si="2"/>
        <v>90882</v>
      </c>
      <c r="K93" s="638">
        <f t="shared" si="1"/>
        <v>6662</v>
      </c>
      <c r="L93" s="638">
        <f t="shared" si="3"/>
        <v>6662</v>
      </c>
      <c r="M93" s="39"/>
    </row>
    <row r="94" spans="1:14" s="10" customFormat="1" x14ac:dyDescent="0.2">
      <c r="A94" s="2">
        <v>12</v>
      </c>
      <c r="B94" s="2">
        <v>1505</v>
      </c>
      <c r="D94" s="40">
        <v>12</v>
      </c>
      <c r="E94" s="41">
        <v>96105</v>
      </c>
      <c r="F94" s="638">
        <v>6564</v>
      </c>
      <c r="G94" s="638">
        <v>6564</v>
      </c>
      <c r="H94" s="39"/>
      <c r="I94" s="40">
        <v>12</v>
      </c>
      <c r="J94" s="41">
        <f t="shared" si="2"/>
        <v>97544</v>
      </c>
      <c r="K94" s="638">
        <f t="shared" si="1"/>
        <v>6662</v>
      </c>
      <c r="L94" s="638">
        <f t="shared" si="3"/>
        <v>6662</v>
      </c>
      <c r="M94" s="39"/>
    </row>
    <row r="95" spans="1:14" s="10" customFormat="1" x14ac:dyDescent="0.2">
      <c r="A95" s="2">
        <v>13</v>
      </c>
      <c r="B95" s="2">
        <v>1610</v>
      </c>
      <c r="D95" s="40">
        <v>13</v>
      </c>
      <c r="E95" s="41">
        <v>102669</v>
      </c>
      <c r="F95" s="638">
        <v>6564</v>
      </c>
      <c r="G95" s="638">
        <v>6564</v>
      </c>
      <c r="H95" s="39"/>
      <c r="I95" s="40">
        <v>13</v>
      </c>
      <c r="J95" s="41">
        <f t="shared" si="2"/>
        <v>104206</v>
      </c>
      <c r="K95" s="638">
        <f t="shared" si="1"/>
        <v>6662</v>
      </c>
      <c r="L95" s="638">
        <f t="shared" si="3"/>
        <v>6662</v>
      </c>
      <c r="M95" s="39"/>
    </row>
    <row r="96" spans="1:14" s="10" customFormat="1" x14ac:dyDescent="0.2">
      <c r="A96" s="2">
        <v>14</v>
      </c>
      <c r="B96" s="2">
        <v>1755</v>
      </c>
      <c r="D96" s="40">
        <v>14</v>
      </c>
      <c r="E96" s="41">
        <v>111733</v>
      </c>
      <c r="F96" s="638">
        <v>9064</v>
      </c>
      <c r="G96" s="638">
        <v>6564</v>
      </c>
      <c r="H96" s="1048">
        <v>2500</v>
      </c>
      <c r="I96" s="40">
        <v>14</v>
      </c>
      <c r="J96" s="41">
        <f>+J95+L96+M96</f>
        <v>113406</v>
      </c>
      <c r="K96" s="638">
        <f t="shared" si="1"/>
        <v>9200</v>
      </c>
      <c r="L96" s="638">
        <f t="shared" si="3"/>
        <v>6662</v>
      </c>
      <c r="M96" s="1048">
        <v>2538</v>
      </c>
    </row>
    <row r="97" spans="1:13" s="10" customFormat="1" x14ac:dyDescent="0.2">
      <c r="A97" s="2">
        <v>15</v>
      </c>
      <c r="B97" s="2">
        <v>1860</v>
      </c>
      <c r="D97" s="40">
        <v>15</v>
      </c>
      <c r="E97" s="41">
        <f t="shared" ref="E97:E132" si="4">+E96+G97</f>
        <v>118297</v>
      </c>
      <c r="F97" s="638">
        <f t="shared" ref="F97:F132" si="5">+E97-E96</f>
        <v>6564</v>
      </c>
      <c r="G97" s="638">
        <f t="shared" ref="G97:G132" si="6">G96</f>
        <v>6564</v>
      </c>
      <c r="H97" s="39"/>
      <c r="I97" s="40">
        <v>15</v>
      </c>
      <c r="J97" s="41">
        <f t="shared" ref="J97:J132" si="7">+J96+L97</f>
        <v>120068</v>
      </c>
      <c r="K97" s="638">
        <f t="shared" si="1"/>
        <v>6662</v>
      </c>
      <c r="L97" s="638">
        <f t="shared" si="3"/>
        <v>6662</v>
      </c>
      <c r="M97" s="39"/>
    </row>
    <row r="98" spans="1:13" s="10" customFormat="1" x14ac:dyDescent="0.2">
      <c r="A98" s="2">
        <v>16</v>
      </c>
      <c r="B98" s="2">
        <v>1965</v>
      </c>
      <c r="D98" s="40">
        <v>16</v>
      </c>
      <c r="E98" s="41">
        <f t="shared" si="4"/>
        <v>124861</v>
      </c>
      <c r="F98" s="638">
        <f t="shared" si="5"/>
        <v>6564</v>
      </c>
      <c r="G98" s="638">
        <f t="shared" si="6"/>
        <v>6564</v>
      </c>
      <c r="H98" s="39"/>
      <c r="I98" s="40">
        <v>16</v>
      </c>
      <c r="J98" s="41">
        <f t="shared" si="7"/>
        <v>126730</v>
      </c>
      <c r="K98" s="638">
        <f t="shared" si="1"/>
        <v>6662</v>
      </c>
      <c r="L98" s="638">
        <f t="shared" si="3"/>
        <v>6662</v>
      </c>
      <c r="M98" s="39"/>
    </row>
    <row r="99" spans="1:13" s="10" customFormat="1" x14ac:dyDescent="0.2">
      <c r="A99" s="2">
        <v>17</v>
      </c>
      <c r="B99" s="2">
        <v>2070</v>
      </c>
      <c r="D99" s="40">
        <v>17</v>
      </c>
      <c r="E99" s="41">
        <f t="shared" si="4"/>
        <v>131425</v>
      </c>
      <c r="F99" s="638">
        <f t="shared" si="5"/>
        <v>6564</v>
      </c>
      <c r="G99" s="638">
        <f t="shared" si="6"/>
        <v>6564</v>
      </c>
      <c r="H99" s="39"/>
      <c r="I99" s="40">
        <v>17</v>
      </c>
      <c r="J99" s="41">
        <f t="shared" si="7"/>
        <v>133392</v>
      </c>
      <c r="K99" s="638">
        <f t="shared" si="1"/>
        <v>6662</v>
      </c>
      <c r="L99" s="638">
        <f t="shared" si="3"/>
        <v>6662</v>
      </c>
      <c r="M99" s="39"/>
    </row>
    <row r="100" spans="1:13" s="10" customFormat="1" x14ac:dyDescent="0.2">
      <c r="A100" s="2">
        <v>18</v>
      </c>
      <c r="B100" s="2">
        <v>2175</v>
      </c>
      <c r="D100" s="40">
        <v>18</v>
      </c>
      <c r="E100" s="41">
        <f t="shared" si="4"/>
        <v>137989</v>
      </c>
      <c r="F100" s="638">
        <f t="shared" si="5"/>
        <v>6564</v>
      </c>
      <c r="G100" s="638">
        <f t="shared" si="6"/>
        <v>6564</v>
      </c>
      <c r="H100" s="39"/>
      <c r="I100" s="40">
        <v>18</v>
      </c>
      <c r="J100" s="41">
        <f t="shared" si="7"/>
        <v>140054</v>
      </c>
      <c r="K100" s="638">
        <f t="shared" si="1"/>
        <v>6662</v>
      </c>
      <c r="L100" s="638">
        <f t="shared" si="3"/>
        <v>6662</v>
      </c>
      <c r="M100" s="39"/>
    </row>
    <row r="101" spans="1:13" s="10" customFormat="1" x14ac:dyDescent="0.2">
      <c r="A101" s="2">
        <v>19</v>
      </c>
      <c r="B101" s="2">
        <v>2280</v>
      </c>
      <c r="D101" s="40">
        <v>19</v>
      </c>
      <c r="E101" s="41">
        <f t="shared" si="4"/>
        <v>144553</v>
      </c>
      <c r="F101" s="638">
        <f t="shared" si="5"/>
        <v>6564</v>
      </c>
      <c r="G101" s="638">
        <f t="shared" si="6"/>
        <v>6564</v>
      </c>
      <c r="H101" s="39"/>
      <c r="I101" s="40">
        <v>19</v>
      </c>
      <c r="J101" s="41">
        <f t="shared" si="7"/>
        <v>146716</v>
      </c>
      <c r="K101" s="638">
        <f t="shared" si="1"/>
        <v>6662</v>
      </c>
      <c r="L101" s="638">
        <f t="shared" si="3"/>
        <v>6662</v>
      </c>
      <c r="M101" s="39"/>
    </row>
    <row r="102" spans="1:13" s="10" customFormat="1" x14ac:dyDescent="0.2">
      <c r="A102" s="2">
        <v>20</v>
      </c>
      <c r="B102" s="2">
        <v>2385</v>
      </c>
      <c r="D102" s="40">
        <v>20</v>
      </c>
      <c r="E102" s="41">
        <f t="shared" si="4"/>
        <v>151117</v>
      </c>
      <c r="F102" s="638">
        <f t="shared" si="5"/>
        <v>6564</v>
      </c>
      <c r="G102" s="638">
        <f t="shared" si="6"/>
        <v>6564</v>
      </c>
      <c r="H102" s="39"/>
      <c r="I102" s="40">
        <v>20</v>
      </c>
      <c r="J102" s="41">
        <f t="shared" si="7"/>
        <v>153378</v>
      </c>
      <c r="K102" s="638">
        <f t="shared" si="1"/>
        <v>6662</v>
      </c>
      <c r="L102" s="638">
        <f t="shared" si="3"/>
        <v>6662</v>
      </c>
      <c r="M102" s="39"/>
    </row>
    <row r="103" spans="1:13" s="10" customFormat="1" x14ac:dyDescent="0.2">
      <c r="A103" s="2">
        <v>21</v>
      </c>
      <c r="B103" s="2">
        <v>2490</v>
      </c>
      <c r="D103" s="40">
        <v>21</v>
      </c>
      <c r="E103" s="41">
        <f t="shared" si="4"/>
        <v>157681</v>
      </c>
      <c r="F103" s="638">
        <f t="shared" si="5"/>
        <v>6564</v>
      </c>
      <c r="G103" s="638">
        <f t="shared" si="6"/>
        <v>6564</v>
      </c>
      <c r="H103" s="39"/>
      <c r="I103" s="40">
        <v>21</v>
      </c>
      <c r="J103" s="41">
        <f t="shared" si="7"/>
        <v>160040</v>
      </c>
      <c r="K103" s="638">
        <f t="shared" si="1"/>
        <v>6662</v>
      </c>
      <c r="L103" s="638">
        <f t="shared" si="3"/>
        <v>6662</v>
      </c>
      <c r="M103" s="39"/>
    </row>
    <row r="104" spans="1:13" s="10" customFormat="1" x14ac:dyDescent="0.2">
      <c r="A104" s="2">
        <v>22</v>
      </c>
      <c r="B104" s="2">
        <v>2595</v>
      </c>
      <c r="D104" s="40">
        <v>22</v>
      </c>
      <c r="E104" s="41">
        <f t="shared" si="4"/>
        <v>164245</v>
      </c>
      <c r="F104" s="638">
        <f t="shared" si="5"/>
        <v>6564</v>
      </c>
      <c r="G104" s="638">
        <f t="shared" si="6"/>
        <v>6564</v>
      </c>
      <c r="H104" s="39"/>
      <c r="I104" s="40">
        <v>22</v>
      </c>
      <c r="J104" s="41">
        <f t="shared" si="7"/>
        <v>166702</v>
      </c>
      <c r="K104" s="638">
        <f t="shared" si="1"/>
        <v>6662</v>
      </c>
      <c r="L104" s="638">
        <f t="shared" si="3"/>
        <v>6662</v>
      </c>
      <c r="M104" s="39"/>
    </row>
    <row r="105" spans="1:13" s="10" customFormat="1" x14ac:dyDescent="0.2">
      <c r="A105" s="2">
        <v>23</v>
      </c>
      <c r="B105" s="2">
        <v>2700</v>
      </c>
      <c r="D105" s="40">
        <v>23</v>
      </c>
      <c r="E105" s="41">
        <f t="shared" si="4"/>
        <v>170809</v>
      </c>
      <c r="F105" s="638">
        <f t="shared" si="5"/>
        <v>6564</v>
      </c>
      <c r="G105" s="638">
        <f t="shared" si="6"/>
        <v>6564</v>
      </c>
      <c r="H105" s="39"/>
      <c r="I105" s="40">
        <v>23</v>
      </c>
      <c r="J105" s="41">
        <f t="shared" si="7"/>
        <v>173364</v>
      </c>
      <c r="K105" s="638">
        <f t="shared" si="1"/>
        <v>6662</v>
      </c>
      <c r="L105" s="638">
        <f t="shared" si="3"/>
        <v>6662</v>
      </c>
      <c r="M105" s="39"/>
    </row>
    <row r="106" spans="1:13" s="10" customFormat="1" x14ac:dyDescent="0.2">
      <c r="A106" s="2">
        <v>24</v>
      </c>
      <c r="B106" s="2">
        <v>2805</v>
      </c>
      <c r="D106" s="40">
        <v>24</v>
      </c>
      <c r="E106" s="41">
        <f t="shared" si="4"/>
        <v>177373</v>
      </c>
      <c r="F106" s="638">
        <f t="shared" si="5"/>
        <v>6564</v>
      </c>
      <c r="G106" s="638">
        <f t="shared" si="6"/>
        <v>6564</v>
      </c>
      <c r="H106" s="39"/>
      <c r="I106" s="40">
        <v>24</v>
      </c>
      <c r="J106" s="41">
        <f t="shared" si="7"/>
        <v>180026</v>
      </c>
      <c r="K106" s="638">
        <f t="shared" si="1"/>
        <v>6662</v>
      </c>
      <c r="L106" s="638">
        <f t="shared" si="3"/>
        <v>6662</v>
      </c>
      <c r="M106" s="39"/>
    </row>
    <row r="107" spans="1:13" s="10" customFormat="1" x14ac:dyDescent="0.2">
      <c r="A107" s="2">
        <v>25</v>
      </c>
      <c r="B107" s="2">
        <v>2910</v>
      </c>
      <c r="D107" s="40">
        <v>25</v>
      </c>
      <c r="E107" s="41">
        <f t="shared" si="4"/>
        <v>183937</v>
      </c>
      <c r="F107" s="638">
        <f t="shared" si="5"/>
        <v>6564</v>
      </c>
      <c r="G107" s="638">
        <f t="shared" si="6"/>
        <v>6564</v>
      </c>
      <c r="H107" s="39"/>
      <c r="I107" s="40">
        <v>25</v>
      </c>
      <c r="J107" s="41">
        <f t="shared" si="7"/>
        <v>186688</v>
      </c>
      <c r="K107" s="638">
        <f t="shared" si="1"/>
        <v>6662</v>
      </c>
      <c r="L107" s="638">
        <f t="shared" si="3"/>
        <v>6662</v>
      </c>
      <c r="M107" s="39"/>
    </row>
    <row r="108" spans="1:13" s="10" customFormat="1" x14ac:dyDescent="0.2">
      <c r="A108" s="2">
        <v>26</v>
      </c>
      <c r="B108" s="2">
        <v>3015</v>
      </c>
      <c r="D108" s="40">
        <v>26</v>
      </c>
      <c r="E108" s="41">
        <f t="shared" si="4"/>
        <v>190501</v>
      </c>
      <c r="F108" s="638">
        <f t="shared" si="5"/>
        <v>6564</v>
      </c>
      <c r="G108" s="638">
        <f t="shared" si="6"/>
        <v>6564</v>
      </c>
      <c r="H108" s="39"/>
      <c r="I108" s="40">
        <v>26</v>
      </c>
      <c r="J108" s="41">
        <f t="shared" si="7"/>
        <v>193350</v>
      </c>
      <c r="K108" s="638">
        <f t="shared" si="1"/>
        <v>6662</v>
      </c>
      <c r="L108" s="638">
        <f t="shared" si="3"/>
        <v>6662</v>
      </c>
      <c r="M108" s="39"/>
    </row>
    <row r="109" spans="1:13" s="10" customFormat="1" x14ac:dyDescent="0.2">
      <c r="A109" s="2">
        <v>27</v>
      </c>
      <c r="B109" s="2">
        <v>3120</v>
      </c>
      <c r="D109" s="40">
        <v>27</v>
      </c>
      <c r="E109" s="41">
        <f t="shared" si="4"/>
        <v>197065</v>
      </c>
      <c r="F109" s="638">
        <f t="shared" si="5"/>
        <v>6564</v>
      </c>
      <c r="G109" s="638">
        <f t="shared" si="6"/>
        <v>6564</v>
      </c>
      <c r="H109" s="39"/>
      <c r="I109" s="40">
        <v>27</v>
      </c>
      <c r="J109" s="41">
        <f t="shared" si="7"/>
        <v>200012</v>
      </c>
      <c r="K109" s="638">
        <f t="shared" si="1"/>
        <v>6662</v>
      </c>
      <c r="L109" s="638">
        <f t="shared" si="3"/>
        <v>6662</v>
      </c>
      <c r="M109" s="39"/>
    </row>
    <row r="110" spans="1:13" s="10" customFormat="1" x14ac:dyDescent="0.2">
      <c r="A110" s="2">
        <v>28</v>
      </c>
      <c r="B110" s="2">
        <v>3225</v>
      </c>
      <c r="D110" s="40">
        <v>28</v>
      </c>
      <c r="E110" s="41">
        <f t="shared" si="4"/>
        <v>203629</v>
      </c>
      <c r="F110" s="638">
        <f t="shared" si="5"/>
        <v>6564</v>
      </c>
      <c r="G110" s="638">
        <f t="shared" si="6"/>
        <v>6564</v>
      </c>
      <c r="H110" s="39"/>
      <c r="I110" s="40">
        <v>28</v>
      </c>
      <c r="J110" s="41">
        <f t="shared" si="7"/>
        <v>206674</v>
      </c>
      <c r="K110" s="638">
        <f t="shared" si="1"/>
        <v>6662</v>
      </c>
      <c r="L110" s="638">
        <f t="shared" si="3"/>
        <v>6662</v>
      </c>
      <c r="M110" s="39"/>
    </row>
    <row r="111" spans="1:13" s="10" customFormat="1" x14ac:dyDescent="0.2">
      <c r="A111" s="2">
        <v>29</v>
      </c>
      <c r="B111" s="2">
        <v>3330</v>
      </c>
      <c r="D111" s="40">
        <v>29</v>
      </c>
      <c r="E111" s="41">
        <f t="shared" si="4"/>
        <v>210193</v>
      </c>
      <c r="F111" s="638">
        <f t="shared" si="5"/>
        <v>6564</v>
      </c>
      <c r="G111" s="638">
        <f t="shared" si="6"/>
        <v>6564</v>
      </c>
      <c r="H111" s="39"/>
      <c r="I111" s="40">
        <v>29</v>
      </c>
      <c r="J111" s="41">
        <f t="shared" si="7"/>
        <v>213336</v>
      </c>
      <c r="K111" s="638">
        <f t="shared" si="1"/>
        <v>6662</v>
      </c>
      <c r="L111" s="638">
        <f t="shared" si="3"/>
        <v>6662</v>
      </c>
      <c r="M111" s="39"/>
    </row>
    <row r="112" spans="1:13" s="10" customFormat="1" x14ac:dyDescent="0.2">
      <c r="A112" s="2">
        <v>30</v>
      </c>
      <c r="B112" s="2">
        <v>3435</v>
      </c>
      <c r="D112" s="40">
        <v>30</v>
      </c>
      <c r="E112" s="41">
        <f t="shared" si="4"/>
        <v>216757</v>
      </c>
      <c r="F112" s="638">
        <f t="shared" si="5"/>
        <v>6564</v>
      </c>
      <c r="G112" s="638">
        <f t="shared" si="6"/>
        <v>6564</v>
      </c>
      <c r="H112" s="39"/>
      <c r="I112" s="40">
        <v>30</v>
      </c>
      <c r="J112" s="41">
        <f t="shared" si="7"/>
        <v>219998</v>
      </c>
      <c r="K112" s="638">
        <f t="shared" si="1"/>
        <v>6662</v>
      </c>
      <c r="L112" s="638">
        <f t="shared" si="3"/>
        <v>6662</v>
      </c>
      <c r="M112" s="39"/>
    </row>
    <row r="113" spans="1:13" s="10" customFormat="1" x14ac:dyDescent="0.2">
      <c r="A113" s="2">
        <v>31</v>
      </c>
      <c r="B113" s="2">
        <v>3540</v>
      </c>
      <c r="D113" s="40">
        <v>31</v>
      </c>
      <c r="E113" s="41">
        <f t="shared" si="4"/>
        <v>223321</v>
      </c>
      <c r="F113" s="638">
        <f t="shared" si="5"/>
        <v>6564</v>
      </c>
      <c r="G113" s="638">
        <f t="shared" si="6"/>
        <v>6564</v>
      </c>
      <c r="H113" s="39"/>
      <c r="I113" s="40">
        <v>31</v>
      </c>
      <c r="J113" s="41">
        <f t="shared" si="7"/>
        <v>226660</v>
      </c>
      <c r="K113" s="638">
        <f t="shared" si="1"/>
        <v>6662</v>
      </c>
      <c r="L113" s="638">
        <f t="shared" si="3"/>
        <v>6662</v>
      </c>
      <c r="M113" s="39"/>
    </row>
    <row r="114" spans="1:13" s="10" customFormat="1" x14ac:dyDescent="0.2">
      <c r="A114" s="2">
        <v>32</v>
      </c>
      <c r="B114" s="2">
        <v>3645</v>
      </c>
      <c r="D114" s="40">
        <v>32</v>
      </c>
      <c r="E114" s="41">
        <f t="shared" si="4"/>
        <v>229885</v>
      </c>
      <c r="F114" s="638">
        <f t="shared" si="5"/>
        <v>6564</v>
      </c>
      <c r="G114" s="638">
        <f t="shared" si="6"/>
        <v>6564</v>
      </c>
      <c r="H114" s="39"/>
      <c r="I114" s="40">
        <v>32</v>
      </c>
      <c r="J114" s="41">
        <f t="shared" si="7"/>
        <v>233322</v>
      </c>
      <c r="K114" s="638">
        <f t="shared" si="1"/>
        <v>6662</v>
      </c>
      <c r="L114" s="638">
        <f t="shared" si="3"/>
        <v>6662</v>
      </c>
      <c r="M114" s="39"/>
    </row>
    <row r="115" spans="1:13" s="10" customFormat="1" x14ac:dyDescent="0.2">
      <c r="A115" s="2">
        <v>33</v>
      </c>
      <c r="B115" s="2">
        <v>3750</v>
      </c>
      <c r="D115" s="40">
        <v>33</v>
      </c>
      <c r="E115" s="41">
        <f t="shared" si="4"/>
        <v>236449</v>
      </c>
      <c r="F115" s="638">
        <f t="shared" si="5"/>
        <v>6564</v>
      </c>
      <c r="G115" s="638">
        <f t="shared" si="6"/>
        <v>6564</v>
      </c>
      <c r="H115" s="39"/>
      <c r="I115" s="40">
        <v>33</v>
      </c>
      <c r="J115" s="41">
        <f t="shared" si="7"/>
        <v>239984</v>
      </c>
      <c r="K115" s="638">
        <f t="shared" si="1"/>
        <v>6662</v>
      </c>
      <c r="L115" s="638">
        <f t="shared" si="3"/>
        <v>6662</v>
      </c>
      <c r="M115" s="39"/>
    </row>
    <row r="116" spans="1:13" s="10" customFormat="1" x14ac:dyDescent="0.2">
      <c r="A116" s="2">
        <v>34</v>
      </c>
      <c r="B116" s="2">
        <v>3855</v>
      </c>
      <c r="D116" s="40">
        <v>34</v>
      </c>
      <c r="E116" s="41">
        <f t="shared" si="4"/>
        <v>243013</v>
      </c>
      <c r="F116" s="638">
        <f t="shared" si="5"/>
        <v>6564</v>
      </c>
      <c r="G116" s="638">
        <f t="shared" si="6"/>
        <v>6564</v>
      </c>
      <c r="H116" s="39"/>
      <c r="I116" s="40">
        <v>34</v>
      </c>
      <c r="J116" s="41">
        <f t="shared" si="7"/>
        <v>246646</v>
      </c>
      <c r="K116" s="638">
        <f t="shared" si="1"/>
        <v>6662</v>
      </c>
      <c r="L116" s="638">
        <f t="shared" si="3"/>
        <v>6662</v>
      </c>
      <c r="M116" s="39"/>
    </row>
    <row r="117" spans="1:13" s="10" customFormat="1" x14ac:dyDescent="0.2">
      <c r="A117" s="2">
        <v>35</v>
      </c>
      <c r="B117" s="2">
        <f t="shared" ref="B117:B132" si="8">+B116+105</f>
        <v>3960</v>
      </c>
      <c r="D117" s="40">
        <v>35</v>
      </c>
      <c r="E117" s="41">
        <f t="shared" si="4"/>
        <v>249577</v>
      </c>
      <c r="F117" s="638">
        <f t="shared" si="5"/>
        <v>6564</v>
      </c>
      <c r="G117" s="638">
        <f t="shared" si="6"/>
        <v>6564</v>
      </c>
      <c r="H117" s="39"/>
      <c r="I117" s="40">
        <v>35</v>
      </c>
      <c r="J117" s="41">
        <f t="shared" si="7"/>
        <v>253308</v>
      </c>
      <c r="K117" s="638">
        <f t="shared" si="1"/>
        <v>6662</v>
      </c>
      <c r="L117" s="638">
        <f t="shared" si="3"/>
        <v>6662</v>
      </c>
      <c r="M117" s="39"/>
    </row>
    <row r="118" spans="1:13" s="10" customFormat="1" x14ac:dyDescent="0.2">
      <c r="A118" s="2">
        <v>36</v>
      </c>
      <c r="B118" s="2">
        <f t="shared" si="8"/>
        <v>4065</v>
      </c>
      <c r="D118" s="40">
        <v>36</v>
      </c>
      <c r="E118" s="41">
        <f t="shared" si="4"/>
        <v>256141</v>
      </c>
      <c r="F118" s="638">
        <f t="shared" si="5"/>
        <v>6564</v>
      </c>
      <c r="G118" s="638">
        <f t="shared" si="6"/>
        <v>6564</v>
      </c>
      <c r="H118" s="39"/>
      <c r="I118" s="40">
        <v>36</v>
      </c>
      <c r="J118" s="41">
        <f t="shared" si="7"/>
        <v>259970</v>
      </c>
      <c r="K118" s="638">
        <f t="shared" si="1"/>
        <v>6662</v>
      </c>
      <c r="L118" s="638">
        <f t="shared" si="3"/>
        <v>6662</v>
      </c>
      <c r="M118" s="39"/>
    </row>
    <row r="119" spans="1:13" s="10" customFormat="1" x14ac:dyDescent="0.2">
      <c r="A119" s="2">
        <v>37</v>
      </c>
      <c r="B119" s="2">
        <f t="shared" si="8"/>
        <v>4170</v>
      </c>
      <c r="D119" s="40">
        <v>37</v>
      </c>
      <c r="E119" s="41">
        <f t="shared" si="4"/>
        <v>262705</v>
      </c>
      <c r="F119" s="638">
        <f t="shared" si="5"/>
        <v>6564</v>
      </c>
      <c r="G119" s="638">
        <f t="shared" si="6"/>
        <v>6564</v>
      </c>
      <c r="H119" s="39"/>
      <c r="I119" s="40">
        <v>37</v>
      </c>
      <c r="J119" s="41">
        <f t="shared" si="7"/>
        <v>266632</v>
      </c>
      <c r="K119" s="638">
        <f t="shared" si="1"/>
        <v>6662</v>
      </c>
      <c r="L119" s="638">
        <f t="shared" si="3"/>
        <v>6662</v>
      </c>
      <c r="M119" s="39"/>
    </row>
    <row r="120" spans="1:13" s="10" customFormat="1" x14ac:dyDescent="0.2">
      <c r="A120" s="2">
        <v>38</v>
      </c>
      <c r="B120" s="2">
        <f t="shared" si="8"/>
        <v>4275</v>
      </c>
      <c r="D120" s="40">
        <v>38</v>
      </c>
      <c r="E120" s="41">
        <f t="shared" si="4"/>
        <v>269269</v>
      </c>
      <c r="F120" s="638">
        <f t="shared" si="5"/>
        <v>6564</v>
      </c>
      <c r="G120" s="638">
        <f t="shared" si="6"/>
        <v>6564</v>
      </c>
      <c r="H120" s="39"/>
      <c r="I120" s="40">
        <v>38</v>
      </c>
      <c r="J120" s="41">
        <f t="shared" si="7"/>
        <v>273294</v>
      </c>
      <c r="K120" s="638">
        <f t="shared" si="1"/>
        <v>6662</v>
      </c>
      <c r="L120" s="638">
        <f t="shared" si="3"/>
        <v>6662</v>
      </c>
      <c r="M120" s="39"/>
    </row>
    <row r="121" spans="1:13" s="10" customFormat="1" x14ac:dyDescent="0.2">
      <c r="A121" s="2">
        <v>39</v>
      </c>
      <c r="B121" s="2">
        <f t="shared" si="8"/>
        <v>4380</v>
      </c>
      <c r="D121" s="40">
        <v>39</v>
      </c>
      <c r="E121" s="41">
        <f t="shared" si="4"/>
        <v>275833</v>
      </c>
      <c r="F121" s="638">
        <f t="shared" si="5"/>
        <v>6564</v>
      </c>
      <c r="G121" s="638">
        <f t="shared" si="6"/>
        <v>6564</v>
      </c>
      <c r="H121" s="39"/>
      <c r="I121" s="40">
        <v>39</v>
      </c>
      <c r="J121" s="41">
        <f t="shared" si="7"/>
        <v>279956</v>
      </c>
      <c r="K121" s="638">
        <f t="shared" si="1"/>
        <v>6662</v>
      </c>
      <c r="L121" s="638">
        <f t="shared" si="3"/>
        <v>6662</v>
      </c>
      <c r="M121" s="39"/>
    </row>
    <row r="122" spans="1:13" s="10" customFormat="1" x14ac:dyDescent="0.2">
      <c r="A122" s="2">
        <v>40</v>
      </c>
      <c r="B122" s="2">
        <f t="shared" si="8"/>
        <v>4485</v>
      </c>
      <c r="D122" s="40">
        <v>40</v>
      </c>
      <c r="E122" s="41">
        <f t="shared" si="4"/>
        <v>282397</v>
      </c>
      <c r="F122" s="638">
        <f t="shared" si="5"/>
        <v>6564</v>
      </c>
      <c r="G122" s="638">
        <f t="shared" si="6"/>
        <v>6564</v>
      </c>
      <c r="H122" s="39"/>
      <c r="I122" s="40">
        <v>40</v>
      </c>
      <c r="J122" s="41">
        <f t="shared" si="7"/>
        <v>286618</v>
      </c>
      <c r="K122" s="638">
        <f t="shared" si="1"/>
        <v>6662</v>
      </c>
      <c r="L122" s="638">
        <f t="shared" si="3"/>
        <v>6662</v>
      </c>
      <c r="M122" s="39"/>
    </row>
    <row r="123" spans="1:13" s="10" customFormat="1" x14ac:dyDescent="0.2">
      <c r="A123" s="2">
        <v>41</v>
      </c>
      <c r="B123" s="2">
        <f t="shared" si="8"/>
        <v>4590</v>
      </c>
      <c r="D123" s="40">
        <v>41</v>
      </c>
      <c r="E123" s="41">
        <f t="shared" si="4"/>
        <v>288961</v>
      </c>
      <c r="F123" s="638">
        <f t="shared" si="5"/>
        <v>6564</v>
      </c>
      <c r="G123" s="638">
        <f t="shared" si="6"/>
        <v>6564</v>
      </c>
      <c r="H123" s="39"/>
      <c r="I123" s="40">
        <v>41</v>
      </c>
      <c r="J123" s="41">
        <f t="shared" si="7"/>
        <v>293280</v>
      </c>
      <c r="K123" s="638">
        <f t="shared" si="1"/>
        <v>6662</v>
      </c>
      <c r="L123" s="638">
        <f t="shared" si="3"/>
        <v>6662</v>
      </c>
      <c r="M123" s="39"/>
    </row>
    <row r="124" spans="1:13" s="10" customFormat="1" x14ac:dyDescent="0.2">
      <c r="A124" s="2">
        <v>42</v>
      </c>
      <c r="B124" s="2">
        <f t="shared" si="8"/>
        <v>4695</v>
      </c>
      <c r="D124" s="40">
        <v>42</v>
      </c>
      <c r="E124" s="41">
        <f t="shared" si="4"/>
        <v>295525</v>
      </c>
      <c r="F124" s="638">
        <f t="shared" si="5"/>
        <v>6564</v>
      </c>
      <c r="G124" s="638">
        <f t="shared" si="6"/>
        <v>6564</v>
      </c>
      <c r="H124" s="39"/>
      <c r="I124" s="40">
        <v>42</v>
      </c>
      <c r="J124" s="41">
        <f t="shared" si="7"/>
        <v>299942</v>
      </c>
      <c r="K124" s="638">
        <f t="shared" si="1"/>
        <v>6662</v>
      </c>
      <c r="L124" s="638">
        <f t="shared" si="3"/>
        <v>6662</v>
      </c>
      <c r="M124" s="39"/>
    </row>
    <row r="125" spans="1:13" s="10" customFormat="1" x14ac:dyDescent="0.2">
      <c r="A125" s="2">
        <v>43</v>
      </c>
      <c r="B125" s="2">
        <f t="shared" si="8"/>
        <v>4800</v>
      </c>
      <c r="D125" s="40">
        <v>43</v>
      </c>
      <c r="E125" s="41">
        <f t="shared" si="4"/>
        <v>302089</v>
      </c>
      <c r="F125" s="638">
        <f t="shared" si="5"/>
        <v>6564</v>
      </c>
      <c r="G125" s="638">
        <f t="shared" si="6"/>
        <v>6564</v>
      </c>
      <c r="H125" s="39"/>
      <c r="I125" s="40">
        <v>43</v>
      </c>
      <c r="J125" s="41">
        <f t="shared" si="7"/>
        <v>306604</v>
      </c>
      <c r="K125" s="638">
        <f t="shared" si="1"/>
        <v>6662</v>
      </c>
      <c r="L125" s="638">
        <f t="shared" si="3"/>
        <v>6662</v>
      </c>
      <c r="M125" s="39"/>
    </row>
    <row r="126" spans="1:13" s="10" customFormat="1" x14ac:dyDescent="0.2">
      <c r="A126" s="2">
        <v>44</v>
      </c>
      <c r="B126" s="2">
        <f t="shared" si="8"/>
        <v>4905</v>
      </c>
      <c r="D126" s="40">
        <v>44</v>
      </c>
      <c r="E126" s="41">
        <f t="shared" si="4"/>
        <v>308653</v>
      </c>
      <c r="F126" s="638">
        <f t="shared" si="5"/>
        <v>6564</v>
      </c>
      <c r="G126" s="638">
        <f t="shared" si="6"/>
        <v>6564</v>
      </c>
      <c r="H126" s="39"/>
      <c r="I126" s="40">
        <v>44</v>
      </c>
      <c r="J126" s="41">
        <f t="shared" si="7"/>
        <v>313266</v>
      </c>
      <c r="K126" s="638">
        <f t="shared" si="1"/>
        <v>6662</v>
      </c>
      <c r="L126" s="638">
        <f t="shared" si="3"/>
        <v>6662</v>
      </c>
      <c r="M126" s="39"/>
    </row>
    <row r="127" spans="1:13" s="10" customFormat="1" x14ac:dyDescent="0.2">
      <c r="A127" s="2">
        <v>45</v>
      </c>
      <c r="B127" s="2">
        <f t="shared" si="8"/>
        <v>5010</v>
      </c>
      <c r="D127" s="40">
        <v>45</v>
      </c>
      <c r="E127" s="41">
        <f t="shared" si="4"/>
        <v>315217</v>
      </c>
      <c r="F127" s="638">
        <f t="shared" si="5"/>
        <v>6564</v>
      </c>
      <c r="G127" s="638">
        <f t="shared" si="6"/>
        <v>6564</v>
      </c>
      <c r="H127" s="39"/>
      <c r="I127" s="40">
        <v>45</v>
      </c>
      <c r="J127" s="41">
        <f t="shared" si="7"/>
        <v>319928</v>
      </c>
      <c r="K127" s="638">
        <f t="shared" si="1"/>
        <v>6662</v>
      </c>
      <c r="L127" s="638">
        <f t="shared" si="3"/>
        <v>6662</v>
      </c>
      <c r="M127" s="39"/>
    </row>
    <row r="128" spans="1:13" s="10" customFormat="1" x14ac:dyDescent="0.2">
      <c r="A128" s="2">
        <v>46</v>
      </c>
      <c r="B128" s="2">
        <f t="shared" si="8"/>
        <v>5115</v>
      </c>
      <c r="D128" s="40">
        <v>46</v>
      </c>
      <c r="E128" s="41">
        <f t="shared" si="4"/>
        <v>321781</v>
      </c>
      <c r="F128" s="638">
        <f t="shared" si="5"/>
        <v>6564</v>
      </c>
      <c r="G128" s="638">
        <f t="shared" si="6"/>
        <v>6564</v>
      </c>
      <c r="H128" s="39"/>
      <c r="I128" s="40">
        <v>46</v>
      </c>
      <c r="J128" s="41">
        <f t="shared" si="7"/>
        <v>326590</v>
      </c>
      <c r="K128" s="638">
        <f t="shared" si="1"/>
        <v>6662</v>
      </c>
      <c r="L128" s="638">
        <f t="shared" si="3"/>
        <v>6662</v>
      </c>
      <c r="M128" s="39"/>
    </row>
    <row r="129" spans="1:13" s="10" customFormat="1" x14ac:dyDescent="0.2">
      <c r="A129" s="2">
        <v>47</v>
      </c>
      <c r="B129" s="2">
        <f t="shared" si="8"/>
        <v>5220</v>
      </c>
      <c r="D129" s="40">
        <v>47</v>
      </c>
      <c r="E129" s="41">
        <f t="shared" si="4"/>
        <v>328345</v>
      </c>
      <c r="F129" s="638">
        <f t="shared" si="5"/>
        <v>6564</v>
      </c>
      <c r="G129" s="638">
        <f t="shared" si="6"/>
        <v>6564</v>
      </c>
      <c r="H129" s="39"/>
      <c r="I129" s="40">
        <v>47</v>
      </c>
      <c r="J129" s="41">
        <f t="shared" si="7"/>
        <v>333252</v>
      </c>
      <c r="K129" s="638">
        <f t="shared" si="1"/>
        <v>6662</v>
      </c>
      <c r="L129" s="638">
        <f t="shared" si="3"/>
        <v>6662</v>
      </c>
      <c r="M129" s="39"/>
    </row>
    <row r="130" spans="1:13" s="10" customFormat="1" x14ac:dyDescent="0.2">
      <c r="A130" s="2">
        <v>48</v>
      </c>
      <c r="B130" s="2">
        <f t="shared" si="8"/>
        <v>5325</v>
      </c>
      <c r="D130" s="40">
        <v>48</v>
      </c>
      <c r="E130" s="41">
        <f t="shared" si="4"/>
        <v>334909</v>
      </c>
      <c r="F130" s="638">
        <f t="shared" si="5"/>
        <v>6564</v>
      </c>
      <c r="G130" s="638">
        <f t="shared" si="6"/>
        <v>6564</v>
      </c>
      <c r="H130" s="39"/>
      <c r="I130" s="40">
        <v>48</v>
      </c>
      <c r="J130" s="41">
        <f t="shared" si="7"/>
        <v>339914</v>
      </c>
      <c r="K130" s="638">
        <f t="shared" si="1"/>
        <v>6662</v>
      </c>
      <c r="L130" s="638">
        <f t="shared" si="3"/>
        <v>6662</v>
      </c>
      <c r="M130" s="39"/>
    </row>
    <row r="131" spans="1:13" s="10" customFormat="1" x14ac:dyDescent="0.2">
      <c r="A131" s="2">
        <v>49</v>
      </c>
      <c r="B131" s="2">
        <f t="shared" si="8"/>
        <v>5430</v>
      </c>
      <c r="D131" s="40">
        <v>49</v>
      </c>
      <c r="E131" s="41">
        <f t="shared" si="4"/>
        <v>341473</v>
      </c>
      <c r="F131" s="638">
        <f t="shared" si="5"/>
        <v>6564</v>
      </c>
      <c r="G131" s="638">
        <f t="shared" si="6"/>
        <v>6564</v>
      </c>
      <c r="H131" s="39"/>
      <c r="I131" s="40">
        <v>49</v>
      </c>
      <c r="J131" s="41">
        <f t="shared" si="7"/>
        <v>346576</v>
      </c>
      <c r="K131" s="638">
        <f t="shared" si="1"/>
        <v>6662</v>
      </c>
      <c r="L131" s="638">
        <f t="shared" si="3"/>
        <v>6662</v>
      </c>
      <c r="M131" s="39"/>
    </row>
    <row r="132" spans="1:13" s="10" customFormat="1" x14ac:dyDescent="0.2">
      <c r="A132" s="2">
        <v>50</v>
      </c>
      <c r="B132" s="2">
        <f t="shared" si="8"/>
        <v>5535</v>
      </c>
      <c r="D132" s="40">
        <v>50</v>
      </c>
      <c r="E132" s="41">
        <f t="shared" si="4"/>
        <v>348037</v>
      </c>
      <c r="F132" s="638">
        <f t="shared" si="5"/>
        <v>6564</v>
      </c>
      <c r="G132" s="638">
        <f t="shared" si="6"/>
        <v>6564</v>
      </c>
      <c r="H132" s="39"/>
      <c r="I132" s="40">
        <v>50</v>
      </c>
      <c r="J132" s="41">
        <f t="shared" si="7"/>
        <v>353238</v>
      </c>
      <c r="K132" s="638">
        <f t="shared" si="1"/>
        <v>6662</v>
      </c>
      <c r="L132" s="638">
        <f t="shared" si="3"/>
        <v>6662</v>
      </c>
      <c r="M132" s="39"/>
    </row>
    <row r="133" spans="1:13" s="5" customFormat="1" x14ac:dyDescent="0.2">
      <c r="B133" s="6"/>
    </row>
    <row r="134" spans="1:13" s="1" customFormat="1" x14ac:dyDescent="0.2">
      <c r="A134" s="29" t="s">
        <v>95</v>
      </c>
      <c r="B134" s="30"/>
      <c r="C134" s="9" t="s">
        <v>220</v>
      </c>
    </row>
    <row r="135" spans="1:13" s="1" customFormat="1" x14ac:dyDescent="0.2">
      <c r="B135" s="30"/>
      <c r="C135" s="2">
        <v>999</v>
      </c>
      <c r="E135" s="1118" t="s">
        <v>577</v>
      </c>
    </row>
    <row r="136" spans="1:13" s="1" customFormat="1" x14ac:dyDescent="0.2">
      <c r="B136" s="30"/>
      <c r="C136" s="31">
        <v>1011</v>
      </c>
      <c r="E136" s="1176" t="s">
        <v>580</v>
      </c>
      <c r="F136" s="1177"/>
      <c r="G136" s="1150" t="s">
        <v>6935</v>
      </c>
      <c r="H136" s="1" t="s">
        <v>578</v>
      </c>
      <c r="I136" s="1" t="s">
        <v>579</v>
      </c>
    </row>
    <row r="137" spans="1:13" s="1" customFormat="1" x14ac:dyDescent="0.2">
      <c r="B137" s="30"/>
      <c r="C137" s="31">
        <v>1012</v>
      </c>
      <c r="E137" s="1">
        <v>0</v>
      </c>
      <c r="F137" s="1167">
        <v>10</v>
      </c>
      <c r="G137" s="1169">
        <v>0</v>
      </c>
      <c r="H137" s="1117">
        <v>0</v>
      </c>
      <c r="I137" s="1117">
        <v>0</v>
      </c>
    </row>
    <row r="138" spans="1:13" s="1" customFormat="1" x14ac:dyDescent="0.2">
      <c r="B138" s="30"/>
      <c r="C138" s="31">
        <v>1013</v>
      </c>
      <c r="E138" s="1">
        <v>11</v>
      </c>
      <c r="F138" s="1">
        <v>20</v>
      </c>
      <c r="G138" s="1165">
        <v>0.2</v>
      </c>
      <c r="H138" s="1117">
        <v>14674.75</v>
      </c>
      <c r="I138" s="1117">
        <v>446.23</v>
      </c>
    </row>
    <row r="139" spans="1:13" s="1" customFormat="1" x14ac:dyDescent="0.2">
      <c r="B139" s="30"/>
      <c r="C139" s="31">
        <v>1014</v>
      </c>
      <c r="E139" s="1">
        <v>21</v>
      </c>
      <c r="F139" s="1">
        <v>30</v>
      </c>
      <c r="G139" s="1165">
        <v>0.3</v>
      </c>
      <c r="H139" s="1117">
        <f>1.08*22012.51</f>
        <v>23773.5108</v>
      </c>
      <c r="I139" s="1117">
        <v>669.34</v>
      </c>
    </row>
    <row r="140" spans="1:13" s="1" customFormat="1" x14ac:dyDescent="0.2">
      <c r="B140" s="30"/>
      <c r="C140" s="31">
        <v>1015</v>
      </c>
      <c r="E140" s="1">
        <v>31</v>
      </c>
      <c r="F140" s="1">
        <v>40</v>
      </c>
      <c r="G140" s="1165">
        <v>0.4</v>
      </c>
      <c r="H140" s="1117">
        <v>29349.89</v>
      </c>
      <c r="I140" s="1117">
        <v>892.46</v>
      </c>
    </row>
    <row r="141" spans="1:13" s="1" customFormat="1" x14ac:dyDescent="0.2">
      <c r="B141" s="30"/>
      <c r="C141" s="31">
        <v>1016</v>
      </c>
      <c r="E141" s="1">
        <v>41</v>
      </c>
      <c r="F141" s="1">
        <v>50</v>
      </c>
      <c r="G141" s="1165">
        <v>0.5</v>
      </c>
      <c r="H141" s="1117">
        <v>36694.1</v>
      </c>
      <c r="I141" s="1117">
        <v>1115.78</v>
      </c>
    </row>
    <row r="142" spans="1:13" s="1" customFormat="1" x14ac:dyDescent="0.2">
      <c r="B142" s="30"/>
      <c r="C142" s="31">
        <v>1017</v>
      </c>
      <c r="E142" s="1">
        <v>51</v>
      </c>
      <c r="F142" s="1">
        <v>60</v>
      </c>
      <c r="G142" s="1165">
        <v>0.6</v>
      </c>
      <c r="H142" s="1117">
        <v>44031.47</v>
      </c>
      <c r="I142" s="1117">
        <v>1338.89</v>
      </c>
    </row>
    <row r="143" spans="1:13" s="1" customFormat="1" x14ac:dyDescent="0.2">
      <c r="B143" s="30"/>
      <c r="C143" s="31">
        <v>1018</v>
      </c>
      <c r="E143" s="1">
        <v>61</v>
      </c>
      <c r="F143" s="1">
        <v>70</v>
      </c>
      <c r="G143" s="1165">
        <v>0.7</v>
      </c>
      <c r="H143" s="1117">
        <v>51368.85</v>
      </c>
      <c r="I143" s="1117">
        <v>1562</v>
      </c>
    </row>
    <row r="144" spans="1:13" s="1" customFormat="1" x14ac:dyDescent="0.2">
      <c r="B144" s="30"/>
      <c r="C144" s="31">
        <v>1021</v>
      </c>
      <c r="E144" s="1">
        <v>71</v>
      </c>
      <c r="F144" s="1">
        <v>80</v>
      </c>
      <c r="G144" s="1165">
        <v>0.8</v>
      </c>
      <c r="H144" s="1117">
        <v>58706.61</v>
      </c>
      <c r="I144" s="1117">
        <v>1785.12</v>
      </c>
    </row>
    <row r="145" spans="2:10" s="1" customFormat="1" x14ac:dyDescent="0.2">
      <c r="B145" s="30"/>
      <c r="C145" s="31">
        <v>1022</v>
      </c>
      <c r="E145" s="1">
        <v>81</v>
      </c>
      <c r="F145" s="1">
        <v>90</v>
      </c>
      <c r="G145" s="1165">
        <v>0.9</v>
      </c>
      <c r="H145" s="1117">
        <v>66043.990000000005</v>
      </c>
      <c r="I145" s="1117">
        <v>2008.23</v>
      </c>
    </row>
    <row r="146" spans="2:10" s="1" customFormat="1" x14ac:dyDescent="0.2">
      <c r="B146" s="30"/>
      <c r="C146" s="31">
        <v>1023</v>
      </c>
      <c r="E146" s="1">
        <v>91</v>
      </c>
      <c r="F146" s="1">
        <v>100</v>
      </c>
      <c r="G146" s="1165">
        <v>1</v>
      </c>
      <c r="H146" s="1117">
        <v>73381.36</v>
      </c>
      <c r="I146" s="1117">
        <v>2231.35</v>
      </c>
    </row>
    <row r="147" spans="2:10" s="1" customFormat="1" x14ac:dyDescent="0.2">
      <c r="B147" s="30"/>
      <c r="C147" s="31">
        <v>1024</v>
      </c>
      <c r="E147" s="1">
        <v>101</v>
      </c>
      <c r="F147" s="1">
        <v>110</v>
      </c>
      <c r="G147" s="1165">
        <v>1.1000000000000001</v>
      </c>
      <c r="H147" s="1117">
        <v>80718.720000000001</v>
      </c>
      <c r="I147" s="1117">
        <v>2454.46</v>
      </c>
    </row>
    <row r="148" spans="2:10" s="1" customFormat="1" x14ac:dyDescent="0.2">
      <c r="B148" s="30"/>
      <c r="C148" s="31">
        <v>1025</v>
      </c>
      <c r="E148" s="1">
        <v>111</v>
      </c>
      <c r="F148" s="1">
        <v>120</v>
      </c>
      <c r="G148" s="1165">
        <v>1.2</v>
      </c>
      <c r="H148" s="1117">
        <v>88056.5</v>
      </c>
      <c r="I148" s="1117">
        <v>2677.58</v>
      </c>
    </row>
    <row r="149" spans="2:10" s="1" customFormat="1" x14ac:dyDescent="0.2">
      <c r="B149" s="30"/>
      <c r="C149" s="31">
        <v>1031</v>
      </c>
      <c r="E149" s="1">
        <v>121</v>
      </c>
      <c r="F149" s="1">
        <v>130</v>
      </c>
      <c r="G149" s="1165">
        <v>1.3</v>
      </c>
      <c r="H149" s="1117">
        <v>95393.87</v>
      </c>
      <c r="I149" s="1117">
        <v>2900.69</v>
      </c>
    </row>
    <row r="150" spans="2:10" s="1" customFormat="1" x14ac:dyDescent="0.2">
      <c r="B150" s="30"/>
      <c r="C150" s="31">
        <v>1032</v>
      </c>
      <c r="E150" s="1">
        <v>131</v>
      </c>
      <c r="F150" s="1">
        <v>140</v>
      </c>
      <c r="G150" s="1165">
        <v>1.4</v>
      </c>
      <c r="H150" s="1117">
        <v>102731.24</v>
      </c>
      <c r="I150" s="1117">
        <v>3123.8</v>
      </c>
    </row>
    <row r="151" spans="2:10" s="1" customFormat="1" x14ac:dyDescent="0.2">
      <c r="B151" s="30"/>
      <c r="C151" s="31">
        <v>1033</v>
      </c>
      <c r="E151" s="1">
        <v>141</v>
      </c>
      <c r="F151" s="1">
        <v>150</v>
      </c>
      <c r="G151" s="1165">
        <v>1.5</v>
      </c>
      <c r="H151" s="1117">
        <v>110075.46</v>
      </c>
      <c r="I151" s="1117">
        <v>3347.12</v>
      </c>
    </row>
    <row r="152" spans="2:10" s="1" customFormat="1" x14ac:dyDescent="0.2">
      <c r="B152" s="30"/>
      <c r="C152" s="31">
        <v>1034</v>
      </c>
      <c r="E152" s="1">
        <v>151</v>
      </c>
      <c r="F152" s="1">
        <v>165</v>
      </c>
      <c r="G152" s="1165">
        <v>1.6</v>
      </c>
      <c r="H152" s="1117">
        <v>117412.84</v>
      </c>
      <c r="I152" s="1117">
        <v>3570.24</v>
      </c>
    </row>
    <row r="153" spans="2:10" s="1" customFormat="1" x14ac:dyDescent="0.2">
      <c r="B153" s="30"/>
      <c r="C153" s="31">
        <v>1051</v>
      </c>
      <c r="E153" s="1">
        <f>E152+15</f>
        <v>166</v>
      </c>
      <c r="F153" s="1">
        <f>F152+15</f>
        <v>180</v>
      </c>
      <c r="G153" s="1165">
        <v>1.7</v>
      </c>
      <c r="H153" s="1117">
        <v>124750.6</v>
      </c>
      <c r="I153" s="1117">
        <v>3793.35</v>
      </c>
    </row>
    <row r="154" spans="2:10" s="1" customFormat="1" x14ac:dyDescent="0.2">
      <c r="B154" s="30"/>
      <c r="C154" s="31">
        <v>1052</v>
      </c>
      <c r="E154" s="1">
        <f t="shared" ref="E154:E181" si="9">E153+15</f>
        <v>181</v>
      </c>
      <c r="F154" s="1">
        <f t="shared" ref="F154:F181" si="10">F153+15</f>
        <v>195</v>
      </c>
      <c r="G154" s="1165">
        <v>1.8</v>
      </c>
      <c r="H154" s="1117">
        <v>132087.97</v>
      </c>
      <c r="I154" s="1117">
        <v>4016.47</v>
      </c>
    </row>
    <row r="155" spans="2:10" s="1" customFormat="1" x14ac:dyDescent="0.2">
      <c r="B155" s="30"/>
      <c r="C155" s="31">
        <v>1053</v>
      </c>
      <c r="E155" s="1">
        <f t="shared" si="9"/>
        <v>196</v>
      </c>
      <c r="F155" s="1">
        <f t="shared" si="10"/>
        <v>210</v>
      </c>
      <c r="G155" s="1165">
        <v>1.9</v>
      </c>
      <c r="H155" s="1117">
        <v>139425.34</v>
      </c>
      <c r="I155" s="1117">
        <v>4239.58</v>
      </c>
      <c r="J155" s="10"/>
    </row>
    <row r="156" spans="2:10" s="1" customFormat="1" x14ac:dyDescent="0.2">
      <c r="B156" s="30"/>
      <c r="C156" s="31">
        <v>1054</v>
      </c>
      <c r="E156" s="1">
        <f t="shared" si="9"/>
        <v>211</v>
      </c>
      <c r="F156" s="1">
        <f t="shared" si="10"/>
        <v>225</v>
      </c>
      <c r="G156" s="1165">
        <v>2</v>
      </c>
      <c r="H156" s="1117">
        <f>H155+7337.37</f>
        <v>146762.71</v>
      </c>
      <c r="I156" s="1117">
        <f>I155+223.11</f>
        <v>4462.6899999999996</v>
      </c>
    </row>
    <row r="157" spans="2:10" s="1" customFormat="1" x14ac:dyDescent="0.2">
      <c r="B157" s="30"/>
      <c r="C157" s="31">
        <v>1055</v>
      </c>
      <c r="E157" s="1">
        <f t="shared" si="9"/>
        <v>226</v>
      </c>
      <c r="F157" s="1">
        <f t="shared" si="10"/>
        <v>240</v>
      </c>
      <c r="G157" s="1165">
        <v>2.1</v>
      </c>
      <c r="H157" s="1117">
        <f t="shared" ref="H157:H181" si="11">H156+7337.37</f>
        <v>154100.07999999999</v>
      </c>
      <c r="I157" s="1117">
        <f t="shared" ref="I157:I181" si="12">I156+223.11</f>
        <v>4685.7999999999993</v>
      </c>
    </row>
    <row r="158" spans="2:10" s="1" customFormat="1" x14ac:dyDescent="0.2">
      <c r="B158" s="30"/>
      <c r="C158" s="31">
        <v>1056</v>
      </c>
      <c r="E158" s="1">
        <f t="shared" si="9"/>
        <v>241</v>
      </c>
      <c r="F158" s="1">
        <f t="shared" si="10"/>
        <v>255</v>
      </c>
      <c r="G158" s="1165">
        <v>2.2000000000000002</v>
      </c>
      <c r="H158" s="1117">
        <f t="shared" si="11"/>
        <v>161437.44999999998</v>
      </c>
      <c r="I158" s="1117">
        <f t="shared" si="12"/>
        <v>4908.9099999999989</v>
      </c>
    </row>
    <row r="159" spans="2:10" s="1" customFormat="1" x14ac:dyDescent="0.2">
      <c r="B159" s="30"/>
      <c r="C159" s="31">
        <v>1057</v>
      </c>
      <c r="E159" s="1">
        <f t="shared" si="9"/>
        <v>256</v>
      </c>
      <c r="F159" s="1">
        <f t="shared" si="10"/>
        <v>270</v>
      </c>
      <c r="G159" s="1165">
        <v>2.2999999999999998</v>
      </c>
      <c r="H159" s="1117">
        <f t="shared" si="11"/>
        <v>168774.81999999998</v>
      </c>
      <c r="I159" s="1117">
        <f t="shared" si="12"/>
        <v>5132.0199999999986</v>
      </c>
    </row>
    <row r="160" spans="2:10" s="1" customFormat="1" x14ac:dyDescent="0.2">
      <c r="B160" s="30"/>
      <c r="C160" s="31">
        <v>1058</v>
      </c>
      <c r="E160" s="1">
        <f t="shared" si="9"/>
        <v>271</v>
      </c>
      <c r="F160" s="1">
        <f t="shared" si="10"/>
        <v>285</v>
      </c>
      <c r="G160" s="1165">
        <v>2.4</v>
      </c>
      <c r="H160" s="1117">
        <f t="shared" si="11"/>
        <v>176112.18999999997</v>
      </c>
      <c r="I160" s="1117">
        <f t="shared" si="12"/>
        <v>5355.1299999999983</v>
      </c>
    </row>
    <row r="161" spans="2:9" s="1" customFormat="1" x14ac:dyDescent="0.2">
      <c r="B161" s="30"/>
      <c r="C161" s="31">
        <v>1059</v>
      </c>
      <c r="E161" s="1">
        <f t="shared" si="9"/>
        <v>286</v>
      </c>
      <c r="F161" s="1">
        <f t="shared" si="10"/>
        <v>300</v>
      </c>
      <c r="G161" s="1165">
        <v>2.5</v>
      </c>
      <c r="H161" s="1117">
        <f t="shared" si="11"/>
        <v>183449.55999999997</v>
      </c>
      <c r="I161" s="1117">
        <f t="shared" si="12"/>
        <v>5578.239999999998</v>
      </c>
    </row>
    <row r="162" spans="2:9" s="1" customFormat="1" x14ac:dyDescent="0.2">
      <c r="B162" s="30"/>
      <c r="C162" s="31">
        <v>1061</v>
      </c>
      <c r="E162" s="1">
        <f t="shared" si="9"/>
        <v>301</v>
      </c>
      <c r="F162" s="1">
        <f t="shared" si="10"/>
        <v>315</v>
      </c>
      <c r="G162" s="1165">
        <v>2.6</v>
      </c>
      <c r="H162" s="1117">
        <f t="shared" si="11"/>
        <v>190786.92999999996</v>
      </c>
      <c r="I162" s="1117">
        <f t="shared" si="12"/>
        <v>5801.3499999999976</v>
      </c>
    </row>
    <row r="163" spans="2:9" s="1" customFormat="1" x14ac:dyDescent="0.2">
      <c r="B163" s="30"/>
      <c r="C163" s="31">
        <v>1062</v>
      </c>
      <c r="E163" s="1">
        <f t="shared" si="9"/>
        <v>316</v>
      </c>
      <c r="F163" s="1">
        <f t="shared" si="10"/>
        <v>330</v>
      </c>
      <c r="G163" s="1165">
        <v>2.7</v>
      </c>
      <c r="H163" s="1117">
        <f t="shared" si="11"/>
        <v>198124.29999999996</v>
      </c>
      <c r="I163" s="1117">
        <f t="shared" si="12"/>
        <v>6024.4599999999973</v>
      </c>
    </row>
    <row r="164" spans="2:9" s="1" customFormat="1" x14ac:dyDescent="0.2">
      <c r="B164" s="30"/>
      <c r="C164" s="31">
        <v>1063</v>
      </c>
      <c r="E164" s="1">
        <f t="shared" si="9"/>
        <v>331</v>
      </c>
      <c r="F164" s="1">
        <f t="shared" si="10"/>
        <v>345</v>
      </c>
      <c r="G164" s="1165">
        <v>2.8</v>
      </c>
      <c r="H164" s="1117">
        <f t="shared" si="11"/>
        <v>205461.66999999995</v>
      </c>
      <c r="I164" s="1117">
        <f t="shared" si="12"/>
        <v>6247.569999999997</v>
      </c>
    </row>
    <row r="165" spans="2:9" s="1" customFormat="1" x14ac:dyDescent="0.2">
      <c r="B165" s="30"/>
      <c r="C165" s="31">
        <v>1064</v>
      </c>
      <c r="E165" s="1">
        <f t="shared" si="9"/>
        <v>346</v>
      </c>
      <c r="F165" s="1">
        <f t="shared" si="10"/>
        <v>360</v>
      </c>
      <c r="G165" s="1165">
        <v>2.9</v>
      </c>
      <c r="H165" s="1117">
        <f t="shared" si="11"/>
        <v>212799.03999999995</v>
      </c>
      <c r="I165" s="1117">
        <f t="shared" si="12"/>
        <v>6470.6799999999967</v>
      </c>
    </row>
    <row r="166" spans="2:9" s="1" customFormat="1" x14ac:dyDescent="0.2">
      <c r="B166" s="30"/>
      <c r="C166" s="31">
        <v>1065</v>
      </c>
      <c r="E166" s="1">
        <f t="shared" si="9"/>
        <v>361</v>
      </c>
      <c r="F166" s="1">
        <f t="shared" si="10"/>
        <v>375</v>
      </c>
      <c r="G166" s="1165">
        <v>3</v>
      </c>
      <c r="H166" s="1117">
        <f t="shared" si="11"/>
        <v>220136.40999999995</v>
      </c>
      <c r="I166" s="1117">
        <f t="shared" si="12"/>
        <v>6693.7899999999963</v>
      </c>
    </row>
    <row r="167" spans="2:9" s="1" customFormat="1" x14ac:dyDescent="0.2">
      <c r="B167" s="30"/>
      <c r="C167" s="31">
        <v>1067</v>
      </c>
      <c r="E167" s="1">
        <f t="shared" si="9"/>
        <v>376</v>
      </c>
      <c r="F167" s="1">
        <f t="shared" si="10"/>
        <v>390</v>
      </c>
      <c r="G167" s="1165">
        <v>3.1</v>
      </c>
      <c r="H167" s="1117">
        <f t="shared" si="11"/>
        <v>227473.77999999994</v>
      </c>
      <c r="I167" s="1117">
        <f t="shared" si="12"/>
        <v>6916.899999999996</v>
      </c>
    </row>
    <row r="168" spans="2:9" s="1" customFormat="1" x14ac:dyDescent="0.2">
      <c r="B168" s="30"/>
      <c r="C168" s="31">
        <v>1068</v>
      </c>
      <c r="E168" s="1">
        <f t="shared" si="9"/>
        <v>391</v>
      </c>
      <c r="F168" s="1">
        <f t="shared" si="10"/>
        <v>405</v>
      </c>
      <c r="G168" s="1165">
        <v>3.2</v>
      </c>
      <c r="H168" s="1117">
        <f t="shared" si="11"/>
        <v>234811.14999999994</v>
      </c>
      <c r="I168" s="1117">
        <f t="shared" si="12"/>
        <v>7140.0099999999957</v>
      </c>
    </row>
    <row r="169" spans="2:9" s="1" customFormat="1" x14ac:dyDescent="0.2">
      <c r="B169" s="30"/>
      <c r="C169" s="31">
        <v>1069</v>
      </c>
      <c r="E169" s="1">
        <f t="shared" si="9"/>
        <v>406</v>
      </c>
      <c r="F169" s="1">
        <f t="shared" si="10"/>
        <v>420</v>
      </c>
      <c r="G169" s="1165">
        <v>3.3</v>
      </c>
      <c r="H169" s="1117">
        <f t="shared" si="11"/>
        <v>242148.51999999993</v>
      </c>
      <c r="I169" s="1117">
        <f t="shared" si="12"/>
        <v>7363.1199999999953</v>
      </c>
    </row>
    <row r="170" spans="2:9" s="1" customFormat="1" x14ac:dyDescent="0.2">
      <c r="B170" s="30"/>
      <c r="C170" s="31">
        <v>1072</v>
      </c>
      <c r="E170" s="1">
        <f t="shared" si="9"/>
        <v>421</v>
      </c>
      <c r="F170" s="1">
        <f t="shared" si="10"/>
        <v>435</v>
      </c>
      <c r="G170" s="1165">
        <v>3.4</v>
      </c>
      <c r="H170" s="1117">
        <f t="shared" si="11"/>
        <v>249485.88999999993</v>
      </c>
      <c r="I170" s="1117">
        <f t="shared" si="12"/>
        <v>7586.229999999995</v>
      </c>
    </row>
    <row r="171" spans="2:9" s="1" customFormat="1" x14ac:dyDescent="0.2">
      <c r="B171" s="30"/>
      <c r="C171" s="31">
        <v>1073</v>
      </c>
      <c r="E171" s="1">
        <f t="shared" si="9"/>
        <v>436</v>
      </c>
      <c r="F171" s="1">
        <f t="shared" si="10"/>
        <v>450</v>
      </c>
      <c r="G171" s="1165">
        <v>3.5</v>
      </c>
      <c r="H171" s="1117">
        <f t="shared" si="11"/>
        <v>256823.25999999992</v>
      </c>
      <c r="I171" s="1117">
        <f t="shared" si="12"/>
        <v>7809.3399999999947</v>
      </c>
    </row>
    <row r="172" spans="2:9" s="1" customFormat="1" x14ac:dyDescent="0.2">
      <c r="B172" s="30"/>
      <c r="C172" s="31">
        <v>1074</v>
      </c>
      <c r="E172" s="1">
        <f t="shared" si="9"/>
        <v>451</v>
      </c>
      <c r="F172" s="1">
        <f t="shared" si="10"/>
        <v>465</v>
      </c>
      <c r="G172" s="1165">
        <v>3.6</v>
      </c>
      <c r="H172" s="1117">
        <f t="shared" si="11"/>
        <v>264160.62999999995</v>
      </c>
      <c r="I172" s="1117">
        <f t="shared" si="12"/>
        <v>8032.4499999999944</v>
      </c>
    </row>
    <row r="173" spans="2:9" s="1" customFormat="1" x14ac:dyDescent="0.2">
      <c r="B173" s="30"/>
      <c r="C173" s="31">
        <v>1075</v>
      </c>
      <c r="E173" s="1">
        <f t="shared" si="9"/>
        <v>466</v>
      </c>
      <c r="F173" s="1">
        <f t="shared" si="10"/>
        <v>480</v>
      </c>
      <c r="G173" s="1165">
        <v>3.7</v>
      </c>
      <c r="H173" s="1117">
        <f t="shared" si="11"/>
        <v>271497.99999999994</v>
      </c>
      <c r="I173" s="1117">
        <f t="shared" si="12"/>
        <v>8255.559999999994</v>
      </c>
    </row>
    <row r="174" spans="2:9" s="1" customFormat="1" x14ac:dyDescent="0.2">
      <c r="B174" s="30"/>
      <c r="C174" s="31">
        <v>1076</v>
      </c>
      <c r="E174" s="1">
        <f t="shared" si="9"/>
        <v>481</v>
      </c>
      <c r="F174" s="1">
        <f t="shared" si="10"/>
        <v>495</v>
      </c>
      <c r="G174" s="1165">
        <v>3.8</v>
      </c>
      <c r="H174" s="1117">
        <f t="shared" si="11"/>
        <v>278835.36999999994</v>
      </c>
      <c r="I174" s="1117">
        <f t="shared" si="12"/>
        <v>8478.6699999999946</v>
      </c>
    </row>
    <row r="175" spans="2:9" s="1" customFormat="1" x14ac:dyDescent="0.2">
      <c r="B175" s="30"/>
      <c r="C175" s="31">
        <v>1078</v>
      </c>
      <c r="E175" s="1">
        <f t="shared" si="9"/>
        <v>496</v>
      </c>
      <c r="F175" s="1">
        <f t="shared" si="10"/>
        <v>510</v>
      </c>
      <c r="G175" s="1165">
        <v>3.9</v>
      </c>
      <c r="H175" s="1117">
        <f t="shared" si="11"/>
        <v>286172.73999999993</v>
      </c>
      <c r="I175" s="1117">
        <f t="shared" si="12"/>
        <v>8701.7799999999952</v>
      </c>
    </row>
    <row r="176" spans="2:9" s="1" customFormat="1" x14ac:dyDescent="0.2">
      <c r="B176" s="30"/>
      <c r="C176" s="31">
        <v>1079</v>
      </c>
      <c r="E176" s="1">
        <f t="shared" si="9"/>
        <v>511</v>
      </c>
      <c r="F176" s="1">
        <f t="shared" si="10"/>
        <v>525</v>
      </c>
      <c r="G176" s="1165">
        <v>4</v>
      </c>
      <c r="H176" s="1117">
        <f t="shared" si="11"/>
        <v>293510.10999999993</v>
      </c>
      <c r="I176" s="1117">
        <f t="shared" si="12"/>
        <v>8924.8899999999958</v>
      </c>
    </row>
    <row r="177" spans="2:9" s="1" customFormat="1" x14ac:dyDescent="0.2">
      <c r="B177" s="30"/>
      <c r="C177" s="31">
        <v>1087</v>
      </c>
      <c r="E177" s="1">
        <f t="shared" si="9"/>
        <v>526</v>
      </c>
      <c r="F177" s="1">
        <f t="shared" si="10"/>
        <v>540</v>
      </c>
      <c r="G177" s="1165">
        <v>4.0999999999999996</v>
      </c>
      <c r="H177" s="1117">
        <f t="shared" si="11"/>
        <v>300847.47999999992</v>
      </c>
      <c r="I177" s="1117">
        <f t="shared" si="12"/>
        <v>9147.9999999999964</v>
      </c>
    </row>
    <row r="178" spans="2:9" s="1" customFormat="1" x14ac:dyDescent="0.2">
      <c r="B178" s="30"/>
      <c r="C178" s="31">
        <v>1091</v>
      </c>
      <c r="E178" s="1">
        <f t="shared" si="9"/>
        <v>541</v>
      </c>
      <c r="F178" s="1">
        <f t="shared" si="10"/>
        <v>555</v>
      </c>
      <c r="G178" s="1165">
        <v>4.2</v>
      </c>
      <c r="H178" s="1117">
        <f t="shared" si="11"/>
        <v>308184.84999999992</v>
      </c>
      <c r="I178" s="1117">
        <f t="shared" si="12"/>
        <v>9371.1099999999969</v>
      </c>
    </row>
    <row r="179" spans="2:9" s="1" customFormat="1" x14ac:dyDescent="0.2">
      <c r="B179" s="30"/>
      <c r="C179" s="31">
        <v>1092</v>
      </c>
      <c r="E179" s="1">
        <f t="shared" si="9"/>
        <v>556</v>
      </c>
      <c r="F179" s="1">
        <f t="shared" si="10"/>
        <v>570</v>
      </c>
      <c r="G179" s="1165">
        <v>4.3</v>
      </c>
      <c r="H179" s="1117">
        <f t="shared" si="11"/>
        <v>315522.21999999991</v>
      </c>
      <c r="I179" s="1117">
        <f t="shared" si="12"/>
        <v>9594.2199999999975</v>
      </c>
    </row>
    <row r="180" spans="2:9" s="1" customFormat="1" x14ac:dyDescent="0.2">
      <c r="B180" s="30"/>
      <c r="C180" s="31">
        <v>1093</v>
      </c>
      <c r="E180" s="1">
        <f t="shared" si="9"/>
        <v>571</v>
      </c>
      <c r="F180" s="1">
        <f t="shared" si="10"/>
        <v>585</v>
      </c>
      <c r="G180" s="1165">
        <v>4.4000000000000004</v>
      </c>
      <c r="H180" s="1117">
        <f t="shared" si="11"/>
        <v>322859.58999999991</v>
      </c>
      <c r="I180" s="1117">
        <f t="shared" si="12"/>
        <v>9817.3299999999981</v>
      </c>
    </row>
    <row r="181" spans="2:9" s="1" customFormat="1" x14ac:dyDescent="0.2">
      <c r="B181" s="30"/>
      <c r="C181" s="31">
        <v>1094</v>
      </c>
      <c r="E181" s="1">
        <f t="shared" si="9"/>
        <v>586</v>
      </c>
      <c r="F181" s="1">
        <f t="shared" si="10"/>
        <v>600</v>
      </c>
      <c r="G181" s="1165">
        <v>4.5</v>
      </c>
      <c r="H181" s="1117">
        <f t="shared" si="11"/>
        <v>330196.9599999999</v>
      </c>
      <c r="I181" s="1117">
        <f t="shared" si="12"/>
        <v>10040.439999999999</v>
      </c>
    </row>
    <row r="182" spans="2:9" s="1" customFormat="1" x14ac:dyDescent="0.2">
      <c r="B182" s="30"/>
      <c r="C182" s="31">
        <v>1095</v>
      </c>
      <c r="H182" s="1117"/>
      <c r="I182" s="1117"/>
    </row>
    <row r="183" spans="2:9" s="1" customFormat="1" x14ac:dyDescent="0.2">
      <c r="B183" s="30"/>
      <c r="C183" s="31">
        <v>1097</v>
      </c>
      <c r="H183" s="1117"/>
      <c r="I183" s="1117"/>
    </row>
    <row r="184" spans="2:9" s="1" customFormat="1" x14ac:dyDescent="0.2">
      <c r="B184" s="30"/>
      <c r="C184" s="31">
        <v>1102</v>
      </c>
      <c r="H184" s="1117"/>
      <c r="I184" s="1117"/>
    </row>
    <row r="185" spans="2:9" s="1" customFormat="1" x14ac:dyDescent="0.2">
      <c r="B185" s="30"/>
      <c r="C185" s="31">
        <v>1103</v>
      </c>
      <c r="H185" s="1117"/>
      <c r="I185" s="1117"/>
    </row>
    <row r="186" spans="2:9" s="1" customFormat="1" x14ac:dyDescent="0.2">
      <c r="B186" s="30"/>
      <c r="C186" s="31">
        <v>1104</v>
      </c>
      <c r="H186" s="1117"/>
      <c r="I186" s="1117"/>
    </row>
    <row r="187" spans="2:9" s="1" customFormat="1" x14ac:dyDescent="0.2">
      <c r="B187" s="30"/>
      <c r="C187" s="31">
        <v>1106</v>
      </c>
      <c r="H187" s="1117"/>
      <c r="I187" s="1117"/>
    </row>
    <row r="188" spans="2:9" s="1" customFormat="1" x14ac:dyDescent="0.2">
      <c r="B188" s="30"/>
      <c r="C188" s="31">
        <v>1107</v>
      </c>
      <c r="H188" s="1117"/>
      <c r="I188" s="1117"/>
    </row>
    <row r="189" spans="2:9" s="1" customFormat="1" x14ac:dyDescent="0.2">
      <c r="B189" s="30"/>
      <c r="C189" s="31">
        <v>1112</v>
      </c>
      <c r="H189" s="1117"/>
      <c r="I189" s="1117"/>
    </row>
    <row r="190" spans="2:9" s="1" customFormat="1" x14ac:dyDescent="0.2">
      <c r="B190" s="30"/>
      <c r="C190" s="31">
        <v>1175</v>
      </c>
      <c r="H190" s="1117"/>
      <c r="I190" s="1117"/>
    </row>
    <row r="191" spans="2:9" s="1" customFormat="1" x14ac:dyDescent="0.2">
      <c r="B191" s="30"/>
      <c r="C191" s="31">
        <v>1212</v>
      </c>
      <c r="H191" s="1117"/>
      <c r="I191" s="1117"/>
    </row>
    <row r="192" spans="2:9" s="1" customFormat="1" x14ac:dyDescent="0.2">
      <c r="B192" s="30"/>
      <c r="C192" s="31">
        <v>1221</v>
      </c>
      <c r="H192" s="1117"/>
      <c r="I192" s="1117"/>
    </row>
    <row r="193" spans="2:9" s="1" customFormat="1" x14ac:dyDescent="0.2">
      <c r="B193" s="30"/>
      <c r="C193" s="31">
        <v>1222</v>
      </c>
      <c r="H193" s="1117"/>
      <c r="I193" s="1117"/>
    </row>
    <row r="194" spans="2:9" s="1" customFormat="1" x14ac:dyDescent="0.2">
      <c r="B194" s="30"/>
      <c r="C194" s="31">
        <v>1274</v>
      </c>
      <c r="H194" s="1117"/>
      <c r="I194" s="1117"/>
    </row>
    <row r="195" spans="2:9" s="1" customFormat="1" x14ac:dyDescent="0.2">
      <c r="B195" s="30"/>
      <c r="C195" s="31">
        <v>1275</v>
      </c>
      <c r="H195" s="1117"/>
      <c r="I195" s="1117"/>
    </row>
    <row r="196" spans="2:9" s="1" customFormat="1" x14ac:dyDescent="0.2">
      <c r="B196" s="30"/>
      <c r="C196" s="31">
        <v>1314</v>
      </c>
      <c r="H196" s="1117"/>
      <c r="I196" s="1117"/>
    </row>
    <row r="197" spans="2:9" s="1" customFormat="1" x14ac:dyDescent="0.2">
      <c r="B197" s="30"/>
      <c r="C197" s="31">
        <v>1324</v>
      </c>
      <c r="H197" s="1117"/>
      <c r="I197" s="1117"/>
    </row>
    <row r="198" spans="2:9" s="1" customFormat="1" x14ac:dyDescent="0.2">
      <c r="B198" s="30"/>
      <c r="C198" s="31">
        <v>1331</v>
      </c>
      <c r="H198" s="1117"/>
      <c r="I198" s="1117"/>
    </row>
    <row r="199" spans="2:9" s="1" customFormat="1" x14ac:dyDescent="0.2">
      <c r="B199" s="30"/>
      <c r="C199" s="31">
        <v>1333</v>
      </c>
      <c r="H199" s="1117"/>
      <c r="I199" s="1117"/>
    </row>
    <row r="200" spans="2:9" s="1" customFormat="1" x14ac:dyDescent="0.2">
      <c r="B200" s="30"/>
      <c r="C200" s="31">
        <v>1334</v>
      </c>
      <c r="H200" s="1117"/>
      <c r="I200" s="1117"/>
    </row>
    <row r="201" spans="2:9" s="1" customFormat="1" x14ac:dyDescent="0.2">
      <c r="B201" s="30"/>
      <c r="C201" s="31">
        <v>1349</v>
      </c>
      <c r="H201" s="1117"/>
      <c r="I201" s="1117"/>
    </row>
    <row r="202" spans="2:9" s="1" customFormat="1" x14ac:dyDescent="0.2">
      <c r="B202" s="30"/>
      <c r="C202" s="31">
        <v>1353</v>
      </c>
      <c r="H202" s="1117"/>
      <c r="I202" s="1117"/>
    </row>
    <row r="203" spans="2:9" s="1" customFormat="1" x14ac:dyDescent="0.2">
      <c r="B203" s="30"/>
      <c r="C203" s="31">
        <v>1354</v>
      </c>
      <c r="H203" s="1117"/>
      <c r="I203" s="1117"/>
    </row>
    <row r="204" spans="2:9" s="1" customFormat="1" x14ac:dyDescent="0.2">
      <c r="B204" s="30"/>
      <c r="C204" s="31">
        <v>1357</v>
      </c>
      <c r="H204" s="1117"/>
      <c r="I204" s="1117"/>
    </row>
    <row r="205" spans="2:9" s="1" customFormat="1" x14ac:dyDescent="0.2">
      <c r="B205" s="30"/>
      <c r="C205" s="31">
        <v>1438</v>
      </c>
      <c r="H205" s="1117"/>
      <c r="I205" s="1117"/>
    </row>
    <row r="206" spans="2:9" s="1" customFormat="1" x14ac:dyDescent="0.2">
      <c r="B206" s="30"/>
      <c r="C206" s="31">
        <v>1443</v>
      </c>
      <c r="H206" s="1117"/>
      <c r="I206" s="1117"/>
    </row>
    <row r="207" spans="2:9" s="1" customFormat="1" x14ac:dyDescent="0.2">
      <c r="B207" s="30"/>
      <c r="C207" s="31">
        <v>1446</v>
      </c>
      <c r="H207" s="1117"/>
      <c r="I207" s="1117"/>
    </row>
    <row r="208" spans="2:9" s="1" customFormat="1" x14ac:dyDescent="0.2">
      <c r="B208" s="30"/>
      <c r="C208" s="31">
        <v>1475</v>
      </c>
      <c r="H208" s="1117"/>
      <c r="I208" s="1117"/>
    </row>
    <row r="209" spans="2:9" s="1" customFormat="1" x14ac:dyDescent="0.2">
      <c r="B209" s="30"/>
      <c r="C209" s="31">
        <v>1487</v>
      </c>
      <c r="H209" s="1117"/>
      <c r="I209" s="1117"/>
    </row>
    <row r="210" spans="2:9" s="1" customFormat="1" x14ac:dyDescent="0.2">
      <c r="B210" s="30"/>
      <c r="C210" s="31">
        <v>1488</v>
      </c>
      <c r="H210" s="1117"/>
      <c r="I210" s="1117"/>
    </row>
    <row r="211" spans="2:9" s="1" customFormat="1" x14ac:dyDescent="0.2">
      <c r="B211" s="30"/>
      <c r="C211" s="31">
        <v>1502</v>
      </c>
      <c r="H211" s="1117"/>
      <c r="I211" s="1117"/>
    </row>
    <row r="212" spans="2:9" s="1" customFormat="1" x14ac:dyDescent="0.2">
      <c r="B212" s="30"/>
      <c r="C212" s="31">
        <v>1503</v>
      </c>
      <c r="H212" s="1117"/>
      <c r="I212" s="1117"/>
    </row>
    <row r="213" spans="2:9" s="1" customFormat="1" x14ac:dyDescent="0.2">
      <c r="B213" s="30"/>
      <c r="C213" s="31">
        <v>1504</v>
      </c>
      <c r="H213" s="1117"/>
      <c r="I213" s="1117"/>
    </row>
    <row r="214" spans="2:9" s="1" customFormat="1" x14ac:dyDescent="0.2">
      <c r="B214" s="30"/>
      <c r="C214" s="31">
        <v>1505</v>
      </c>
      <c r="H214" s="1117"/>
      <c r="I214" s="1117"/>
    </row>
    <row r="215" spans="2:9" s="1" customFormat="1" x14ac:dyDescent="0.2">
      <c r="B215" s="30"/>
      <c r="C215" s="31">
        <v>1508</v>
      </c>
      <c r="H215" s="1117"/>
      <c r="I215" s="1117"/>
    </row>
    <row r="216" spans="2:9" s="1" customFormat="1" x14ac:dyDescent="0.2">
      <c r="B216" s="30"/>
      <c r="C216" s="31">
        <v>1521</v>
      </c>
      <c r="H216" s="1117"/>
      <c r="I216" s="1117"/>
    </row>
    <row r="217" spans="2:9" s="1" customFormat="1" x14ac:dyDescent="0.2">
      <c r="B217" s="30"/>
      <c r="C217" s="31">
        <v>1525</v>
      </c>
      <c r="H217" s="1117"/>
      <c r="I217" s="1117"/>
    </row>
    <row r="218" spans="2:9" s="1" customFormat="1" x14ac:dyDescent="0.2">
      <c r="B218" s="30"/>
      <c r="C218" s="31">
        <v>1608</v>
      </c>
      <c r="H218" s="1117"/>
      <c r="I218" s="1117"/>
    </row>
    <row r="219" spans="2:9" s="1" customFormat="1" x14ac:dyDescent="0.2">
      <c r="B219" s="30"/>
      <c r="C219" s="31">
        <v>1622</v>
      </c>
      <c r="H219" s="1117"/>
      <c r="I219" s="1117"/>
    </row>
    <row r="220" spans="2:9" s="1" customFormat="1" x14ac:dyDescent="0.2">
      <c r="B220" s="30"/>
      <c r="C220" s="31">
        <v>1623</v>
      </c>
      <c r="H220" s="1117"/>
      <c r="I220" s="1117"/>
    </row>
    <row r="221" spans="2:9" s="1" customFormat="1" x14ac:dyDescent="0.2">
      <c r="B221" s="30"/>
      <c r="C221" s="31">
        <v>1624</v>
      </c>
      <c r="H221" s="1117"/>
      <c r="I221" s="1117"/>
    </row>
    <row r="222" spans="2:9" s="1" customFormat="1" x14ac:dyDescent="0.2">
      <c r="B222" s="30"/>
      <c r="C222" s="31">
        <v>1654</v>
      </c>
      <c r="H222" s="1117"/>
      <c r="I222" s="1117"/>
    </row>
    <row r="223" spans="2:9" s="1" customFormat="1" x14ac:dyDescent="0.2">
      <c r="B223" s="30"/>
      <c r="C223" s="31">
        <v>1655</v>
      </c>
      <c r="H223" s="1117"/>
      <c r="I223" s="1117"/>
    </row>
    <row r="224" spans="2:9" s="1" customFormat="1" x14ac:dyDescent="0.2">
      <c r="B224" s="30"/>
      <c r="C224" s="31">
        <v>1719</v>
      </c>
      <c r="H224" s="1117"/>
      <c r="I224" s="1117"/>
    </row>
    <row r="225" spans="2:9" s="1" customFormat="1" x14ac:dyDescent="0.2">
      <c r="B225" s="30"/>
      <c r="C225" s="31">
        <v>1753</v>
      </c>
      <c r="H225" s="1117"/>
      <c r="I225" s="1117"/>
    </row>
    <row r="226" spans="2:9" s="1" customFormat="1" x14ac:dyDescent="0.2">
      <c r="B226" s="30"/>
      <c r="C226" s="31">
        <v>1754</v>
      </c>
      <c r="H226" s="1117"/>
      <c r="I226" s="1117"/>
    </row>
    <row r="227" spans="2:9" s="1" customFormat="1" x14ac:dyDescent="0.2">
      <c r="B227" s="30"/>
      <c r="C227" s="31">
        <v>1773</v>
      </c>
      <c r="H227" s="1117"/>
      <c r="I227" s="1117"/>
    </row>
    <row r="228" spans="2:9" s="1" customFormat="1" x14ac:dyDescent="0.2">
      <c r="B228" s="30"/>
      <c r="C228" s="31">
        <v>1774</v>
      </c>
      <c r="H228" s="1117"/>
      <c r="I228" s="1117"/>
    </row>
    <row r="229" spans="2:9" s="1" customFormat="1" x14ac:dyDescent="0.2">
      <c r="B229" s="30"/>
      <c r="C229" s="31">
        <v>1781</v>
      </c>
      <c r="G229" s="1117"/>
      <c r="H229" s="1117"/>
    </row>
    <row r="230" spans="2:9" s="1" customFormat="1" x14ac:dyDescent="0.2">
      <c r="B230" s="30"/>
      <c r="C230" s="31">
        <v>1782</v>
      </c>
      <c r="G230" s="1117"/>
      <c r="H230" s="1117"/>
    </row>
    <row r="231" spans="2:9" s="1" customFormat="1" x14ac:dyDescent="0.2">
      <c r="B231" s="30"/>
      <c r="C231" s="31">
        <v>1783</v>
      </c>
      <c r="G231" s="1117"/>
      <c r="H231" s="1117"/>
    </row>
    <row r="232" spans="2:9" s="1" customFormat="1" x14ac:dyDescent="0.2">
      <c r="B232" s="30"/>
      <c r="C232" s="31">
        <v>1784</v>
      </c>
      <c r="G232" s="1117"/>
      <c r="H232" s="1117"/>
    </row>
    <row r="233" spans="2:9" s="1" customFormat="1" x14ac:dyDescent="0.2">
      <c r="B233" s="30"/>
      <c r="C233" s="31">
        <v>1792</v>
      </c>
      <c r="G233" s="1117"/>
      <c r="H233" s="1117"/>
    </row>
    <row r="234" spans="2:9" s="1" customFormat="1" x14ac:dyDescent="0.2">
      <c r="B234" s="30"/>
      <c r="C234" s="31">
        <v>1796</v>
      </c>
      <c r="G234" s="1117"/>
      <c r="H234" s="1117"/>
    </row>
    <row r="235" spans="2:9" s="1" customFormat="1" x14ac:dyDescent="0.2">
      <c r="B235" s="30"/>
      <c r="C235" s="31">
        <v>1812</v>
      </c>
      <c r="G235" s="1117"/>
      <c r="H235" s="1117"/>
    </row>
    <row r="236" spans="2:9" s="1" customFormat="1" x14ac:dyDescent="0.2">
      <c r="B236" s="30"/>
      <c r="C236" s="31">
        <v>1813</v>
      </c>
      <c r="G236" s="1117"/>
      <c r="H236" s="1117"/>
    </row>
    <row r="237" spans="2:9" s="1" customFormat="1" x14ac:dyDescent="0.2">
      <c r="B237" s="30"/>
      <c r="C237" s="31">
        <v>1821</v>
      </c>
      <c r="G237" s="1117"/>
      <c r="H237" s="1117"/>
    </row>
    <row r="238" spans="2:9" s="1" customFormat="1" x14ac:dyDescent="0.2">
      <c r="B238" s="30"/>
      <c r="C238" s="31">
        <v>1823</v>
      </c>
      <c r="G238" s="1117"/>
      <c r="H238" s="1117"/>
    </row>
    <row r="239" spans="2:9" s="1" customFormat="1" x14ac:dyDescent="0.2">
      <c r="B239" s="30"/>
      <c r="C239" s="31">
        <v>1825</v>
      </c>
      <c r="G239" s="1117"/>
      <c r="H239" s="1117"/>
    </row>
    <row r="240" spans="2:9" s="1" customFormat="1" x14ac:dyDescent="0.2">
      <c r="B240" s="30"/>
      <c r="C240" s="31">
        <v>1831</v>
      </c>
      <c r="G240" s="1117"/>
      <c r="H240" s="1117"/>
    </row>
    <row r="241" spans="2:8" s="1" customFormat="1" x14ac:dyDescent="0.2">
      <c r="B241" s="30"/>
      <c r="C241" s="31">
        <v>1946</v>
      </c>
      <c r="G241" s="1117"/>
      <c r="H241" s="1117"/>
    </row>
    <row r="242" spans="2:8" s="1" customFormat="1" x14ac:dyDescent="0.2">
      <c r="B242" s="30"/>
      <c r="C242" s="31">
        <v>1951</v>
      </c>
      <c r="G242" s="1117"/>
      <c r="H242" s="1117"/>
    </row>
    <row r="243" spans="2:8" s="1" customFormat="1" x14ac:dyDescent="0.2">
      <c r="B243" s="30"/>
      <c r="C243" s="31">
        <v>1962</v>
      </c>
      <c r="G243" s="1117"/>
      <c r="H243" s="1117"/>
    </row>
    <row r="244" spans="2:8" s="1" customFormat="1" x14ac:dyDescent="0.2">
      <c r="B244" s="30"/>
      <c r="C244" s="31">
        <v>1966</v>
      </c>
      <c r="G244" s="1117"/>
      <c r="H244" s="1117"/>
    </row>
    <row r="245" spans="2:8" s="1" customFormat="1" x14ac:dyDescent="0.2">
      <c r="B245" s="30"/>
      <c r="C245" s="31">
        <v>1972</v>
      </c>
      <c r="G245" s="1117"/>
      <c r="H245" s="1117"/>
    </row>
    <row r="246" spans="2:8" s="1" customFormat="1" x14ac:dyDescent="0.2">
      <c r="B246" s="30"/>
      <c r="C246" s="31">
        <v>1974</v>
      </c>
      <c r="G246" s="1117"/>
      <c r="H246" s="1117"/>
    </row>
    <row r="247" spans="2:8" s="1" customFormat="1" x14ac:dyDescent="0.2">
      <c r="B247" s="30"/>
      <c r="C247" s="31">
        <v>1975</v>
      </c>
      <c r="G247" s="1117"/>
      <c r="H247" s="1117"/>
    </row>
    <row r="248" spans="2:8" s="1" customFormat="1" x14ac:dyDescent="0.2">
      <c r="B248" s="30"/>
      <c r="C248" s="31">
        <v>1976</v>
      </c>
      <c r="G248" s="1117"/>
      <c r="H248" s="1117"/>
    </row>
    <row r="249" spans="2:8" s="1" customFormat="1" x14ac:dyDescent="0.2">
      <c r="B249" s="30"/>
      <c r="C249" s="31">
        <v>2011</v>
      </c>
      <c r="G249" s="1117"/>
      <c r="H249" s="1117"/>
    </row>
    <row r="250" spans="2:8" s="1" customFormat="1" x14ac:dyDescent="0.2">
      <c r="B250" s="30"/>
      <c r="C250" s="31">
        <v>2025</v>
      </c>
      <c r="G250" s="1117"/>
      <c r="H250" s="1117"/>
    </row>
    <row r="251" spans="2:8" s="1" customFormat="1" x14ac:dyDescent="0.2">
      <c r="B251" s="30"/>
      <c r="C251" s="31">
        <v>2031</v>
      </c>
    </row>
    <row r="252" spans="2:8" s="1" customFormat="1" x14ac:dyDescent="0.2">
      <c r="B252" s="30"/>
      <c r="C252" s="31">
        <v>2032</v>
      </c>
    </row>
    <row r="253" spans="2:8" s="1" customFormat="1" x14ac:dyDescent="0.2">
      <c r="B253" s="30"/>
      <c r="C253" s="31">
        <v>2033</v>
      </c>
    </row>
    <row r="254" spans="2:8" s="1" customFormat="1" x14ac:dyDescent="0.2">
      <c r="B254" s="30"/>
      <c r="C254" s="31">
        <v>2034</v>
      </c>
    </row>
    <row r="255" spans="2:8" s="1" customFormat="1" x14ac:dyDescent="0.2">
      <c r="B255" s="30"/>
      <c r="C255" s="31">
        <v>2035</v>
      </c>
    </row>
    <row r="256" spans="2:8" s="1" customFormat="1" x14ac:dyDescent="0.2">
      <c r="B256" s="30"/>
      <c r="C256" s="31">
        <v>2037</v>
      </c>
    </row>
    <row r="257" spans="2:3" s="1" customFormat="1" x14ac:dyDescent="0.2">
      <c r="B257" s="30"/>
      <c r="C257" s="31">
        <v>2041</v>
      </c>
    </row>
    <row r="258" spans="2:3" s="1" customFormat="1" x14ac:dyDescent="0.2">
      <c r="B258" s="30"/>
      <c r="C258" s="31">
        <v>2042</v>
      </c>
    </row>
    <row r="259" spans="2:3" s="1" customFormat="1" x14ac:dyDescent="0.2">
      <c r="B259" s="30"/>
      <c r="C259" s="31">
        <v>2159</v>
      </c>
    </row>
    <row r="260" spans="2:3" s="1" customFormat="1" x14ac:dyDescent="0.2">
      <c r="B260" s="30"/>
      <c r="C260" s="31">
        <v>2262</v>
      </c>
    </row>
    <row r="261" spans="2:3" s="1" customFormat="1" x14ac:dyDescent="0.2">
      <c r="B261" s="30"/>
      <c r="C261" s="31">
        <v>2263</v>
      </c>
    </row>
    <row r="262" spans="2:3" s="1" customFormat="1" x14ac:dyDescent="0.2">
      <c r="B262" s="30"/>
      <c r="C262" s="31">
        <v>2287</v>
      </c>
    </row>
    <row r="263" spans="2:3" s="1" customFormat="1" x14ac:dyDescent="0.2">
      <c r="B263" s="30"/>
      <c r="C263" s="31">
        <v>2289</v>
      </c>
    </row>
    <row r="264" spans="2:3" s="1" customFormat="1" x14ac:dyDescent="0.2">
      <c r="B264" s="30"/>
      <c r="C264" s="31">
        <v>2312</v>
      </c>
    </row>
    <row r="265" spans="2:3" s="1" customFormat="1" x14ac:dyDescent="0.2">
      <c r="B265" s="30"/>
      <c r="C265" s="31">
        <v>2315</v>
      </c>
    </row>
    <row r="266" spans="2:3" s="1" customFormat="1" x14ac:dyDescent="0.2">
      <c r="B266" s="30"/>
      <c r="C266" s="31">
        <v>2316</v>
      </c>
    </row>
    <row r="267" spans="2:3" s="1" customFormat="1" x14ac:dyDescent="0.2">
      <c r="B267" s="30"/>
      <c r="C267" s="31">
        <v>2321</v>
      </c>
    </row>
    <row r="268" spans="2:3" s="1" customFormat="1" x14ac:dyDescent="0.2">
      <c r="B268" s="30"/>
      <c r="C268" s="31">
        <v>2333</v>
      </c>
    </row>
    <row r="269" spans="2:3" s="1" customFormat="1" x14ac:dyDescent="0.2">
      <c r="B269" s="30"/>
      <c r="C269" s="31">
        <v>2362</v>
      </c>
    </row>
    <row r="270" spans="2:3" s="1" customFormat="1" x14ac:dyDescent="0.2">
      <c r="B270" s="30"/>
      <c r="C270" s="31">
        <v>2498</v>
      </c>
    </row>
    <row r="271" spans="2:3" s="1" customFormat="1" x14ac:dyDescent="0.2">
      <c r="B271" s="30"/>
      <c r="C271" s="31">
        <v>2511</v>
      </c>
    </row>
    <row r="272" spans="2:3" s="1" customFormat="1" x14ac:dyDescent="0.2">
      <c r="B272" s="30"/>
      <c r="C272" s="31">
        <v>2512</v>
      </c>
    </row>
    <row r="273" spans="2:3" s="1" customFormat="1" x14ac:dyDescent="0.2">
      <c r="B273" s="30"/>
      <c r="C273" s="31">
        <v>2513</v>
      </c>
    </row>
    <row r="274" spans="2:3" s="1" customFormat="1" x14ac:dyDescent="0.2">
      <c r="B274" s="30"/>
      <c r="C274" s="31">
        <v>2515</v>
      </c>
    </row>
    <row r="275" spans="2:3" s="1" customFormat="1" x14ac:dyDescent="0.2">
      <c r="B275" s="30"/>
      <c r="C275" s="31">
        <v>2516</v>
      </c>
    </row>
    <row r="276" spans="2:3" s="1" customFormat="1" x14ac:dyDescent="0.2">
      <c r="B276" s="30"/>
      <c r="C276" s="31">
        <v>2518</v>
      </c>
    </row>
    <row r="277" spans="2:3" s="1" customFormat="1" x14ac:dyDescent="0.2">
      <c r="B277" s="30"/>
      <c r="C277" s="31">
        <v>2521</v>
      </c>
    </row>
    <row r="278" spans="2:3" s="1" customFormat="1" x14ac:dyDescent="0.2">
      <c r="B278" s="30"/>
      <c r="C278" s="31">
        <v>2522</v>
      </c>
    </row>
    <row r="279" spans="2:3" s="1" customFormat="1" x14ac:dyDescent="0.2">
      <c r="B279" s="30"/>
      <c r="C279" s="31">
        <v>2523</v>
      </c>
    </row>
    <row r="280" spans="2:3" s="1" customFormat="1" x14ac:dyDescent="0.2">
      <c r="B280" s="30"/>
      <c r="C280" s="31">
        <v>2524</v>
      </c>
    </row>
    <row r="281" spans="2:3" s="1" customFormat="1" x14ac:dyDescent="0.2">
      <c r="B281" s="30"/>
      <c r="C281" s="31">
        <v>2525</v>
      </c>
    </row>
    <row r="282" spans="2:3" s="1" customFormat="1" x14ac:dyDescent="0.2">
      <c r="B282" s="30"/>
      <c r="C282" s="31">
        <v>2526</v>
      </c>
    </row>
    <row r="283" spans="2:3" s="1" customFormat="1" x14ac:dyDescent="0.2">
      <c r="B283" s="30"/>
      <c r="C283" s="31">
        <v>2531</v>
      </c>
    </row>
    <row r="284" spans="2:3" s="1" customFormat="1" x14ac:dyDescent="0.2">
      <c r="B284" s="30"/>
      <c r="C284" s="31">
        <v>2532</v>
      </c>
    </row>
    <row r="285" spans="2:3" s="1" customFormat="1" x14ac:dyDescent="0.2">
      <c r="B285" s="30"/>
      <c r="C285" s="31">
        <v>2533</v>
      </c>
    </row>
    <row r="286" spans="2:3" s="1" customFormat="1" x14ac:dyDescent="0.2">
      <c r="B286" s="30"/>
      <c r="C286" s="31">
        <v>2541</v>
      </c>
    </row>
    <row r="287" spans="2:3" s="1" customFormat="1" x14ac:dyDescent="0.2">
      <c r="B287" s="30"/>
      <c r="C287" s="31">
        <v>2542</v>
      </c>
    </row>
    <row r="288" spans="2:3" s="1" customFormat="1" x14ac:dyDescent="0.2">
      <c r="B288" s="30"/>
      <c r="C288" s="31">
        <v>2543</v>
      </c>
    </row>
    <row r="289" spans="2:3" s="1" customFormat="1" x14ac:dyDescent="0.2">
      <c r="B289" s="30"/>
      <c r="C289" s="31">
        <v>2544</v>
      </c>
    </row>
    <row r="290" spans="2:3" s="1" customFormat="1" x14ac:dyDescent="0.2">
      <c r="B290" s="30"/>
      <c r="C290" s="31">
        <v>2545</v>
      </c>
    </row>
    <row r="291" spans="2:3" s="1" customFormat="1" x14ac:dyDescent="0.2">
      <c r="B291" s="30"/>
      <c r="C291" s="31">
        <v>2551</v>
      </c>
    </row>
    <row r="292" spans="2:3" s="1" customFormat="1" x14ac:dyDescent="0.2">
      <c r="B292" s="30"/>
      <c r="C292" s="31">
        <v>2553</v>
      </c>
    </row>
    <row r="293" spans="2:3" s="1" customFormat="1" x14ac:dyDescent="0.2">
      <c r="B293" s="30"/>
      <c r="C293" s="31">
        <v>2561</v>
      </c>
    </row>
    <row r="294" spans="2:3" s="1" customFormat="1" x14ac:dyDescent="0.2">
      <c r="B294" s="30"/>
      <c r="C294" s="31">
        <v>2562</v>
      </c>
    </row>
    <row r="295" spans="2:3" s="1" customFormat="1" x14ac:dyDescent="0.2">
      <c r="B295" s="30"/>
      <c r="C295" s="31">
        <v>2563</v>
      </c>
    </row>
    <row r="296" spans="2:3" s="1" customFormat="1" x14ac:dyDescent="0.2">
      <c r="B296" s="30"/>
      <c r="C296" s="31">
        <v>2571</v>
      </c>
    </row>
    <row r="297" spans="2:3" s="1" customFormat="1" x14ac:dyDescent="0.2">
      <c r="B297" s="30"/>
      <c r="C297" s="31">
        <v>2572</v>
      </c>
    </row>
    <row r="298" spans="2:3" s="1" customFormat="1" x14ac:dyDescent="0.2">
      <c r="B298" s="30"/>
      <c r="C298" s="31">
        <v>2573</v>
      </c>
    </row>
    <row r="299" spans="2:3" s="1" customFormat="1" x14ac:dyDescent="0.2">
      <c r="B299" s="30"/>
      <c r="C299" s="31">
        <v>2574</v>
      </c>
    </row>
    <row r="300" spans="2:3" s="1" customFormat="1" x14ac:dyDescent="0.2">
      <c r="B300" s="30"/>
      <c r="C300" s="31">
        <v>2583</v>
      </c>
    </row>
    <row r="301" spans="2:3" s="1" customFormat="1" x14ac:dyDescent="0.2">
      <c r="B301" s="30"/>
      <c r="C301" s="31">
        <v>2584</v>
      </c>
    </row>
    <row r="302" spans="2:3" s="1" customFormat="1" x14ac:dyDescent="0.2">
      <c r="B302" s="30"/>
      <c r="C302" s="31">
        <v>2591</v>
      </c>
    </row>
    <row r="303" spans="2:3" s="1" customFormat="1" x14ac:dyDescent="0.2">
      <c r="B303" s="30"/>
      <c r="C303" s="31">
        <v>2592</v>
      </c>
    </row>
    <row r="304" spans="2:3" s="1" customFormat="1" x14ac:dyDescent="0.2">
      <c r="B304" s="30"/>
      <c r="C304" s="31">
        <v>2595</v>
      </c>
    </row>
    <row r="305" spans="2:3" s="1" customFormat="1" x14ac:dyDescent="0.2">
      <c r="B305" s="30"/>
      <c r="C305" s="31">
        <v>2612</v>
      </c>
    </row>
    <row r="306" spans="2:3" s="1" customFormat="1" x14ac:dyDescent="0.2">
      <c r="B306" s="30"/>
      <c r="C306" s="31">
        <v>2624</v>
      </c>
    </row>
    <row r="307" spans="2:3" s="1" customFormat="1" x14ac:dyDescent="0.2">
      <c r="B307" s="30"/>
      <c r="C307" s="31">
        <v>2625</v>
      </c>
    </row>
    <row r="308" spans="2:3" s="1" customFormat="1" x14ac:dyDescent="0.2">
      <c r="B308" s="30"/>
      <c r="C308" s="31">
        <v>2629</v>
      </c>
    </row>
    <row r="309" spans="2:3" s="1" customFormat="1" x14ac:dyDescent="0.2">
      <c r="B309" s="30"/>
      <c r="C309" s="31">
        <v>2715</v>
      </c>
    </row>
    <row r="310" spans="2:3" s="1" customFormat="1" x14ac:dyDescent="0.2">
      <c r="B310" s="30"/>
      <c r="C310" s="31">
        <v>2716</v>
      </c>
    </row>
    <row r="311" spans="2:3" s="1" customFormat="1" x14ac:dyDescent="0.2">
      <c r="B311" s="30"/>
      <c r="C311" s="31">
        <v>2717</v>
      </c>
    </row>
    <row r="312" spans="2:3" s="1" customFormat="1" x14ac:dyDescent="0.2">
      <c r="B312" s="30"/>
      <c r="C312" s="31">
        <v>2722</v>
      </c>
    </row>
    <row r="313" spans="2:3" s="1" customFormat="1" x14ac:dyDescent="0.2">
      <c r="B313" s="30"/>
      <c r="C313" s="31">
        <v>2727</v>
      </c>
    </row>
    <row r="314" spans="2:3" s="1" customFormat="1" x14ac:dyDescent="0.2">
      <c r="B314" s="30"/>
      <c r="C314" s="31">
        <v>2801</v>
      </c>
    </row>
    <row r="315" spans="2:3" s="1" customFormat="1" x14ac:dyDescent="0.2">
      <c r="B315" s="30"/>
      <c r="C315" s="31">
        <v>2802</v>
      </c>
    </row>
    <row r="316" spans="2:3" s="1" customFormat="1" x14ac:dyDescent="0.2">
      <c r="B316" s="30"/>
      <c r="C316" s="31">
        <v>2806</v>
      </c>
    </row>
    <row r="317" spans="2:3" s="1" customFormat="1" x14ac:dyDescent="0.2">
      <c r="B317" s="30"/>
      <c r="C317" s="31">
        <v>2808</v>
      </c>
    </row>
    <row r="318" spans="2:3" s="1" customFormat="1" x14ac:dyDescent="0.2">
      <c r="B318" s="30"/>
      <c r="C318" s="31">
        <v>2903</v>
      </c>
    </row>
    <row r="319" spans="2:3" s="1" customFormat="1" x14ac:dyDescent="0.2">
      <c r="B319" s="30"/>
      <c r="C319" s="31">
        <v>2905</v>
      </c>
    </row>
    <row r="320" spans="2:3" s="1" customFormat="1" x14ac:dyDescent="0.2">
      <c r="B320" s="30"/>
      <c r="C320" s="31">
        <v>3012</v>
      </c>
    </row>
    <row r="321" spans="2:3" s="1" customFormat="1" x14ac:dyDescent="0.2">
      <c r="B321" s="30"/>
      <c r="C321" s="31">
        <v>3014</v>
      </c>
    </row>
    <row r="322" spans="2:3" s="1" customFormat="1" x14ac:dyDescent="0.2">
      <c r="B322" s="30"/>
      <c r="C322" s="31">
        <v>3021</v>
      </c>
    </row>
    <row r="323" spans="2:3" s="1" customFormat="1" x14ac:dyDescent="0.2">
      <c r="B323" s="30"/>
      <c r="C323" s="31">
        <v>3022</v>
      </c>
    </row>
    <row r="324" spans="2:3" s="1" customFormat="1" x14ac:dyDescent="0.2">
      <c r="B324" s="30"/>
      <c r="C324" s="31">
        <v>3023</v>
      </c>
    </row>
    <row r="325" spans="2:3" s="1" customFormat="1" x14ac:dyDescent="0.2">
      <c r="B325" s="30"/>
      <c r="C325" s="31">
        <v>3024</v>
      </c>
    </row>
    <row r="326" spans="2:3" s="1" customFormat="1" x14ac:dyDescent="0.2">
      <c r="B326" s="30"/>
      <c r="C326" s="31">
        <v>3025</v>
      </c>
    </row>
    <row r="327" spans="2:3" s="1" customFormat="1" x14ac:dyDescent="0.2">
      <c r="B327" s="30"/>
      <c r="C327" s="31">
        <v>3026</v>
      </c>
    </row>
    <row r="328" spans="2:3" s="1" customFormat="1" x14ac:dyDescent="0.2">
      <c r="B328" s="30"/>
      <c r="C328" s="31">
        <v>3027</v>
      </c>
    </row>
    <row r="329" spans="2:3" s="1" customFormat="1" x14ac:dyDescent="0.2">
      <c r="B329" s="30"/>
      <c r="C329" s="31">
        <v>3028</v>
      </c>
    </row>
    <row r="330" spans="2:3" s="1" customFormat="1" x14ac:dyDescent="0.2">
      <c r="B330" s="30"/>
      <c r="C330" s="31">
        <v>3029</v>
      </c>
    </row>
    <row r="331" spans="2:3" s="1" customFormat="1" x14ac:dyDescent="0.2">
      <c r="B331" s="30"/>
      <c r="C331" s="31">
        <v>3031</v>
      </c>
    </row>
    <row r="332" spans="2:3" s="1" customFormat="1" x14ac:dyDescent="0.2">
      <c r="B332" s="30"/>
      <c r="C332" s="31">
        <v>3032</v>
      </c>
    </row>
    <row r="333" spans="2:3" s="1" customFormat="1" x14ac:dyDescent="0.2">
      <c r="B333" s="30"/>
      <c r="C333" s="31">
        <v>3033</v>
      </c>
    </row>
    <row r="334" spans="2:3" s="1" customFormat="1" x14ac:dyDescent="0.2">
      <c r="B334" s="30"/>
      <c r="C334" s="31">
        <v>3034</v>
      </c>
    </row>
    <row r="335" spans="2:3" s="1" customFormat="1" x14ac:dyDescent="0.2">
      <c r="B335" s="30"/>
      <c r="C335" s="31">
        <v>3035</v>
      </c>
    </row>
    <row r="336" spans="2:3" s="1" customFormat="1" x14ac:dyDescent="0.2">
      <c r="B336" s="30"/>
      <c r="C336" s="31">
        <v>3036</v>
      </c>
    </row>
    <row r="337" spans="2:3" s="1" customFormat="1" x14ac:dyDescent="0.2">
      <c r="B337" s="30"/>
      <c r="C337" s="31">
        <v>3037</v>
      </c>
    </row>
    <row r="338" spans="2:3" s="1" customFormat="1" x14ac:dyDescent="0.2">
      <c r="B338" s="30"/>
      <c r="C338" s="31">
        <v>3038</v>
      </c>
    </row>
    <row r="339" spans="2:3" s="1" customFormat="1" x14ac:dyDescent="0.2">
      <c r="B339" s="30"/>
      <c r="C339" s="31">
        <v>3042</v>
      </c>
    </row>
    <row r="340" spans="2:3" s="1" customFormat="1" x14ac:dyDescent="0.2">
      <c r="B340" s="30"/>
      <c r="C340" s="31">
        <v>3045</v>
      </c>
    </row>
    <row r="341" spans="2:3" s="1" customFormat="1" x14ac:dyDescent="0.2">
      <c r="B341" s="30"/>
      <c r="C341" s="31">
        <v>3052</v>
      </c>
    </row>
    <row r="342" spans="2:3" s="1" customFormat="1" x14ac:dyDescent="0.2">
      <c r="B342" s="30"/>
      <c r="C342" s="31">
        <v>3053</v>
      </c>
    </row>
    <row r="343" spans="2:3" s="1" customFormat="1" x14ac:dyDescent="0.2">
      <c r="B343" s="30"/>
      <c r="C343" s="31">
        <v>3054</v>
      </c>
    </row>
    <row r="344" spans="2:3" s="1" customFormat="1" x14ac:dyDescent="0.2">
      <c r="B344" s="30"/>
      <c r="C344" s="31">
        <v>3061</v>
      </c>
    </row>
    <row r="345" spans="2:3" s="1" customFormat="1" x14ac:dyDescent="0.2">
      <c r="B345" s="30"/>
      <c r="C345" s="31">
        <v>3063</v>
      </c>
    </row>
    <row r="346" spans="2:3" s="1" customFormat="1" x14ac:dyDescent="0.2">
      <c r="B346" s="30"/>
      <c r="C346" s="31">
        <v>3066</v>
      </c>
    </row>
    <row r="347" spans="2:3" s="1" customFormat="1" x14ac:dyDescent="0.2">
      <c r="B347" s="30"/>
      <c r="C347" s="31">
        <v>3068</v>
      </c>
    </row>
    <row r="348" spans="2:3" s="1" customFormat="1" x14ac:dyDescent="0.2">
      <c r="B348" s="30"/>
      <c r="C348" s="31">
        <v>3071</v>
      </c>
    </row>
    <row r="349" spans="2:3" s="1" customFormat="1" x14ac:dyDescent="0.2">
      <c r="B349" s="30"/>
      <c r="C349" s="31">
        <v>3072</v>
      </c>
    </row>
    <row r="350" spans="2:3" s="1" customFormat="1" x14ac:dyDescent="0.2">
      <c r="B350" s="30"/>
      <c r="C350" s="31">
        <v>3073</v>
      </c>
    </row>
    <row r="351" spans="2:3" s="1" customFormat="1" x14ac:dyDescent="0.2">
      <c r="B351" s="30"/>
      <c r="C351" s="31">
        <v>3074</v>
      </c>
    </row>
    <row r="352" spans="2:3" s="1" customFormat="1" x14ac:dyDescent="0.2">
      <c r="B352" s="30"/>
      <c r="C352" s="31">
        <v>3075</v>
      </c>
    </row>
    <row r="353" spans="2:3" s="1" customFormat="1" x14ac:dyDescent="0.2">
      <c r="B353" s="30"/>
      <c r="C353" s="31">
        <v>3076</v>
      </c>
    </row>
    <row r="354" spans="2:3" s="1" customFormat="1" x14ac:dyDescent="0.2">
      <c r="B354" s="30"/>
      <c r="C354" s="31">
        <v>3077</v>
      </c>
    </row>
    <row r="355" spans="2:3" s="1" customFormat="1" x14ac:dyDescent="0.2">
      <c r="B355" s="30"/>
      <c r="C355" s="31">
        <v>3078</v>
      </c>
    </row>
    <row r="356" spans="2:3" s="1" customFormat="1" x14ac:dyDescent="0.2">
      <c r="B356" s="30"/>
      <c r="C356" s="31">
        <v>3079</v>
      </c>
    </row>
    <row r="357" spans="2:3" s="1" customFormat="1" x14ac:dyDescent="0.2">
      <c r="B357" s="30"/>
      <c r="C357" s="31">
        <v>3081</v>
      </c>
    </row>
    <row r="358" spans="2:3" s="1" customFormat="1" x14ac:dyDescent="0.2">
      <c r="B358" s="30"/>
      <c r="C358" s="31">
        <v>3082</v>
      </c>
    </row>
    <row r="359" spans="2:3" s="1" customFormat="1" x14ac:dyDescent="0.2">
      <c r="B359" s="30"/>
      <c r="C359" s="31">
        <v>3083</v>
      </c>
    </row>
    <row r="360" spans="2:3" s="1" customFormat="1" x14ac:dyDescent="0.2">
      <c r="B360" s="30"/>
      <c r="C360" s="31">
        <v>3084</v>
      </c>
    </row>
    <row r="361" spans="2:3" s="1" customFormat="1" x14ac:dyDescent="0.2">
      <c r="B361" s="30"/>
      <c r="C361" s="31">
        <v>3085</v>
      </c>
    </row>
    <row r="362" spans="2:3" s="1" customFormat="1" x14ac:dyDescent="0.2">
      <c r="B362" s="30"/>
      <c r="C362" s="31">
        <v>3086</v>
      </c>
    </row>
    <row r="363" spans="2:3" s="1" customFormat="1" x14ac:dyDescent="0.2">
      <c r="B363" s="30"/>
      <c r="C363" s="31">
        <v>3087</v>
      </c>
    </row>
    <row r="364" spans="2:3" s="1" customFormat="1" x14ac:dyDescent="0.2">
      <c r="B364" s="30"/>
      <c r="C364" s="31">
        <v>3089</v>
      </c>
    </row>
    <row r="365" spans="2:3" s="1" customFormat="1" x14ac:dyDescent="0.2">
      <c r="B365" s="30"/>
      <c r="C365" s="31">
        <v>3111</v>
      </c>
    </row>
    <row r="366" spans="2:3" s="1" customFormat="1" x14ac:dyDescent="0.2">
      <c r="B366" s="30"/>
      <c r="C366" s="31">
        <v>3112</v>
      </c>
    </row>
    <row r="367" spans="2:3" s="1" customFormat="1" x14ac:dyDescent="0.2">
      <c r="B367" s="30"/>
      <c r="C367" s="31">
        <v>3114</v>
      </c>
    </row>
    <row r="368" spans="2:3" s="1" customFormat="1" x14ac:dyDescent="0.2">
      <c r="B368" s="30"/>
      <c r="C368" s="31">
        <v>3118</v>
      </c>
    </row>
    <row r="369" spans="2:3" s="1" customFormat="1" x14ac:dyDescent="0.2">
      <c r="B369" s="30"/>
      <c r="C369" s="31">
        <v>3119</v>
      </c>
    </row>
    <row r="370" spans="2:3" s="1" customFormat="1" x14ac:dyDescent="0.2">
      <c r="B370" s="30"/>
      <c r="C370" s="31">
        <v>3122</v>
      </c>
    </row>
    <row r="371" spans="2:3" s="1" customFormat="1" x14ac:dyDescent="0.2">
      <c r="B371" s="30"/>
      <c r="C371" s="31">
        <v>3131</v>
      </c>
    </row>
    <row r="372" spans="2:3" s="1" customFormat="1" x14ac:dyDescent="0.2">
      <c r="B372" s="30"/>
      <c r="C372" s="31">
        <v>3132</v>
      </c>
    </row>
    <row r="373" spans="2:3" s="1" customFormat="1" x14ac:dyDescent="0.2">
      <c r="B373" s="30"/>
      <c r="C373" s="31">
        <v>3135</v>
      </c>
    </row>
    <row r="374" spans="2:3" s="1" customFormat="1" x14ac:dyDescent="0.2">
      <c r="B374" s="30"/>
      <c r="C374" s="31">
        <v>3136</v>
      </c>
    </row>
    <row r="375" spans="2:3" s="1" customFormat="1" x14ac:dyDescent="0.2">
      <c r="B375" s="30"/>
      <c r="C375" s="31">
        <v>3145</v>
      </c>
    </row>
    <row r="376" spans="2:3" s="1" customFormat="1" x14ac:dyDescent="0.2">
      <c r="B376" s="30"/>
      <c r="C376" s="31">
        <v>3192</v>
      </c>
    </row>
    <row r="377" spans="2:3" s="1" customFormat="1" x14ac:dyDescent="0.2">
      <c r="B377" s="30"/>
      <c r="C377" s="31">
        <v>3193</v>
      </c>
    </row>
    <row r="378" spans="2:3" s="1" customFormat="1" x14ac:dyDescent="0.2">
      <c r="B378" s="30"/>
      <c r="C378" s="31">
        <v>3194</v>
      </c>
    </row>
    <row r="379" spans="2:3" s="1" customFormat="1" x14ac:dyDescent="0.2">
      <c r="B379" s="30"/>
      <c r="C379" s="31">
        <v>3201</v>
      </c>
    </row>
    <row r="380" spans="2:3" s="1" customFormat="1" x14ac:dyDescent="0.2">
      <c r="B380" s="30"/>
      <c r="C380" s="31">
        <v>3203</v>
      </c>
    </row>
    <row r="381" spans="2:3" s="1" customFormat="1" x14ac:dyDescent="0.2">
      <c r="B381" s="30"/>
      <c r="C381" s="31">
        <v>3206</v>
      </c>
    </row>
    <row r="382" spans="2:3" s="1" customFormat="1" x14ac:dyDescent="0.2">
      <c r="B382" s="30"/>
      <c r="C382" s="31">
        <v>3222</v>
      </c>
    </row>
    <row r="383" spans="2:3" s="1" customFormat="1" x14ac:dyDescent="0.2">
      <c r="B383" s="30"/>
      <c r="C383" s="31">
        <v>3311</v>
      </c>
    </row>
    <row r="384" spans="2:3" s="1" customFormat="1" x14ac:dyDescent="0.2">
      <c r="B384" s="30"/>
      <c r="C384" s="31">
        <v>3313</v>
      </c>
    </row>
    <row r="385" spans="2:3" s="1" customFormat="1" x14ac:dyDescent="0.2">
      <c r="B385" s="30"/>
      <c r="C385" s="31">
        <v>3314</v>
      </c>
    </row>
    <row r="386" spans="2:3" s="1" customFormat="1" x14ac:dyDescent="0.2">
      <c r="B386" s="30"/>
      <c r="C386" s="31">
        <v>3316</v>
      </c>
    </row>
    <row r="387" spans="2:3" s="1" customFormat="1" x14ac:dyDescent="0.2">
      <c r="B387" s="30"/>
      <c r="C387" s="31">
        <v>3317</v>
      </c>
    </row>
    <row r="388" spans="2:3" s="1" customFormat="1" x14ac:dyDescent="0.2">
      <c r="B388" s="30"/>
      <c r="C388" s="31">
        <v>3318</v>
      </c>
    </row>
    <row r="389" spans="2:3" s="1" customFormat="1" x14ac:dyDescent="0.2">
      <c r="B389" s="30"/>
      <c r="C389" s="31">
        <v>3329</v>
      </c>
    </row>
    <row r="390" spans="2:3" s="1" customFormat="1" x14ac:dyDescent="0.2">
      <c r="B390" s="30"/>
      <c r="C390" s="31">
        <v>3364</v>
      </c>
    </row>
    <row r="391" spans="2:3" s="1" customFormat="1" x14ac:dyDescent="0.2">
      <c r="B391" s="30"/>
      <c r="C391" s="31">
        <v>3413</v>
      </c>
    </row>
    <row r="392" spans="2:3" s="1" customFormat="1" x14ac:dyDescent="0.2">
      <c r="B392" s="30"/>
      <c r="C392" s="31">
        <v>3431</v>
      </c>
    </row>
    <row r="393" spans="2:3" s="1" customFormat="1" x14ac:dyDescent="0.2">
      <c r="B393" s="30"/>
      <c r="C393" s="31">
        <v>3432</v>
      </c>
    </row>
    <row r="394" spans="2:3" s="1" customFormat="1" x14ac:dyDescent="0.2">
      <c r="B394" s="30"/>
      <c r="C394" s="31">
        <v>3444</v>
      </c>
    </row>
    <row r="395" spans="2:3" s="1" customFormat="1" x14ac:dyDescent="0.2">
      <c r="B395" s="30"/>
      <c r="C395" s="31">
        <v>3464</v>
      </c>
    </row>
    <row r="396" spans="2:3" s="1" customFormat="1" x14ac:dyDescent="0.2">
      <c r="B396" s="30"/>
      <c r="C396" s="31">
        <v>3511</v>
      </c>
    </row>
    <row r="397" spans="2:3" s="1" customFormat="1" x14ac:dyDescent="0.2">
      <c r="B397" s="30"/>
      <c r="C397" s="31">
        <v>3513</v>
      </c>
    </row>
    <row r="398" spans="2:3" s="1" customFormat="1" x14ac:dyDescent="0.2">
      <c r="B398" s="30"/>
      <c r="C398" s="31">
        <v>3515</v>
      </c>
    </row>
    <row r="399" spans="2:3" s="1" customFormat="1" x14ac:dyDescent="0.2">
      <c r="B399" s="30"/>
      <c r="C399" s="31">
        <v>3522</v>
      </c>
    </row>
    <row r="400" spans="2:3" s="1" customFormat="1" x14ac:dyDescent="0.2">
      <c r="B400" s="30"/>
      <c r="C400" s="31">
        <v>3524</v>
      </c>
    </row>
    <row r="401" spans="2:3" s="1" customFormat="1" x14ac:dyDescent="0.2">
      <c r="B401" s="30"/>
      <c r="C401" s="31">
        <v>3525</v>
      </c>
    </row>
    <row r="402" spans="2:3" s="1" customFormat="1" x14ac:dyDescent="0.2">
      <c r="B402" s="30"/>
      <c r="C402" s="31">
        <v>3526</v>
      </c>
    </row>
    <row r="403" spans="2:3" s="1" customFormat="1" x14ac:dyDescent="0.2">
      <c r="B403" s="30"/>
      <c r="C403" s="31">
        <v>3527</v>
      </c>
    </row>
    <row r="404" spans="2:3" s="1" customFormat="1" x14ac:dyDescent="0.2">
      <c r="B404" s="30"/>
      <c r="C404" s="31">
        <v>3531</v>
      </c>
    </row>
    <row r="405" spans="2:3" s="1" customFormat="1" x14ac:dyDescent="0.2">
      <c r="B405" s="30"/>
      <c r="C405" s="31">
        <v>3532</v>
      </c>
    </row>
    <row r="406" spans="2:3" s="1" customFormat="1" x14ac:dyDescent="0.2">
      <c r="B406" s="30"/>
      <c r="C406" s="31">
        <v>3545</v>
      </c>
    </row>
    <row r="407" spans="2:3" s="1" customFormat="1" x14ac:dyDescent="0.2">
      <c r="B407" s="30"/>
      <c r="C407" s="31">
        <v>3551</v>
      </c>
    </row>
    <row r="408" spans="2:3" s="1" customFormat="1" x14ac:dyDescent="0.2">
      <c r="B408" s="30"/>
      <c r="C408" s="31">
        <v>3552</v>
      </c>
    </row>
    <row r="409" spans="2:3" s="1" customFormat="1" x14ac:dyDescent="0.2">
      <c r="B409" s="30"/>
      <c r="C409" s="31">
        <v>3554</v>
      </c>
    </row>
    <row r="410" spans="2:3" s="1" customFormat="1" x14ac:dyDescent="0.2">
      <c r="B410" s="30"/>
      <c r="C410" s="31">
        <v>3555</v>
      </c>
    </row>
    <row r="411" spans="2:3" s="1" customFormat="1" x14ac:dyDescent="0.2">
      <c r="B411" s="30"/>
      <c r="C411" s="31">
        <v>3561</v>
      </c>
    </row>
    <row r="412" spans="2:3" s="1" customFormat="1" x14ac:dyDescent="0.2">
      <c r="B412" s="30"/>
      <c r="C412" s="31">
        <v>3562</v>
      </c>
    </row>
    <row r="413" spans="2:3" s="1" customFormat="1" x14ac:dyDescent="0.2">
      <c r="B413" s="30"/>
      <c r="C413" s="31">
        <v>3563</v>
      </c>
    </row>
    <row r="414" spans="2:3" s="1" customFormat="1" x14ac:dyDescent="0.2">
      <c r="B414" s="30"/>
      <c r="C414" s="31">
        <v>3564</v>
      </c>
    </row>
    <row r="415" spans="2:3" s="1" customFormat="1" x14ac:dyDescent="0.2">
      <c r="B415" s="30"/>
      <c r="C415" s="31">
        <v>3566</v>
      </c>
    </row>
    <row r="416" spans="2:3" s="1" customFormat="1" x14ac:dyDescent="0.2">
      <c r="B416" s="30"/>
      <c r="C416" s="31">
        <v>3605</v>
      </c>
    </row>
    <row r="417" spans="2:3" s="1" customFormat="1" x14ac:dyDescent="0.2">
      <c r="B417" s="30"/>
      <c r="C417" s="31">
        <v>3631</v>
      </c>
    </row>
    <row r="418" spans="2:3" s="1" customFormat="1" x14ac:dyDescent="0.2">
      <c r="B418" s="30"/>
      <c r="C418" s="31">
        <v>3634</v>
      </c>
    </row>
    <row r="419" spans="2:3" s="1" customFormat="1" x14ac:dyDescent="0.2">
      <c r="B419" s="30"/>
      <c r="C419" s="31">
        <v>3706</v>
      </c>
    </row>
    <row r="420" spans="2:3" s="1" customFormat="1" x14ac:dyDescent="0.2">
      <c r="B420" s="30"/>
      <c r="C420" s="31">
        <v>3709</v>
      </c>
    </row>
    <row r="421" spans="2:3" s="1" customFormat="1" x14ac:dyDescent="0.2">
      <c r="B421" s="30"/>
      <c r="C421" s="31">
        <v>3712</v>
      </c>
    </row>
    <row r="422" spans="2:3" s="1" customFormat="1" x14ac:dyDescent="0.2">
      <c r="B422" s="30"/>
      <c r="C422" s="31">
        <v>3764</v>
      </c>
    </row>
    <row r="423" spans="2:3" s="1" customFormat="1" x14ac:dyDescent="0.2">
      <c r="B423" s="30"/>
      <c r="C423" s="31">
        <v>3765</v>
      </c>
    </row>
    <row r="424" spans="2:3" s="1" customFormat="1" x14ac:dyDescent="0.2">
      <c r="B424" s="30"/>
      <c r="C424" s="31">
        <v>3775</v>
      </c>
    </row>
    <row r="425" spans="2:3" s="1" customFormat="1" x14ac:dyDescent="0.2">
      <c r="B425" s="30"/>
      <c r="C425" s="31">
        <v>3811</v>
      </c>
    </row>
    <row r="426" spans="2:3" s="1" customFormat="1" x14ac:dyDescent="0.2">
      <c r="B426" s="30"/>
      <c r="C426" s="31">
        <v>3812</v>
      </c>
    </row>
    <row r="427" spans="2:3" s="1" customFormat="1" x14ac:dyDescent="0.2">
      <c r="B427" s="30"/>
      <c r="C427" s="31">
        <v>3813</v>
      </c>
    </row>
    <row r="428" spans="2:3" s="1" customFormat="1" x14ac:dyDescent="0.2">
      <c r="B428" s="30"/>
      <c r="C428" s="31">
        <v>3814</v>
      </c>
    </row>
    <row r="429" spans="2:3" s="1" customFormat="1" x14ac:dyDescent="0.2">
      <c r="B429" s="30"/>
      <c r="C429" s="31">
        <v>3815</v>
      </c>
    </row>
    <row r="430" spans="2:3" s="1" customFormat="1" x14ac:dyDescent="0.2">
      <c r="B430" s="30"/>
      <c r="C430" s="31">
        <v>3816</v>
      </c>
    </row>
    <row r="431" spans="2:3" s="1" customFormat="1" x14ac:dyDescent="0.2">
      <c r="B431" s="30"/>
      <c r="C431" s="31">
        <v>3843</v>
      </c>
    </row>
    <row r="432" spans="2:3" s="1" customFormat="1" x14ac:dyDescent="0.2">
      <c r="B432" s="30"/>
      <c r="C432" s="31">
        <v>3853</v>
      </c>
    </row>
    <row r="433" spans="2:3" s="1" customFormat="1" x14ac:dyDescent="0.2">
      <c r="B433" s="30"/>
      <c r="C433" s="31">
        <v>3896</v>
      </c>
    </row>
    <row r="434" spans="2:3" s="1" customFormat="1" x14ac:dyDescent="0.2">
      <c r="B434" s="30"/>
      <c r="C434" s="31">
        <v>3897</v>
      </c>
    </row>
    <row r="435" spans="2:3" s="1" customFormat="1" x14ac:dyDescent="0.2">
      <c r="B435" s="30"/>
      <c r="C435" s="31">
        <v>3898</v>
      </c>
    </row>
    <row r="436" spans="2:3" s="1" customFormat="1" x14ac:dyDescent="0.2">
      <c r="B436" s="30"/>
      <c r="C436" s="31">
        <v>3901</v>
      </c>
    </row>
    <row r="437" spans="2:3" s="1" customFormat="1" x14ac:dyDescent="0.2">
      <c r="B437" s="30"/>
      <c r="C437" s="31">
        <v>3995</v>
      </c>
    </row>
    <row r="438" spans="2:3" s="1" customFormat="1" x14ac:dyDescent="0.2">
      <c r="B438" s="30"/>
      <c r="C438" s="31">
        <v>3999</v>
      </c>
    </row>
    <row r="439" spans="2:3" s="1" customFormat="1" x14ac:dyDescent="0.2">
      <c r="B439" s="30"/>
      <c r="C439" s="31">
        <v>4005</v>
      </c>
    </row>
    <row r="440" spans="2:3" s="1" customFormat="1" x14ac:dyDescent="0.2">
      <c r="B440" s="30"/>
      <c r="C440" s="31">
        <v>4006</v>
      </c>
    </row>
    <row r="441" spans="2:3" s="1" customFormat="1" x14ac:dyDescent="0.2">
      <c r="B441" s="30"/>
      <c r="C441" s="31">
        <v>4016</v>
      </c>
    </row>
    <row r="442" spans="2:3" s="1" customFormat="1" x14ac:dyDescent="0.2">
      <c r="B442" s="30"/>
      <c r="C442" s="31">
        <v>4032</v>
      </c>
    </row>
    <row r="443" spans="2:3" s="1" customFormat="1" x14ac:dyDescent="0.2">
      <c r="B443" s="30"/>
      <c r="C443" s="31">
        <v>4115</v>
      </c>
    </row>
    <row r="444" spans="2:3" s="1" customFormat="1" x14ac:dyDescent="0.2">
      <c r="B444" s="30"/>
      <c r="C444" s="31">
        <v>4131</v>
      </c>
    </row>
    <row r="445" spans="2:3" s="1" customFormat="1" x14ac:dyDescent="0.2">
      <c r="B445" s="30"/>
      <c r="C445" s="31">
        <v>4142</v>
      </c>
    </row>
    <row r="446" spans="2:3" s="1" customFormat="1" x14ac:dyDescent="0.2">
      <c r="B446" s="30"/>
      <c r="C446" s="31">
        <v>4176</v>
      </c>
    </row>
    <row r="447" spans="2:3" s="1" customFormat="1" x14ac:dyDescent="0.2">
      <c r="B447" s="30"/>
      <c r="C447" s="31">
        <v>4182</v>
      </c>
    </row>
    <row r="448" spans="2:3" s="1" customFormat="1" x14ac:dyDescent="0.2">
      <c r="B448" s="30"/>
      <c r="C448" s="31">
        <v>4201</v>
      </c>
    </row>
    <row r="449" spans="2:3" s="1" customFormat="1" x14ac:dyDescent="0.2">
      <c r="B449" s="30"/>
      <c r="C449" s="31">
        <v>4203</v>
      </c>
    </row>
    <row r="450" spans="2:3" s="1" customFormat="1" x14ac:dyDescent="0.2">
      <c r="B450" s="30"/>
      <c r="C450" s="31">
        <v>4267</v>
      </c>
    </row>
    <row r="451" spans="2:3" s="1" customFormat="1" x14ac:dyDescent="0.2">
      <c r="B451" s="30"/>
      <c r="C451" s="31">
        <v>4308</v>
      </c>
    </row>
    <row r="452" spans="2:3" s="1" customFormat="1" x14ac:dyDescent="0.2">
      <c r="B452" s="30"/>
      <c r="C452" s="31">
        <v>4315</v>
      </c>
    </row>
    <row r="453" spans="2:3" s="1" customFormat="1" x14ac:dyDescent="0.2">
      <c r="B453" s="30"/>
      <c r="C453" s="31">
        <v>4335</v>
      </c>
    </row>
    <row r="454" spans="2:3" s="1" customFormat="1" x14ac:dyDescent="0.2">
      <c r="B454" s="30"/>
      <c r="C454" s="31">
        <v>4337</v>
      </c>
    </row>
    <row r="455" spans="2:3" s="1" customFormat="1" x14ac:dyDescent="0.2">
      <c r="B455" s="30"/>
      <c r="C455" s="31">
        <v>4357</v>
      </c>
    </row>
    <row r="456" spans="2:3" s="1" customFormat="1" x14ac:dyDescent="0.2">
      <c r="B456" s="30"/>
      <c r="C456" s="31">
        <v>4381</v>
      </c>
    </row>
    <row r="457" spans="2:3" s="1" customFormat="1" x14ac:dyDescent="0.2">
      <c r="B457" s="30"/>
      <c r="C457" s="31">
        <v>4382</v>
      </c>
    </row>
    <row r="458" spans="2:3" s="1" customFormat="1" x14ac:dyDescent="0.2">
      <c r="B458" s="30"/>
      <c r="C458" s="31">
        <v>4383</v>
      </c>
    </row>
    <row r="459" spans="2:3" s="1" customFormat="1" x14ac:dyDescent="0.2">
      <c r="B459" s="30"/>
      <c r="C459" s="31">
        <v>4423</v>
      </c>
    </row>
    <row r="460" spans="2:3" s="1" customFormat="1" x14ac:dyDescent="0.2">
      <c r="B460" s="30"/>
      <c r="C460" s="31">
        <v>4441</v>
      </c>
    </row>
    <row r="461" spans="2:3" s="1" customFormat="1" x14ac:dyDescent="0.2">
      <c r="B461" s="30"/>
      <c r="C461" s="31">
        <v>4463</v>
      </c>
    </row>
    <row r="462" spans="2:3" s="1" customFormat="1" x14ac:dyDescent="0.2">
      <c r="B462" s="30"/>
      <c r="C462" s="31">
        <v>4494</v>
      </c>
    </row>
    <row r="463" spans="2:3" s="1" customFormat="1" x14ac:dyDescent="0.2">
      <c r="B463" s="30"/>
      <c r="C463" s="31">
        <v>4503</v>
      </c>
    </row>
    <row r="464" spans="2:3" s="1" customFormat="1" x14ac:dyDescent="0.2">
      <c r="B464" s="30"/>
      <c r="C464" s="31">
        <v>4504</v>
      </c>
    </row>
    <row r="465" spans="2:3" s="1" customFormat="1" x14ac:dyDescent="0.2">
      <c r="B465" s="30"/>
      <c r="C465" s="31">
        <v>4505</v>
      </c>
    </row>
    <row r="466" spans="2:3" s="1" customFormat="1" x14ac:dyDescent="0.2">
      <c r="B466" s="30"/>
      <c r="C466" s="31">
        <v>4508</v>
      </c>
    </row>
    <row r="467" spans="2:3" s="1" customFormat="1" x14ac:dyDescent="0.2">
      <c r="B467" s="30"/>
      <c r="C467" s="31">
        <v>4513</v>
      </c>
    </row>
    <row r="468" spans="2:3" s="1" customFormat="1" x14ac:dyDescent="0.2">
      <c r="B468" s="30"/>
      <c r="C468" s="31">
        <v>4522</v>
      </c>
    </row>
    <row r="469" spans="2:3" s="1" customFormat="1" x14ac:dyDescent="0.2">
      <c r="B469" s="30"/>
      <c r="C469" s="31">
        <v>4525</v>
      </c>
    </row>
    <row r="470" spans="2:3" s="1" customFormat="1" x14ac:dyDescent="0.2">
      <c r="B470" s="30"/>
      <c r="C470" s="31">
        <v>4529</v>
      </c>
    </row>
    <row r="471" spans="2:3" s="1" customFormat="1" x14ac:dyDescent="0.2">
      <c r="B471" s="30"/>
      <c r="C471" s="31">
        <v>4531</v>
      </c>
    </row>
    <row r="472" spans="2:3" s="1" customFormat="1" x14ac:dyDescent="0.2">
      <c r="B472" s="30"/>
      <c r="C472" s="31">
        <v>4536</v>
      </c>
    </row>
    <row r="473" spans="2:3" s="1" customFormat="1" x14ac:dyDescent="0.2">
      <c r="B473" s="30"/>
      <c r="C473" s="31">
        <v>4537</v>
      </c>
    </row>
    <row r="474" spans="2:3" s="1" customFormat="1" x14ac:dyDescent="0.2">
      <c r="B474" s="30"/>
      <c r="C474" s="31">
        <v>4538</v>
      </c>
    </row>
    <row r="475" spans="2:3" s="1" customFormat="1" x14ac:dyDescent="0.2">
      <c r="B475" s="30"/>
      <c r="C475" s="31">
        <v>4554</v>
      </c>
    </row>
    <row r="476" spans="2:3" s="1" customFormat="1" x14ac:dyDescent="0.2">
      <c r="B476" s="30"/>
      <c r="C476" s="31">
        <v>4565</v>
      </c>
    </row>
    <row r="477" spans="2:3" s="1" customFormat="1" x14ac:dyDescent="0.2">
      <c r="B477" s="30"/>
      <c r="C477" s="31">
        <v>4583</v>
      </c>
    </row>
    <row r="478" spans="2:3" s="1" customFormat="1" x14ac:dyDescent="0.2">
      <c r="B478" s="30"/>
      <c r="C478" s="31">
        <v>4586</v>
      </c>
    </row>
    <row r="479" spans="2:3" s="1" customFormat="1" x14ac:dyDescent="0.2">
      <c r="B479" s="30"/>
      <c r="C479" s="31">
        <v>4589</v>
      </c>
    </row>
    <row r="480" spans="2:3" s="1" customFormat="1" x14ac:dyDescent="0.2">
      <c r="B480" s="30"/>
      <c r="C480" s="31">
        <v>4612</v>
      </c>
    </row>
    <row r="481" spans="2:3" s="1" customFormat="1" x14ac:dyDescent="0.2">
      <c r="B481" s="30"/>
      <c r="C481" s="31">
        <v>4613</v>
      </c>
    </row>
    <row r="482" spans="2:3" s="1" customFormat="1" x14ac:dyDescent="0.2">
      <c r="B482" s="30"/>
      <c r="C482" s="31">
        <v>4621</v>
      </c>
    </row>
    <row r="483" spans="2:3" s="1" customFormat="1" x14ac:dyDescent="0.2">
      <c r="B483" s="30"/>
      <c r="C483" s="31">
        <v>4622</v>
      </c>
    </row>
    <row r="484" spans="2:3" s="1" customFormat="1" x14ac:dyDescent="0.2">
      <c r="B484" s="30"/>
      <c r="C484" s="31">
        <v>4623</v>
      </c>
    </row>
    <row r="485" spans="2:3" s="1" customFormat="1" x14ac:dyDescent="0.2">
      <c r="B485" s="30"/>
      <c r="C485" s="31">
        <v>4702</v>
      </c>
    </row>
    <row r="486" spans="2:3" s="1" customFormat="1" x14ac:dyDescent="0.2">
      <c r="B486" s="30"/>
      <c r="C486" s="31">
        <v>4707</v>
      </c>
    </row>
    <row r="487" spans="2:3" s="1" customFormat="1" x14ac:dyDescent="0.2">
      <c r="B487" s="30"/>
      <c r="C487" s="31">
        <v>4711</v>
      </c>
    </row>
    <row r="488" spans="2:3" s="1" customFormat="1" x14ac:dyDescent="0.2">
      <c r="B488" s="30"/>
      <c r="C488" s="31">
        <v>4772</v>
      </c>
    </row>
    <row r="489" spans="2:3" s="1" customFormat="1" x14ac:dyDescent="0.2">
      <c r="B489" s="30"/>
      <c r="C489" s="31">
        <v>4782</v>
      </c>
    </row>
    <row r="490" spans="2:3" s="1" customFormat="1" x14ac:dyDescent="0.2">
      <c r="B490" s="30"/>
      <c r="C490" s="31">
        <v>4811</v>
      </c>
    </row>
    <row r="491" spans="2:3" s="1" customFormat="1" x14ac:dyDescent="0.2">
      <c r="B491" s="30"/>
      <c r="C491" s="31">
        <v>4812</v>
      </c>
    </row>
    <row r="492" spans="2:3" s="1" customFormat="1" x14ac:dyDescent="0.2">
      <c r="B492" s="30"/>
      <c r="C492" s="31">
        <v>4814</v>
      </c>
    </row>
    <row r="493" spans="2:3" s="1" customFormat="1" x14ac:dyDescent="0.2">
      <c r="B493" s="30"/>
      <c r="C493" s="31">
        <v>4816</v>
      </c>
    </row>
    <row r="494" spans="2:3" s="1" customFormat="1" x14ac:dyDescent="0.2">
      <c r="B494" s="30"/>
      <c r="C494" s="31">
        <v>4822</v>
      </c>
    </row>
    <row r="495" spans="2:3" s="1" customFormat="1" x14ac:dyDescent="0.2">
      <c r="B495" s="30"/>
      <c r="C495" s="31">
        <v>4826</v>
      </c>
    </row>
    <row r="496" spans="2:3" s="1" customFormat="1" x14ac:dyDescent="0.2">
      <c r="B496" s="30"/>
      <c r="C496" s="31">
        <v>4827</v>
      </c>
    </row>
    <row r="497" spans="2:3" s="1" customFormat="1" x14ac:dyDescent="0.2">
      <c r="B497" s="30"/>
      <c r="C497" s="31">
        <v>4903</v>
      </c>
    </row>
    <row r="498" spans="2:3" s="1" customFormat="1" x14ac:dyDescent="0.2">
      <c r="B498" s="30"/>
      <c r="C498" s="31">
        <v>5011</v>
      </c>
    </row>
    <row r="499" spans="2:3" s="1" customFormat="1" x14ac:dyDescent="0.2">
      <c r="B499" s="30"/>
      <c r="C499" s="31">
        <v>5012</v>
      </c>
    </row>
    <row r="500" spans="2:3" s="1" customFormat="1" x14ac:dyDescent="0.2">
      <c r="B500" s="30"/>
      <c r="C500" s="31">
        <v>5013</v>
      </c>
    </row>
    <row r="501" spans="2:3" s="1" customFormat="1" x14ac:dyDescent="0.2">
      <c r="B501" s="30"/>
      <c r="C501" s="31">
        <v>5014</v>
      </c>
    </row>
    <row r="502" spans="2:3" s="1" customFormat="1" x14ac:dyDescent="0.2">
      <c r="B502" s="30"/>
      <c r="C502" s="31">
        <v>5015</v>
      </c>
    </row>
    <row r="503" spans="2:3" s="1" customFormat="1" x14ac:dyDescent="0.2">
      <c r="B503" s="30"/>
      <c r="C503" s="31">
        <v>5018</v>
      </c>
    </row>
    <row r="504" spans="2:3" s="1" customFormat="1" x14ac:dyDescent="0.2">
      <c r="B504" s="30"/>
      <c r="C504" s="31">
        <v>5021</v>
      </c>
    </row>
    <row r="505" spans="2:3" s="1" customFormat="1" x14ac:dyDescent="0.2">
      <c r="B505" s="30"/>
      <c r="C505" s="31">
        <v>5022</v>
      </c>
    </row>
    <row r="506" spans="2:3" s="1" customFormat="1" x14ac:dyDescent="0.2">
      <c r="B506" s="30"/>
      <c r="C506" s="31">
        <v>5025</v>
      </c>
    </row>
    <row r="507" spans="2:3" s="1" customFormat="1" x14ac:dyDescent="0.2">
      <c r="B507" s="30"/>
      <c r="C507" s="31">
        <v>5041</v>
      </c>
    </row>
    <row r="508" spans="2:3" s="1" customFormat="1" x14ac:dyDescent="0.2">
      <c r="B508" s="30"/>
      <c r="C508" s="31">
        <v>5042</v>
      </c>
    </row>
    <row r="509" spans="2:3" s="1" customFormat="1" x14ac:dyDescent="0.2">
      <c r="B509" s="30"/>
      <c r="C509" s="31">
        <v>5044</v>
      </c>
    </row>
    <row r="510" spans="2:3" s="1" customFormat="1" x14ac:dyDescent="0.2">
      <c r="B510" s="30"/>
      <c r="C510" s="31">
        <v>5046</v>
      </c>
    </row>
    <row r="511" spans="2:3" s="1" customFormat="1" x14ac:dyDescent="0.2">
      <c r="B511" s="30"/>
      <c r="C511" s="31">
        <v>5049</v>
      </c>
    </row>
    <row r="512" spans="2:3" s="1" customFormat="1" x14ac:dyDescent="0.2">
      <c r="B512" s="30"/>
      <c r="C512" s="31">
        <v>5059</v>
      </c>
    </row>
    <row r="513" spans="2:3" s="1" customFormat="1" x14ac:dyDescent="0.2">
      <c r="B513" s="30"/>
      <c r="C513" s="31">
        <v>5063</v>
      </c>
    </row>
    <row r="514" spans="2:3" s="1" customFormat="1" x14ac:dyDescent="0.2">
      <c r="B514" s="30"/>
      <c r="C514" s="31">
        <v>5105</v>
      </c>
    </row>
    <row r="515" spans="2:3" s="1" customFormat="1" x14ac:dyDescent="0.2">
      <c r="B515" s="30"/>
      <c r="C515" s="31">
        <v>5124</v>
      </c>
    </row>
    <row r="516" spans="2:3" s="1" customFormat="1" x14ac:dyDescent="0.2">
      <c r="B516" s="30"/>
      <c r="C516" s="31">
        <v>5142</v>
      </c>
    </row>
    <row r="517" spans="2:3" s="1" customFormat="1" x14ac:dyDescent="0.2">
      <c r="B517" s="30"/>
      <c r="C517" s="31">
        <v>5176</v>
      </c>
    </row>
    <row r="518" spans="2:3" s="1" customFormat="1" x14ac:dyDescent="0.2">
      <c r="B518" s="30"/>
      <c r="C518" s="31">
        <v>5211</v>
      </c>
    </row>
    <row r="519" spans="2:3" s="1" customFormat="1" x14ac:dyDescent="0.2">
      <c r="B519" s="30"/>
      <c r="C519" s="31">
        <v>5212</v>
      </c>
    </row>
    <row r="520" spans="2:3" s="1" customFormat="1" x14ac:dyDescent="0.2">
      <c r="B520" s="30"/>
      <c r="C520" s="31">
        <v>5213</v>
      </c>
    </row>
    <row r="521" spans="2:3" s="1" customFormat="1" x14ac:dyDescent="0.2">
      <c r="B521" s="30"/>
      <c r="C521" s="31">
        <v>5215</v>
      </c>
    </row>
    <row r="522" spans="2:3" s="1" customFormat="1" x14ac:dyDescent="0.2">
      <c r="B522" s="30"/>
      <c r="C522" s="31">
        <v>5223</v>
      </c>
    </row>
    <row r="523" spans="2:3" s="1" customFormat="1" x14ac:dyDescent="0.2">
      <c r="B523" s="30"/>
      <c r="C523" s="31">
        <v>5224</v>
      </c>
    </row>
    <row r="524" spans="2:3" s="1" customFormat="1" x14ac:dyDescent="0.2">
      <c r="B524" s="30"/>
      <c r="C524" s="31">
        <v>5231</v>
      </c>
    </row>
    <row r="525" spans="2:3" s="1" customFormat="1" x14ac:dyDescent="0.2">
      <c r="B525" s="30"/>
      <c r="C525" s="31">
        <v>5233</v>
      </c>
    </row>
    <row r="526" spans="2:3" s="1" customFormat="1" x14ac:dyDescent="0.2">
      <c r="B526" s="30"/>
      <c r="C526" s="31">
        <v>5266</v>
      </c>
    </row>
    <row r="527" spans="2:3" s="1" customFormat="1" x14ac:dyDescent="0.2">
      <c r="B527" s="30"/>
      <c r="C527" s="31">
        <v>5313</v>
      </c>
    </row>
    <row r="528" spans="2:3" s="1" customFormat="1" x14ac:dyDescent="0.2">
      <c r="B528" s="30"/>
      <c r="C528" s="31">
        <v>5343</v>
      </c>
    </row>
    <row r="529" spans="2:3" s="1" customFormat="1" x14ac:dyDescent="0.2">
      <c r="B529" s="30"/>
      <c r="C529" s="31">
        <v>5344</v>
      </c>
    </row>
    <row r="530" spans="2:3" s="1" customFormat="1" x14ac:dyDescent="0.2">
      <c r="B530" s="30"/>
      <c r="C530" s="31">
        <v>5348</v>
      </c>
    </row>
    <row r="531" spans="2:3" s="1" customFormat="1" x14ac:dyDescent="0.2">
      <c r="B531" s="30"/>
      <c r="C531" s="31">
        <v>5349</v>
      </c>
    </row>
    <row r="532" spans="2:3" s="1" customFormat="1" x14ac:dyDescent="0.2">
      <c r="B532" s="30"/>
      <c r="C532" s="31">
        <v>5367</v>
      </c>
    </row>
    <row r="533" spans="2:3" s="1" customFormat="1" x14ac:dyDescent="0.2">
      <c r="B533" s="30"/>
      <c r="C533" s="31">
        <v>5383</v>
      </c>
    </row>
    <row r="534" spans="2:3" s="1" customFormat="1" x14ac:dyDescent="0.2">
      <c r="B534" s="30"/>
      <c r="C534" s="31">
        <v>5401</v>
      </c>
    </row>
    <row r="535" spans="2:3" s="1" customFormat="1" x14ac:dyDescent="0.2">
      <c r="B535" s="30"/>
      <c r="C535" s="31">
        <v>5405</v>
      </c>
    </row>
    <row r="536" spans="2:3" s="1" customFormat="1" x14ac:dyDescent="0.2">
      <c r="B536" s="30"/>
      <c r="C536" s="31">
        <v>5423</v>
      </c>
    </row>
    <row r="537" spans="2:3" s="1" customFormat="1" x14ac:dyDescent="0.2">
      <c r="B537" s="30"/>
      <c r="C537" s="31">
        <v>5431</v>
      </c>
    </row>
    <row r="538" spans="2:3" s="1" customFormat="1" x14ac:dyDescent="0.2">
      <c r="B538" s="30"/>
      <c r="C538" s="31">
        <v>5462</v>
      </c>
    </row>
    <row r="539" spans="2:3" s="1" customFormat="1" x14ac:dyDescent="0.2">
      <c r="B539" s="30"/>
      <c r="C539" s="31">
        <v>5505</v>
      </c>
    </row>
    <row r="540" spans="2:3" s="1" customFormat="1" x14ac:dyDescent="0.2">
      <c r="B540" s="30"/>
      <c r="C540" s="31">
        <v>5553</v>
      </c>
    </row>
    <row r="541" spans="2:3" s="1" customFormat="1" x14ac:dyDescent="0.2">
      <c r="B541" s="30"/>
      <c r="C541" s="31">
        <v>5611</v>
      </c>
    </row>
    <row r="542" spans="2:3" s="1" customFormat="1" x14ac:dyDescent="0.2">
      <c r="B542" s="30"/>
      <c r="C542" s="31">
        <v>5612</v>
      </c>
    </row>
    <row r="543" spans="2:3" s="1" customFormat="1" x14ac:dyDescent="0.2">
      <c r="B543" s="30"/>
      <c r="C543" s="31">
        <v>5613</v>
      </c>
    </row>
    <row r="544" spans="2:3" s="1" customFormat="1" x14ac:dyDescent="0.2">
      <c r="B544" s="30"/>
      <c r="C544" s="31">
        <v>5616</v>
      </c>
    </row>
    <row r="545" spans="2:3" s="1" customFormat="1" x14ac:dyDescent="0.2">
      <c r="B545" s="30"/>
      <c r="C545" s="31">
        <v>5621</v>
      </c>
    </row>
    <row r="546" spans="2:3" s="1" customFormat="1" x14ac:dyDescent="0.2">
      <c r="B546" s="30"/>
      <c r="C546" s="31">
        <v>5622</v>
      </c>
    </row>
    <row r="547" spans="2:3" s="1" customFormat="1" x14ac:dyDescent="0.2">
      <c r="B547" s="30"/>
      <c r="C547" s="31">
        <v>5623</v>
      </c>
    </row>
    <row r="548" spans="2:3" s="1" customFormat="1" x14ac:dyDescent="0.2">
      <c r="B548" s="30"/>
      <c r="C548" s="31">
        <v>5625</v>
      </c>
    </row>
    <row r="549" spans="2:3" s="1" customFormat="1" x14ac:dyDescent="0.2">
      <c r="B549" s="30"/>
      <c r="C549" s="31">
        <v>5632</v>
      </c>
    </row>
    <row r="550" spans="2:3" s="1" customFormat="1" x14ac:dyDescent="0.2">
      <c r="B550" s="30"/>
      <c r="C550" s="31">
        <v>5641</v>
      </c>
    </row>
    <row r="551" spans="2:3" s="1" customFormat="1" x14ac:dyDescent="0.2">
      <c r="B551" s="30"/>
      <c r="C551" s="31">
        <v>5642</v>
      </c>
    </row>
    <row r="552" spans="2:3" s="1" customFormat="1" x14ac:dyDescent="0.2">
      <c r="B552" s="30"/>
      <c r="C552" s="31">
        <v>5643</v>
      </c>
    </row>
    <row r="553" spans="2:3" s="1" customFormat="1" x14ac:dyDescent="0.2">
      <c r="B553" s="30"/>
      <c r="C553" s="31">
        <v>5644</v>
      </c>
    </row>
    <row r="554" spans="2:3" s="1" customFormat="1" x14ac:dyDescent="0.2">
      <c r="B554" s="30"/>
      <c r="C554" s="31">
        <v>5645</v>
      </c>
    </row>
    <row r="555" spans="2:3" s="1" customFormat="1" x14ac:dyDescent="0.2">
      <c r="B555" s="30"/>
      <c r="C555" s="31">
        <v>5651</v>
      </c>
    </row>
    <row r="556" spans="2:3" s="1" customFormat="1" x14ac:dyDescent="0.2">
      <c r="B556" s="30"/>
      <c r="C556" s="31">
        <v>5652</v>
      </c>
    </row>
    <row r="557" spans="2:3" s="1" customFormat="1" x14ac:dyDescent="0.2">
      <c r="B557" s="30"/>
      <c r="C557" s="31">
        <v>5653</v>
      </c>
    </row>
    <row r="558" spans="2:3" s="1" customFormat="1" x14ac:dyDescent="0.2">
      <c r="B558" s="30"/>
      <c r="C558" s="31">
        <v>5654</v>
      </c>
    </row>
    <row r="559" spans="2:3" s="1" customFormat="1" x14ac:dyDescent="0.2">
      <c r="B559" s="30"/>
      <c r="C559" s="31">
        <v>5657</v>
      </c>
    </row>
    <row r="560" spans="2:3" s="1" customFormat="1" x14ac:dyDescent="0.2">
      <c r="B560" s="30"/>
      <c r="C560" s="31">
        <v>5665</v>
      </c>
    </row>
    <row r="561" spans="2:3" s="1" customFormat="1" x14ac:dyDescent="0.2">
      <c r="B561" s="30"/>
      <c r="C561" s="31">
        <v>5681</v>
      </c>
    </row>
    <row r="562" spans="2:3" s="1" customFormat="1" x14ac:dyDescent="0.2">
      <c r="B562" s="30"/>
      <c r="C562" s="31">
        <v>5684</v>
      </c>
    </row>
    <row r="563" spans="2:3" s="1" customFormat="1" x14ac:dyDescent="0.2">
      <c r="B563" s="30"/>
      <c r="C563" s="31">
        <v>5701</v>
      </c>
    </row>
    <row r="564" spans="2:3" s="1" customFormat="1" x14ac:dyDescent="0.2">
      <c r="B564" s="30"/>
      <c r="C564" s="31">
        <v>5702</v>
      </c>
    </row>
    <row r="565" spans="2:3" s="1" customFormat="1" x14ac:dyDescent="0.2">
      <c r="B565" s="30"/>
      <c r="C565" s="31">
        <v>5703</v>
      </c>
    </row>
    <row r="566" spans="2:3" s="1" customFormat="1" x14ac:dyDescent="0.2">
      <c r="B566" s="30"/>
      <c r="C566" s="31">
        <v>5704</v>
      </c>
    </row>
    <row r="567" spans="2:3" s="1" customFormat="1" x14ac:dyDescent="0.2">
      <c r="B567" s="30"/>
      <c r="C567" s="31">
        <v>5705</v>
      </c>
    </row>
    <row r="568" spans="2:3" s="1" customFormat="1" x14ac:dyDescent="0.2">
      <c r="B568" s="30"/>
      <c r="C568" s="31">
        <v>5802</v>
      </c>
    </row>
    <row r="569" spans="2:3" s="1" customFormat="1" x14ac:dyDescent="0.2">
      <c r="B569" s="30"/>
      <c r="C569" s="31">
        <v>5843</v>
      </c>
    </row>
    <row r="570" spans="2:3" s="1" customFormat="1" x14ac:dyDescent="0.2">
      <c r="B570" s="30"/>
      <c r="C570" s="31">
        <v>5856</v>
      </c>
    </row>
    <row r="571" spans="2:3" s="1" customFormat="1" x14ac:dyDescent="0.2">
      <c r="B571" s="30"/>
      <c r="C571" s="31">
        <v>5911</v>
      </c>
    </row>
    <row r="572" spans="2:3" s="1" customFormat="1" x14ac:dyDescent="0.2">
      <c r="B572" s="30"/>
      <c r="C572" s="31">
        <v>5912</v>
      </c>
    </row>
    <row r="573" spans="2:3" s="1" customFormat="1" x14ac:dyDescent="0.2">
      <c r="B573" s="30"/>
      <c r="C573" s="31">
        <v>5914</v>
      </c>
    </row>
    <row r="574" spans="2:3" s="1" customFormat="1" x14ac:dyDescent="0.2">
      <c r="B574" s="30"/>
      <c r="C574" s="31">
        <v>5915</v>
      </c>
    </row>
    <row r="575" spans="2:3" s="1" customFormat="1" x14ac:dyDescent="0.2">
      <c r="B575" s="30"/>
      <c r="C575" s="31">
        <v>5921</v>
      </c>
    </row>
    <row r="576" spans="2:3" s="1" customFormat="1" x14ac:dyDescent="0.2">
      <c r="B576" s="30"/>
      <c r="C576" s="31">
        <v>5922</v>
      </c>
    </row>
    <row r="577" spans="2:3" s="1" customFormat="1" x14ac:dyDescent="0.2">
      <c r="B577" s="30"/>
      <c r="C577" s="31">
        <v>5923</v>
      </c>
    </row>
    <row r="578" spans="2:3" s="1" customFormat="1" x14ac:dyDescent="0.2">
      <c r="B578" s="30"/>
      <c r="C578" s="31">
        <v>5925</v>
      </c>
    </row>
    <row r="579" spans="2:3" s="1" customFormat="1" x14ac:dyDescent="0.2">
      <c r="B579" s="30"/>
      <c r="C579" s="31">
        <v>5932</v>
      </c>
    </row>
    <row r="580" spans="2:3" s="1" customFormat="1" x14ac:dyDescent="0.2">
      <c r="B580" s="30"/>
      <c r="C580" s="31">
        <v>5977</v>
      </c>
    </row>
    <row r="581" spans="2:3" s="1" customFormat="1" x14ac:dyDescent="0.2">
      <c r="B581" s="30"/>
      <c r="C581" s="31">
        <v>5984</v>
      </c>
    </row>
    <row r="582" spans="2:3" s="1" customFormat="1" x14ac:dyDescent="0.2">
      <c r="B582" s="30"/>
      <c r="C582" s="31">
        <v>6013</v>
      </c>
    </row>
    <row r="583" spans="2:3" s="1" customFormat="1" x14ac:dyDescent="0.2">
      <c r="B583" s="30"/>
      <c r="C583" s="31">
        <v>6042</v>
      </c>
    </row>
    <row r="584" spans="2:3" s="1" customFormat="1" x14ac:dyDescent="0.2">
      <c r="B584" s="30"/>
      <c r="C584" s="31">
        <v>6043</v>
      </c>
    </row>
    <row r="585" spans="2:3" s="1" customFormat="1" x14ac:dyDescent="0.2">
      <c r="B585" s="30"/>
      <c r="C585" s="31">
        <v>6044</v>
      </c>
    </row>
    <row r="586" spans="2:3" s="1" customFormat="1" x14ac:dyDescent="0.2">
      <c r="B586" s="30"/>
      <c r="C586" s="31">
        <v>6045</v>
      </c>
    </row>
    <row r="587" spans="2:3" s="1" customFormat="1" x14ac:dyDescent="0.2">
      <c r="B587" s="30"/>
      <c r="C587" s="31">
        <v>6101</v>
      </c>
    </row>
    <row r="588" spans="2:3" s="1" customFormat="1" x14ac:dyDescent="0.2">
      <c r="B588" s="30"/>
      <c r="C588" s="31">
        <v>6102</v>
      </c>
    </row>
    <row r="589" spans="2:3" s="1" customFormat="1" x14ac:dyDescent="0.2">
      <c r="B589" s="30"/>
      <c r="C589" s="31">
        <v>6105</v>
      </c>
    </row>
    <row r="590" spans="2:3" s="1" customFormat="1" x14ac:dyDescent="0.2">
      <c r="B590" s="30"/>
      <c r="C590" s="31">
        <v>6111</v>
      </c>
    </row>
    <row r="591" spans="2:3" s="1" customFormat="1" x14ac:dyDescent="0.2">
      <c r="B591" s="30"/>
      <c r="C591" s="31">
        <v>6116</v>
      </c>
    </row>
    <row r="592" spans="2:3" s="1" customFormat="1" x14ac:dyDescent="0.2">
      <c r="B592" s="30"/>
      <c r="C592" s="31">
        <v>6121</v>
      </c>
    </row>
    <row r="593" spans="2:3" s="1" customFormat="1" x14ac:dyDescent="0.2">
      <c r="B593" s="30"/>
      <c r="C593" s="31">
        <v>6123</v>
      </c>
    </row>
    <row r="594" spans="2:3" s="1" customFormat="1" x14ac:dyDescent="0.2">
      <c r="B594" s="30"/>
      <c r="C594" s="31">
        <v>6125</v>
      </c>
    </row>
    <row r="595" spans="2:3" s="1" customFormat="1" x14ac:dyDescent="0.2">
      <c r="B595" s="30"/>
      <c r="C595" s="31">
        <v>6132</v>
      </c>
    </row>
    <row r="596" spans="2:3" s="1" customFormat="1" x14ac:dyDescent="0.2">
      <c r="B596" s="30"/>
      <c r="C596" s="31">
        <v>6134</v>
      </c>
    </row>
    <row r="597" spans="2:3" s="1" customFormat="1" x14ac:dyDescent="0.2">
      <c r="B597" s="30"/>
      <c r="C597" s="31">
        <v>6135</v>
      </c>
    </row>
    <row r="598" spans="2:3" s="1" customFormat="1" x14ac:dyDescent="0.2">
      <c r="B598" s="30"/>
      <c r="C598" s="31">
        <v>6136</v>
      </c>
    </row>
    <row r="599" spans="2:3" s="1" customFormat="1" x14ac:dyDescent="0.2">
      <c r="B599" s="30"/>
      <c r="C599" s="31">
        <v>6137</v>
      </c>
    </row>
    <row r="600" spans="2:3" s="1" customFormat="1" x14ac:dyDescent="0.2">
      <c r="B600" s="30"/>
      <c r="C600" s="31">
        <v>6143</v>
      </c>
    </row>
    <row r="601" spans="2:3" s="1" customFormat="1" x14ac:dyDescent="0.2">
      <c r="B601" s="30"/>
      <c r="C601" s="31">
        <v>6161</v>
      </c>
    </row>
    <row r="602" spans="2:3" s="1" customFormat="1" x14ac:dyDescent="0.2">
      <c r="B602" s="30"/>
      <c r="C602" s="31">
        <v>6162</v>
      </c>
    </row>
    <row r="603" spans="2:3" s="1" customFormat="1" x14ac:dyDescent="0.2">
      <c r="B603" s="30"/>
      <c r="C603" s="31">
        <v>6163</v>
      </c>
    </row>
    <row r="604" spans="2:3" s="1" customFormat="1" x14ac:dyDescent="0.2">
      <c r="B604" s="30"/>
      <c r="C604" s="31">
        <v>6164</v>
      </c>
    </row>
    <row r="605" spans="2:3" s="1" customFormat="1" x14ac:dyDescent="0.2">
      <c r="B605" s="30"/>
      <c r="C605" s="31">
        <v>6165</v>
      </c>
    </row>
    <row r="606" spans="2:3" s="1" customFormat="1" x14ac:dyDescent="0.2">
      <c r="B606" s="30"/>
      <c r="C606" s="31">
        <v>6166</v>
      </c>
    </row>
    <row r="607" spans="2:3" s="1" customFormat="1" x14ac:dyDescent="0.2">
      <c r="B607" s="30"/>
      <c r="C607" s="31">
        <v>6211</v>
      </c>
    </row>
    <row r="608" spans="2:3" s="1" customFormat="1" x14ac:dyDescent="0.2">
      <c r="B608" s="30"/>
      <c r="C608" s="31">
        <v>6214</v>
      </c>
    </row>
    <row r="609" spans="2:3" s="1" customFormat="1" x14ac:dyDescent="0.2">
      <c r="B609" s="30"/>
      <c r="C609" s="31">
        <v>6215</v>
      </c>
    </row>
    <row r="610" spans="2:3" s="1" customFormat="1" x14ac:dyDescent="0.2">
      <c r="B610" s="30"/>
      <c r="C610" s="31">
        <v>6216</v>
      </c>
    </row>
    <row r="611" spans="2:3" s="1" customFormat="1" x14ac:dyDescent="0.2">
      <c r="B611" s="30"/>
      <c r="C611" s="31">
        <v>6217</v>
      </c>
    </row>
    <row r="612" spans="2:3" s="1" customFormat="1" x14ac:dyDescent="0.2">
      <c r="B612" s="30"/>
      <c r="C612" s="31">
        <v>6218</v>
      </c>
    </row>
    <row r="613" spans="2:3" s="1" customFormat="1" x14ac:dyDescent="0.2">
      <c r="B613" s="30"/>
      <c r="C613" s="31">
        <v>6219</v>
      </c>
    </row>
    <row r="614" spans="2:3" s="1" customFormat="1" x14ac:dyDescent="0.2">
      <c r="B614" s="30"/>
      <c r="C614" s="31">
        <v>6221</v>
      </c>
    </row>
    <row r="615" spans="2:3" s="1" customFormat="1" x14ac:dyDescent="0.2">
      <c r="B615" s="30"/>
      <c r="C615" s="31">
        <v>6222</v>
      </c>
    </row>
    <row r="616" spans="2:3" s="1" customFormat="1" x14ac:dyDescent="0.2">
      <c r="B616" s="30"/>
      <c r="C616" s="31">
        <v>6224</v>
      </c>
    </row>
    <row r="617" spans="2:3" s="1" customFormat="1" x14ac:dyDescent="0.2">
      <c r="B617" s="30"/>
      <c r="C617" s="31">
        <v>6227</v>
      </c>
    </row>
    <row r="618" spans="2:3" s="1" customFormat="1" x14ac:dyDescent="0.2">
      <c r="B618" s="30"/>
      <c r="C618" s="31">
        <v>6228</v>
      </c>
    </row>
    <row r="619" spans="2:3" s="1" customFormat="1" x14ac:dyDescent="0.2">
      <c r="B619" s="30"/>
      <c r="C619" s="31">
        <v>6255</v>
      </c>
    </row>
    <row r="620" spans="2:3" s="1" customFormat="1" x14ac:dyDescent="0.2">
      <c r="B620" s="30"/>
      <c r="C620" s="31">
        <v>6268</v>
      </c>
    </row>
    <row r="621" spans="2:3" s="1" customFormat="1" x14ac:dyDescent="0.2">
      <c r="B621" s="30"/>
      <c r="C621" s="31">
        <v>6271</v>
      </c>
    </row>
    <row r="622" spans="2:3" s="1" customFormat="1" x14ac:dyDescent="0.2">
      <c r="B622" s="30"/>
      <c r="C622" s="31">
        <v>6277</v>
      </c>
    </row>
    <row r="623" spans="2:3" s="1" customFormat="1" x14ac:dyDescent="0.2">
      <c r="B623" s="30"/>
      <c r="C623" s="31">
        <v>6291</v>
      </c>
    </row>
    <row r="624" spans="2:3" s="1" customFormat="1" x14ac:dyDescent="0.2">
      <c r="B624" s="30"/>
      <c r="C624" s="31">
        <v>6301</v>
      </c>
    </row>
    <row r="625" spans="2:3" s="1" customFormat="1" x14ac:dyDescent="0.2">
      <c r="B625" s="30"/>
      <c r="C625" s="31">
        <v>6361</v>
      </c>
    </row>
    <row r="626" spans="2:3" s="1" customFormat="1" x14ac:dyDescent="0.2">
      <c r="B626" s="30"/>
      <c r="C626" s="31">
        <v>6371</v>
      </c>
    </row>
    <row r="627" spans="2:3" s="1" customFormat="1" x14ac:dyDescent="0.2">
      <c r="B627" s="30"/>
      <c r="C627" s="31">
        <v>6372</v>
      </c>
    </row>
    <row r="628" spans="2:3" s="1" customFormat="1" x14ac:dyDescent="0.2">
      <c r="B628" s="30"/>
      <c r="C628" s="31">
        <v>6373</v>
      </c>
    </row>
    <row r="629" spans="2:3" s="1" customFormat="1" x14ac:dyDescent="0.2">
      <c r="B629" s="30"/>
      <c r="C629" s="31">
        <v>6411</v>
      </c>
    </row>
    <row r="630" spans="2:3" s="1" customFormat="1" x14ac:dyDescent="0.2">
      <c r="B630" s="30"/>
      <c r="C630" s="31">
        <v>6412</v>
      </c>
    </row>
    <row r="631" spans="2:3" s="1" customFormat="1" x14ac:dyDescent="0.2">
      <c r="B631" s="30"/>
      <c r="C631" s="31">
        <v>6413</v>
      </c>
    </row>
    <row r="632" spans="2:3" s="1" customFormat="1" x14ac:dyDescent="0.2">
      <c r="B632" s="30"/>
      <c r="C632" s="31">
        <v>6414</v>
      </c>
    </row>
    <row r="633" spans="2:3" s="1" customFormat="1" x14ac:dyDescent="0.2">
      <c r="B633" s="30"/>
      <c r="C633" s="31">
        <v>6415</v>
      </c>
    </row>
    <row r="634" spans="2:3" s="1" customFormat="1" x14ac:dyDescent="0.2">
      <c r="B634" s="30"/>
      <c r="C634" s="31">
        <v>6416</v>
      </c>
    </row>
    <row r="635" spans="2:3" s="1" customFormat="1" x14ac:dyDescent="0.2">
      <c r="B635" s="30"/>
      <c r="C635" s="31">
        <v>6418</v>
      </c>
    </row>
    <row r="636" spans="2:3" s="1" customFormat="1" x14ac:dyDescent="0.2">
      <c r="B636" s="30"/>
      <c r="C636" s="31">
        <v>6431</v>
      </c>
    </row>
    <row r="637" spans="2:3" s="1" customFormat="1" x14ac:dyDescent="0.2">
      <c r="B637" s="30"/>
      <c r="C637" s="31">
        <v>6432</v>
      </c>
    </row>
    <row r="638" spans="2:3" s="1" customFormat="1" x14ac:dyDescent="0.2">
      <c r="B638" s="30"/>
      <c r="C638" s="31">
        <v>6433</v>
      </c>
    </row>
    <row r="639" spans="2:3" s="1" customFormat="1" x14ac:dyDescent="0.2">
      <c r="B639" s="30"/>
      <c r="C639" s="31">
        <v>6439</v>
      </c>
    </row>
    <row r="640" spans="2:3" s="1" customFormat="1" x14ac:dyDescent="0.2">
      <c r="B640" s="30"/>
      <c r="C640" s="31">
        <v>6441</v>
      </c>
    </row>
    <row r="641" spans="2:3" s="1" customFormat="1" x14ac:dyDescent="0.2">
      <c r="B641" s="30"/>
      <c r="C641" s="31">
        <v>6442</v>
      </c>
    </row>
    <row r="642" spans="2:3" s="1" customFormat="1" x14ac:dyDescent="0.2">
      <c r="B642" s="30"/>
      <c r="C642" s="31">
        <v>6443</v>
      </c>
    </row>
    <row r="643" spans="2:3" s="1" customFormat="1" x14ac:dyDescent="0.2">
      <c r="B643" s="30"/>
      <c r="C643" s="31">
        <v>6446</v>
      </c>
    </row>
    <row r="644" spans="2:3" s="1" customFormat="1" x14ac:dyDescent="0.2">
      <c r="B644" s="30"/>
      <c r="C644" s="31">
        <v>6451</v>
      </c>
    </row>
    <row r="645" spans="2:3" s="1" customFormat="1" x14ac:dyDescent="0.2">
      <c r="B645" s="30"/>
      <c r="C645" s="31">
        <v>6461</v>
      </c>
    </row>
    <row r="646" spans="2:3" s="1" customFormat="1" x14ac:dyDescent="0.2">
      <c r="B646" s="30"/>
      <c r="C646" s="31">
        <v>6462</v>
      </c>
    </row>
    <row r="647" spans="2:3" s="1" customFormat="1" x14ac:dyDescent="0.2">
      <c r="B647" s="30"/>
      <c r="C647" s="31">
        <v>6463</v>
      </c>
    </row>
    <row r="648" spans="2:3" s="1" customFormat="1" x14ac:dyDescent="0.2">
      <c r="B648" s="30"/>
      <c r="C648" s="31">
        <v>6464</v>
      </c>
    </row>
    <row r="649" spans="2:3" s="1" customFormat="1" x14ac:dyDescent="0.2">
      <c r="B649" s="30"/>
      <c r="C649" s="31">
        <v>6465</v>
      </c>
    </row>
    <row r="650" spans="2:3" s="1" customFormat="1" x14ac:dyDescent="0.2">
      <c r="B650" s="30"/>
      <c r="C650" s="31">
        <v>6466</v>
      </c>
    </row>
    <row r="651" spans="2:3" s="1" customFormat="1" x14ac:dyDescent="0.2">
      <c r="B651" s="30"/>
      <c r="C651" s="31">
        <v>6468</v>
      </c>
    </row>
    <row r="652" spans="2:3" s="1" customFormat="1" x14ac:dyDescent="0.2">
      <c r="B652" s="30"/>
      <c r="C652" s="31">
        <v>6469</v>
      </c>
    </row>
    <row r="653" spans="2:3" s="1" customFormat="1" x14ac:dyDescent="0.2">
      <c r="B653" s="30"/>
      <c r="C653" s="31">
        <v>6471</v>
      </c>
    </row>
    <row r="654" spans="2:3" s="1" customFormat="1" x14ac:dyDescent="0.2">
      <c r="B654" s="30"/>
      <c r="C654" s="31">
        <v>6511</v>
      </c>
    </row>
    <row r="655" spans="2:3" s="1" customFormat="1" x14ac:dyDescent="0.2">
      <c r="B655" s="30"/>
      <c r="C655" s="31">
        <v>6512</v>
      </c>
    </row>
    <row r="656" spans="2:3" s="1" customFormat="1" x14ac:dyDescent="0.2">
      <c r="B656" s="30"/>
      <c r="C656" s="31">
        <v>6521</v>
      </c>
    </row>
    <row r="657" spans="2:3" s="1" customFormat="1" x14ac:dyDescent="0.2">
      <c r="B657" s="30"/>
      <c r="C657" s="31">
        <v>6523</v>
      </c>
    </row>
    <row r="658" spans="2:3" s="1" customFormat="1" x14ac:dyDescent="0.2">
      <c r="B658" s="30"/>
      <c r="C658" s="31">
        <v>6531</v>
      </c>
    </row>
    <row r="659" spans="2:3" s="1" customFormat="1" x14ac:dyDescent="0.2">
      <c r="B659" s="30"/>
      <c r="C659" s="31">
        <v>6532</v>
      </c>
    </row>
    <row r="660" spans="2:3" s="1" customFormat="1" x14ac:dyDescent="0.2">
      <c r="B660" s="30"/>
      <c r="C660" s="31">
        <v>6533</v>
      </c>
    </row>
    <row r="661" spans="2:3" s="1" customFormat="1" x14ac:dyDescent="0.2">
      <c r="B661" s="30"/>
      <c r="C661" s="31">
        <v>6534</v>
      </c>
    </row>
    <row r="662" spans="2:3" s="1" customFormat="1" x14ac:dyDescent="0.2">
      <c r="B662" s="30"/>
      <c r="C662" s="31">
        <v>6535</v>
      </c>
    </row>
    <row r="663" spans="2:3" s="1" customFormat="1" x14ac:dyDescent="0.2">
      <c r="B663" s="30"/>
      <c r="C663" s="31">
        <v>6537</v>
      </c>
    </row>
    <row r="664" spans="2:3" s="1" customFormat="1" x14ac:dyDescent="0.2">
      <c r="B664" s="30"/>
      <c r="C664" s="31">
        <v>6538</v>
      </c>
    </row>
    <row r="665" spans="2:3" s="1" customFormat="1" x14ac:dyDescent="0.2">
      <c r="B665" s="30"/>
      <c r="C665" s="31">
        <v>6541</v>
      </c>
    </row>
    <row r="666" spans="2:3" s="1" customFormat="1" x14ac:dyDescent="0.2">
      <c r="B666" s="30"/>
      <c r="C666" s="31">
        <v>6542</v>
      </c>
    </row>
    <row r="667" spans="2:3" s="1" customFormat="1" x14ac:dyDescent="0.2">
      <c r="B667" s="30"/>
      <c r="C667" s="31">
        <v>6543</v>
      </c>
    </row>
    <row r="668" spans="2:3" s="1" customFormat="1" x14ac:dyDescent="0.2">
      <c r="B668" s="30"/>
      <c r="C668" s="31">
        <v>6544</v>
      </c>
    </row>
    <row r="669" spans="2:3" s="1" customFormat="1" x14ac:dyDescent="0.2">
      <c r="B669" s="30"/>
      <c r="C669" s="31">
        <v>6545</v>
      </c>
    </row>
    <row r="670" spans="2:3" s="1" customFormat="1" x14ac:dyDescent="0.2">
      <c r="B670" s="30"/>
      <c r="C670" s="31">
        <v>6546</v>
      </c>
    </row>
    <row r="671" spans="2:3" s="1" customFormat="1" x14ac:dyDescent="0.2">
      <c r="B671" s="30"/>
      <c r="C671" s="31">
        <v>6561</v>
      </c>
    </row>
    <row r="672" spans="2:3" s="1" customFormat="1" x14ac:dyDescent="0.2">
      <c r="B672" s="30"/>
      <c r="C672" s="31">
        <v>6574</v>
      </c>
    </row>
    <row r="673" spans="2:3" s="1" customFormat="1" x14ac:dyDescent="0.2">
      <c r="B673" s="30"/>
      <c r="C673" s="31">
        <v>6579</v>
      </c>
    </row>
    <row r="674" spans="2:3" s="1" customFormat="1" x14ac:dyDescent="0.2">
      <c r="B674" s="30"/>
      <c r="C674" s="31">
        <v>6601</v>
      </c>
    </row>
    <row r="675" spans="2:3" s="1" customFormat="1" x14ac:dyDescent="0.2">
      <c r="B675" s="30"/>
      <c r="C675" s="31">
        <v>6628</v>
      </c>
    </row>
    <row r="676" spans="2:3" s="1" customFormat="1" x14ac:dyDescent="0.2">
      <c r="B676" s="30"/>
      <c r="C676" s="31">
        <v>6677</v>
      </c>
    </row>
    <row r="677" spans="2:3" s="1" customFormat="1" x14ac:dyDescent="0.2">
      <c r="B677" s="30"/>
      <c r="C677" s="31">
        <v>6701</v>
      </c>
    </row>
    <row r="678" spans="2:3" s="1" customFormat="1" x14ac:dyDescent="0.2">
      <c r="B678" s="30"/>
      <c r="C678" s="31">
        <v>6702</v>
      </c>
    </row>
    <row r="679" spans="2:3" s="1" customFormat="1" x14ac:dyDescent="0.2">
      <c r="B679" s="30"/>
      <c r="C679" s="31">
        <v>6706</v>
      </c>
    </row>
    <row r="680" spans="2:3" s="1" customFormat="1" x14ac:dyDescent="0.2">
      <c r="B680" s="30"/>
      <c r="C680" s="31">
        <v>6707</v>
      </c>
    </row>
    <row r="681" spans="2:3" s="1" customFormat="1" x14ac:dyDescent="0.2">
      <c r="B681" s="30"/>
      <c r="C681" s="31">
        <v>6709</v>
      </c>
    </row>
    <row r="682" spans="2:3" s="1" customFormat="1" x14ac:dyDescent="0.2">
      <c r="B682" s="30"/>
      <c r="C682" s="31">
        <v>6714</v>
      </c>
    </row>
    <row r="683" spans="2:3" s="1" customFormat="1" x14ac:dyDescent="0.2">
      <c r="B683" s="30"/>
      <c r="C683" s="31">
        <v>6717</v>
      </c>
    </row>
    <row r="684" spans="2:3" s="1" customFormat="1" x14ac:dyDescent="0.2">
      <c r="B684" s="30"/>
      <c r="C684" s="31">
        <v>6811</v>
      </c>
    </row>
    <row r="685" spans="2:3" s="1" customFormat="1" x14ac:dyDescent="0.2">
      <c r="B685" s="30"/>
      <c r="C685" s="31">
        <v>6821</v>
      </c>
    </row>
    <row r="686" spans="2:3" s="1" customFormat="1" x14ac:dyDescent="0.2">
      <c r="B686" s="30"/>
      <c r="C686" s="31">
        <v>6822</v>
      </c>
    </row>
    <row r="687" spans="2:3" s="1" customFormat="1" x14ac:dyDescent="0.2">
      <c r="B687" s="30"/>
      <c r="C687" s="31">
        <v>6823</v>
      </c>
    </row>
    <row r="688" spans="2:3" s="1" customFormat="1" x14ac:dyDescent="0.2">
      <c r="B688" s="30"/>
      <c r="C688" s="31">
        <v>6826</v>
      </c>
    </row>
    <row r="689" spans="2:3" s="1" customFormat="1" x14ac:dyDescent="0.2">
      <c r="B689" s="30"/>
      <c r="C689" s="31">
        <v>6827</v>
      </c>
    </row>
    <row r="690" spans="2:3" s="1" customFormat="1" x14ac:dyDescent="0.2">
      <c r="B690" s="30"/>
      <c r="C690" s="31">
        <v>6828</v>
      </c>
    </row>
    <row r="691" spans="2:3" s="1" customFormat="1" x14ac:dyDescent="0.2">
      <c r="B691" s="30"/>
      <c r="C691" s="31">
        <v>6831</v>
      </c>
    </row>
    <row r="692" spans="2:3" s="1" customFormat="1" x14ac:dyDescent="0.2">
      <c r="B692" s="30"/>
      <c r="C692" s="31">
        <v>6832</v>
      </c>
    </row>
    <row r="693" spans="2:3" s="1" customFormat="1" x14ac:dyDescent="0.2">
      <c r="B693" s="30"/>
      <c r="C693" s="31">
        <v>6833</v>
      </c>
    </row>
    <row r="694" spans="2:3" s="1" customFormat="1" x14ac:dyDescent="0.2">
      <c r="B694" s="30"/>
      <c r="C694" s="31">
        <v>6834</v>
      </c>
    </row>
    <row r="695" spans="2:3" s="1" customFormat="1" x14ac:dyDescent="0.2">
      <c r="B695" s="30"/>
      <c r="C695" s="31">
        <v>6841</v>
      </c>
    </row>
    <row r="696" spans="2:3" s="1" customFormat="1" x14ac:dyDescent="0.2">
      <c r="B696" s="30"/>
      <c r="C696" s="31">
        <v>6844</v>
      </c>
    </row>
    <row r="697" spans="2:3" s="1" customFormat="1" x14ac:dyDescent="0.2">
      <c r="B697" s="30"/>
      <c r="C697" s="31">
        <v>6845</v>
      </c>
    </row>
    <row r="698" spans="2:3" s="1" customFormat="1" x14ac:dyDescent="0.2">
      <c r="B698" s="30"/>
      <c r="C698" s="31">
        <v>6882</v>
      </c>
    </row>
    <row r="699" spans="2:3" s="1" customFormat="1" x14ac:dyDescent="0.2">
      <c r="B699" s="30"/>
      <c r="C699" s="31">
        <v>6915</v>
      </c>
    </row>
    <row r="700" spans="2:3" s="1" customFormat="1" x14ac:dyDescent="0.2">
      <c r="B700" s="30"/>
      <c r="C700" s="31">
        <v>6917</v>
      </c>
    </row>
    <row r="701" spans="2:3" s="1" customFormat="1" x14ac:dyDescent="0.2">
      <c r="B701" s="30"/>
      <c r="C701" s="31">
        <v>6951</v>
      </c>
    </row>
    <row r="702" spans="2:3" s="1" customFormat="1" x14ac:dyDescent="0.2">
      <c r="B702" s="30"/>
      <c r="C702" s="31">
        <v>6975</v>
      </c>
    </row>
    <row r="703" spans="2:3" s="1" customFormat="1" x14ac:dyDescent="0.2">
      <c r="B703" s="30"/>
      <c r="C703" s="31">
        <v>6981</v>
      </c>
    </row>
    <row r="704" spans="2:3" s="1" customFormat="1" x14ac:dyDescent="0.2">
      <c r="B704" s="30"/>
      <c r="C704" s="31">
        <v>6982</v>
      </c>
    </row>
    <row r="705" spans="2:3" s="1" customFormat="1" x14ac:dyDescent="0.2">
      <c r="B705" s="30"/>
      <c r="C705" s="31">
        <v>7002</v>
      </c>
    </row>
    <row r="706" spans="2:3" s="1" customFormat="1" x14ac:dyDescent="0.2">
      <c r="B706" s="30"/>
      <c r="C706" s="31">
        <v>7008</v>
      </c>
    </row>
    <row r="707" spans="2:3" s="1" customFormat="1" x14ac:dyDescent="0.2">
      <c r="B707" s="30"/>
      <c r="C707" s="31">
        <v>7009</v>
      </c>
    </row>
    <row r="708" spans="2:3" s="1" customFormat="1" x14ac:dyDescent="0.2">
      <c r="B708" s="30"/>
      <c r="C708" s="31">
        <v>7036</v>
      </c>
    </row>
    <row r="709" spans="2:3" s="1" customFormat="1" x14ac:dyDescent="0.2">
      <c r="B709" s="30"/>
      <c r="C709" s="31">
        <v>7041</v>
      </c>
    </row>
    <row r="710" spans="2:3" s="1" customFormat="1" x14ac:dyDescent="0.2">
      <c r="B710" s="30"/>
      <c r="C710" s="31">
        <v>7044</v>
      </c>
    </row>
    <row r="711" spans="2:3" s="1" customFormat="1" x14ac:dyDescent="0.2">
      <c r="B711" s="30"/>
      <c r="C711" s="31">
        <v>7081</v>
      </c>
    </row>
    <row r="712" spans="2:3" s="1" customFormat="1" x14ac:dyDescent="0.2">
      <c r="B712" s="30"/>
      <c r="C712" s="31">
        <v>7113</v>
      </c>
    </row>
    <row r="713" spans="2:3" s="1" customFormat="1" x14ac:dyDescent="0.2">
      <c r="B713" s="30"/>
      <c r="C713" s="31">
        <v>7142</v>
      </c>
    </row>
    <row r="714" spans="2:3" s="1" customFormat="1" x14ac:dyDescent="0.2">
      <c r="B714" s="30"/>
      <c r="C714" s="31">
        <v>7202</v>
      </c>
    </row>
    <row r="715" spans="2:3" s="1" customFormat="1" x14ac:dyDescent="0.2">
      <c r="B715" s="30"/>
      <c r="C715" s="31">
        <v>7203</v>
      </c>
    </row>
    <row r="716" spans="2:3" s="1" customFormat="1" x14ac:dyDescent="0.2">
      <c r="B716" s="30"/>
      <c r="C716" s="31">
        <v>7204</v>
      </c>
    </row>
    <row r="717" spans="2:3" s="1" customFormat="1" x14ac:dyDescent="0.2">
      <c r="B717" s="30"/>
      <c r="C717" s="31">
        <v>7206</v>
      </c>
    </row>
    <row r="718" spans="2:3" s="1" customFormat="1" x14ac:dyDescent="0.2">
      <c r="B718" s="30"/>
      <c r="C718" s="31">
        <v>7216</v>
      </c>
    </row>
    <row r="719" spans="2:3" s="1" customFormat="1" x14ac:dyDescent="0.2">
      <c r="B719" s="30"/>
      <c r="C719" s="31">
        <v>7218</v>
      </c>
    </row>
    <row r="720" spans="2:3" s="1" customFormat="1" x14ac:dyDescent="0.2">
      <c r="B720" s="30"/>
      <c r="C720" s="31">
        <v>7226</v>
      </c>
    </row>
    <row r="721" spans="2:3" s="1" customFormat="1" x14ac:dyDescent="0.2">
      <c r="B721" s="30"/>
      <c r="C721" s="31">
        <v>7312</v>
      </c>
    </row>
    <row r="722" spans="2:3" s="1" customFormat="1" x14ac:dyDescent="0.2">
      <c r="B722" s="30"/>
      <c r="C722" s="31">
        <v>7323</v>
      </c>
    </row>
    <row r="723" spans="2:3" s="1" customFormat="1" x14ac:dyDescent="0.2">
      <c r="B723" s="30"/>
      <c r="C723" s="31">
        <v>7329</v>
      </c>
    </row>
    <row r="724" spans="2:3" s="1" customFormat="1" x14ac:dyDescent="0.2">
      <c r="B724" s="30"/>
      <c r="C724" s="31">
        <v>7331</v>
      </c>
    </row>
    <row r="725" spans="2:3" s="1" customFormat="1" x14ac:dyDescent="0.2">
      <c r="B725" s="30"/>
      <c r="C725" s="31">
        <v>7332</v>
      </c>
    </row>
    <row r="726" spans="2:3" s="1" customFormat="1" x14ac:dyDescent="0.2">
      <c r="B726" s="30"/>
      <c r="C726" s="31">
        <v>7413</v>
      </c>
    </row>
    <row r="727" spans="2:3" s="1" customFormat="1" x14ac:dyDescent="0.2">
      <c r="B727" s="30"/>
      <c r="C727" s="31">
        <v>7415</v>
      </c>
    </row>
    <row r="728" spans="2:3" s="1" customFormat="1" x14ac:dyDescent="0.2">
      <c r="B728" s="30"/>
      <c r="C728" s="31">
        <v>7416</v>
      </c>
    </row>
    <row r="729" spans="2:3" s="1" customFormat="1" x14ac:dyDescent="0.2">
      <c r="B729" s="30"/>
      <c r="C729" s="31">
        <v>7417</v>
      </c>
    </row>
    <row r="730" spans="2:3" s="1" customFormat="1" x14ac:dyDescent="0.2">
      <c r="B730" s="30"/>
      <c r="C730" s="31">
        <v>7418</v>
      </c>
    </row>
    <row r="731" spans="2:3" s="1" customFormat="1" x14ac:dyDescent="0.2">
      <c r="B731" s="30"/>
      <c r="C731" s="31">
        <v>7466</v>
      </c>
    </row>
    <row r="732" spans="2:3" s="1" customFormat="1" x14ac:dyDescent="0.2">
      <c r="B732" s="30"/>
      <c r="C732" s="31">
        <v>7467</v>
      </c>
    </row>
    <row r="733" spans="2:3" s="1" customFormat="1" x14ac:dyDescent="0.2">
      <c r="B733" s="30"/>
      <c r="C733" s="31">
        <v>7495</v>
      </c>
    </row>
    <row r="734" spans="2:3" s="1" customFormat="1" x14ac:dyDescent="0.2">
      <c r="B734" s="30"/>
      <c r="C734" s="31">
        <v>7511</v>
      </c>
    </row>
    <row r="735" spans="2:3" s="1" customFormat="1" x14ac:dyDescent="0.2">
      <c r="B735" s="30"/>
      <c r="C735" s="31">
        <v>7512</v>
      </c>
    </row>
    <row r="736" spans="2:3" s="1" customFormat="1" x14ac:dyDescent="0.2">
      <c r="B736" s="30"/>
      <c r="C736" s="31">
        <v>7513</v>
      </c>
    </row>
    <row r="737" spans="2:3" s="1" customFormat="1" x14ac:dyDescent="0.2">
      <c r="B737" s="30"/>
      <c r="C737" s="31">
        <v>7514</v>
      </c>
    </row>
    <row r="738" spans="2:3" s="1" customFormat="1" x14ac:dyDescent="0.2">
      <c r="B738" s="30"/>
      <c r="C738" s="31">
        <v>7521</v>
      </c>
    </row>
    <row r="739" spans="2:3" s="1" customFormat="1" x14ac:dyDescent="0.2">
      <c r="B739" s="30"/>
      <c r="C739" s="31">
        <v>7523</v>
      </c>
    </row>
    <row r="740" spans="2:3" s="1" customFormat="1" x14ac:dyDescent="0.2">
      <c r="B740" s="30"/>
      <c r="C740" s="31">
        <v>7525</v>
      </c>
    </row>
    <row r="741" spans="2:3" s="1" customFormat="1" x14ac:dyDescent="0.2">
      <c r="B741" s="30"/>
      <c r="C741" s="31">
        <v>7531</v>
      </c>
    </row>
    <row r="742" spans="2:3" s="1" customFormat="1" x14ac:dyDescent="0.2">
      <c r="B742" s="30"/>
      <c r="C742" s="31">
        <v>7532</v>
      </c>
    </row>
    <row r="743" spans="2:3" s="1" customFormat="1" x14ac:dyDescent="0.2">
      <c r="B743" s="30"/>
      <c r="C743" s="31">
        <v>7533</v>
      </c>
    </row>
    <row r="744" spans="2:3" s="1" customFormat="1" x14ac:dyDescent="0.2">
      <c r="B744" s="30"/>
      <c r="C744" s="31">
        <v>7541</v>
      </c>
    </row>
    <row r="745" spans="2:3" s="1" customFormat="1" x14ac:dyDescent="0.2">
      <c r="B745" s="30"/>
      <c r="C745" s="31">
        <v>7542</v>
      </c>
    </row>
    <row r="746" spans="2:3" s="1" customFormat="1" x14ac:dyDescent="0.2">
      <c r="B746" s="30"/>
      <c r="C746" s="31">
        <v>7543</v>
      </c>
    </row>
    <row r="747" spans="2:3" s="1" customFormat="1" x14ac:dyDescent="0.2">
      <c r="B747" s="30"/>
      <c r="C747" s="31">
        <v>7544</v>
      </c>
    </row>
    <row r="748" spans="2:3" s="1" customFormat="1" x14ac:dyDescent="0.2">
      <c r="B748" s="30"/>
      <c r="C748" s="31">
        <v>7545</v>
      </c>
    </row>
    <row r="749" spans="2:3" s="1" customFormat="1" x14ac:dyDescent="0.2">
      <c r="B749" s="30"/>
      <c r="C749" s="31">
        <v>7547</v>
      </c>
    </row>
    <row r="750" spans="2:3" s="1" customFormat="1" x14ac:dyDescent="0.2">
      <c r="B750" s="30"/>
      <c r="C750" s="31">
        <v>7552</v>
      </c>
    </row>
    <row r="751" spans="2:3" s="1" customFormat="1" x14ac:dyDescent="0.2">
      <c r="B751" s="30"/>
      <c r="C751" s="31">
        <v>7553</v>
      </c>
    </row>
    <row r="752" spans="2:3" s="1" customFormat="1" x14ac:dyDescent="0.2">
      <c r="B752" s="30"/>
      <c r="C752" s="31">
        <v>7556</v>
      </c>
    </row>
    <row r="753" spans="2:3" s="1" customFormat="1" x14ac:dyDescent="0.2">
      <c r="B753" s="30"/>
      <c r="C753" s="31">
        <v>7557</v>
      </c>
    </row>
    <row r="754" spans="2:3" s="1" customFormat="1" x14ac:dyDescent="0.2">
      <c r="B754" s="30"/>
      <c r="C754" s="31">
        <v>7571</v>
      </c>
    </row>
    <row r="755" spans="2:3" s="1" customFormat="1" x14ac:dyDescent="0.2">
      <c r="B755" s="30"/>
      <c r="C755" s="31">
        <v>7572</v>
      </c>
    </row>
    <row r="756" spans="2:3" s="1" customFormat="1" x14ac:dyDescent="0.2">
      <c r="B756" s="30"/>
      <c r="C756" s="31">
        <v>7574</v>
      </c>
    </row>
    <row r="757" spans="2:3" s="1" customFormat="1" x14ac:dyDescent="0.2">
      <c r="B757" s="30"/>
      <c r="C757" s="31">
        <v>7576</v>
      </c>
    </row>
    <row r="758" spans="2:3" s="1" customFormat="1" x14ac:dyDescent="0.2">
      <c r="B758" s="30"/>
      <c r="C758" s="31">
        <v>7586</v>
      </c>
    </row>
    <row r="759" spans="2:3" s="1" customFormat="1" x14ac:dyDescent="0.2">
      <c r="B759" s="30"/>
      <c r="C759" s="31">
        <v>7601</v>
      </c>
    </row>
    <row r="760" spans="2:3" s="1" customFormat="1" x14ac:dyDescent="0.2">
      <c r="B760" s="30"/>
      <c r="C760" s="31">
        <v>7603</v>
      </c>
    </row>
    <row r="761" spans="2:3" s="1" customFormat="1" x14ac:dyDescent="0.2">
      <c r="B761" s="30"/>
      <c r="C761" s="31">
        <v>7604</v>
      </c>
    </row>
    <row r="762" spans="2:3" s="1" customFormat="1" x14ac:dyDescent="0.2">
      <c r="B762" s="30"/>
      <c r="C762" s="31">
        <v>7605</v>
      </c>
    </row>
    <row r="763" spans="2:3" s="1" customFormat="1" x14ac:dyDescent="0.2">
      <c r="B763" s="30"/>
      <c r="C763" s="31">
        <v>7606</v>
      </c>
    </row>
    <row r="764" spans="2:3" s="1" customFormat="1" x14ac:dyDescent="0.2">
      <c r="B764" s="30"/>
      <c r="C764" s="31">
        <v>7608</v>
      </c>
    </row>
    <row r="765" spans="2:3" s="1" customFormat="1" x14ac:dyDescent="0.2">
      <c r="B765" s="30"/>
      <c r="C765" s="31">
        <v>7636</v>
      </c>
    </row>
    <row r="766" spans="2:3" s="1" customFormat="1" x14ac:dyDescent="0.2">
      <c r="B766" s="30"/>
      <c r="C766" s="31">
        <v>7637</v>
      </c>
    </row>
    <row r="767" spans="2:3" s="1" customFormat="1" x14ac:dyDescent="0.2">
      <c r="B767" s="30"/>
      <c r="C767" s="31">
        <v>7663</v>
      </c>
    </row>
    <row r="768" spans="2:3" s="1" customFormat="1" x14ac:dyDescent="0.2">
      <c r="B768" s="30"/>
      <c r="C768" s="31">
        <v>7676</v>
      </c>
    </row>
    <row r="769" spans="2:3" s="1" customFormat="1" x14ac:dyDescent="0.2">
      <c r="B769" s="30"/>
      <c r="C769" s="31">
        <v>7734</v>
      </c>
    </row>
    <row r="770" spans="2:3" s="1" customFormat="1" x14ac:dyDescent="0.2">
      <c r="B770" s="30"/>
      <c r="C770" s="31">
        <v>7738</v>
      </c>
    </row>
    <row r="771" spans="2:3" s="1" customFormat="1" x14ac:dyDescent="0.2">
      <c r="B771" s="30"/>
      <c r="C771" s="31">
        <v>7741</v>
      </c>
    </row>
    <row r="772" spans="2:3" s="1" customFormat="1" x14ac:dyDescent="0.2">
      <c r="B772" s="30"/>
      <c r="C772" s="31">
        <v>7756</v>
      </c>
    </row>
    <row r="773" spans="2:3" s="1" customFormat="1" x14ac:dyDescent="0.2">
      <c r="B773" s="30"/>
      <c r="C773" s="31">
        <v>7766</v>
      </c>
    </row>
    <row r="774" spans="2:3" s="1" customFormat="1" x14ac:dyDescent="0.2">
      <c r="B774" s="30"/>
      <c r="C774" s="31">
        <v>7793</v>
      </c>
    </row>
    <row r="775" spans="2:3" s="1" customFormat="1" x14ac:dyDescent="0.2">
      <c r="B775" s="30"/>
      <c r="C775" s="31">
        <v>7794</v>
      </c>
    </row>
    <row r="776" spans="2:3" s="1" customFormat="1" x14ac:dyDescent="0.2">
      <c r="B776" s="30"/>
      <c r="C776" s="31">
        <v>7796</v>
      </c>
    </row>
    <row r="777" spans="2:3" s="1" customFormat="1" x14ac:dyDescent="0.2">
      <c r="B777" s="30"/>
      <c r="C777" s="31">
        <v>7797</v>
      </c>
    </row>
    <row r="778" spans="2:3" s="1" customFormat="1" x14ac:dyDescent="0.2">
      <c r="B778" s="30"/>
      <c r="C778" s="31">
        <v>7798</v>
      </c>
    </row>
    <row r="779" spans="2:3" s="1" customFormat="1" x14ac:dyDescent="0.2">
      <c r="B779" s="30"/>
      <c r="C779" s="31">
        <v>7812</v>
      </c>
    </row>
    <row r="780" spans="2:3" s="1" customFormat="1" x14ac:dyDescent="0.2">
      <c r="B780" s="30"/>
      <c r="C780" s="31">
        <v>7814</v>
      </c>
    </row>
    <row r="781" spans="2:3" s="1" customFormat="1" x14ac:dyDescent="0.2">
      <c r="B781" s="30"/>
      <c r="C781" s="31">
        <v>7815</v>
      </c>
    </row>
    <row r="782" spans="2:3" s="1" customFormat="1" x14ac:dyDescent="0.2">
      <c r="B782" s="30"/>
      <c r="C782" s="31">
        <v>7823</v>
      </c>
    </row>
    <row r="783" spans="2:3" s="1" customFormat="1" x14ac:dyDescent="0.2">
      <c r="B783" s="30"/>
      <c r="C783" s="31">
        <v>7824</v>
      </c>
    </row>
    <row r="784" spans="2:3" s="1" customFormat="1" x14ac:dyDescent="0.2">
      <c r="B784" s="30"/>
      <c r="C784" s="31">
        <v>7831</v>
      </c>
    </row>
    <row r="785" spans="2:3" s="1" customFormat="1" x14ac:dyDescent="0.2">
      <c r="B785" s="30"/>
      <c r="C785" s="31">
        <v>7843</v>
      </c>
    </row>
    <row r="786" spans="2:3" s="1" customFormat="1" x14ac:dyDescent="0.2">
      <c r="B786" s="30"/>
      <c r="C786" s="31">
        <v>7844</v>
      </c>
    </row>
    <row r="787" spans="2:3" s="1" customFormat="1" x14ac:dyDescent="0.2">
      <c r="B787" s="30"/>
      <c r="C787" s="31">
        <v>7845</v>
      </c>
    </row>
    <row r="788" spans="2:3" s="1" customFormat="1" x14ac:dyDescent="0.2">
      <c r="B788" s="30"/>
      <c r="C788" s="31">
        <v>7847</v>
      </c>
    </row>
    <row r="789" spans="2:3" s="1" customFormat="1" x14ac:dyDescent="0.2">
      <c r="B789" s="30"/>
      <c r="C789" s="31">
        <v>7876</v>
      </c>
    </row>
    <row r="790" spans="2:3" s="1" customFormat="1" x14ac:dyDescent="0.2">
      <c r="B790" s="30"/>
      <c r="C790" s="31">
        <v>7881</v>
      </c>
    </row>
    <row r="791" spans="2:3" s="1" customFormat="1" x14ac:dyDescent="0.2">
      <c r="B791" s="30"/>
      <c r="C791" s="31">
        <v>7885</v>
      </c>
    </row>
    <row r="792" spans="2:3" s="1" customFormat="1" x14ac:dyDescent="0.2">
      <c r="B792" s="30"/>
      <c r="C792" s="31">
        <v>7894</v>
      </c>
    </row>
    <row r="793" spans="2:3" s="1" customFormat="1" x14ac:dyDescent="0.2">
      <c r="B793" s="30"/>
      <c r="C793" s="31">
        <v>7902</v>
      </c>
    </row>
    <row r="794" spans="2:3" s="1" customFormat="1" x14ac:dyDescent="0.2">
      <c r="B794" s="30"/>
      <c r="C794" s="31">
        <v>7904</v>
      </c>
    </row>
    <row r="795" spans="2:3" s="1" customFormat="1" x14ac:dyDescent="0.2">
      <c r="B795" s="30"/>
      <c r="C795" s="31">
        <v>7905</v>
      </c>
    </row>
    <row r="796" spans="2:3" s="1" customFormat="1" x14ac:dyDescent="0.2">
      <c r="B796" s="30"/>
      <c r="C796" s="31">
        <v>7906</v>
      </c>
    </row>
    <row r="797" spans="2:3" s="1" customFormat="1" x14ac:dyDescent="0.2">
      <c r="B797" s="30"/>
      <c r="C797" s="31">
        <v>7909</v>
      </c>
    </row>
    <row r="798" spans="2:3" s="1" customFormat="1" x14ac:dyDescent="0.2">
      <c r="B798" s="30"/>
      <c r="C798" s="31">
        <v>7912</v>
      </c>
    </row>
    <row r="799" spans="2:3" s="1" customFormat="1" x14ac:dyDescent="0.2">
      <c r="B799" s="30"/>
      <c r="C799" s="31">
        <v>7916</v>
      </c>
    </row>
    <row r="800" spans="2:3" s="1" customFormat="1" x14ac:dyDescent="0.2">
      <c r="B800" s="30"/>
      <c r="C800" s="31">
        <v>7917</v>
      </c>
    </row>
    <row r="801" spans="2:3" s="1" customFormat="1" x14ac:dyDescent="0.2">
      <c r="B801" s="30"/>
      <c r="C801" s="31">
        <v>7925</v>
      </c>
    </row>
    <row r="802" spans="2:3" s="1" customFormat="1" x14ac:dyDescent="0.2">
      <c r="B802" s="30"/>
      <c r="C802" s="31">
        <v>7927</v>
      </c>
    </row>
    <row r="803" spans="2:3" s="1" customFormat="1" x14ac:dyDescent="0.2">
      <c r="B803" s="30"/>
      <c r="C803" s="31">
        <v>7932</v>
      </c>
    </row>
    <row r="804" spans="2:3" s="1" customFormat="1" x14ac:dyDescent="0.2">
      <c r="B804" s="30"/>
      <c r="C804" s="31">
        <v>7942</v>
      </c>
    </row>
    <row r="805" spans="2:3" s="1" customFormat="1" x14ac:dyDescent="0.2">
      <c r="B805" s="30"/>
      <c r="C805" s="31">
        <v>7964</v>
      </c>
    </row>
    <row r="806" spans="2:3" s="1" customFormat="1" x14ac:dyDescent="0.2">
      <c r="B806" s="30"/>
      <c r="C806" s="31">
        <v>7974</v>
      </c>
    </row>
    <row r="807" spans="2:3" s="1" customFormat="1" x14ac:dyDescent="0.2">
      <c r="B807" s="30"/>
      <c r="C807" s="31">
        <v>7983</v>
      </c>
    </row>
    <row r="808" spans="2:3" s="1" customFormat="1" x14ac:dyDescent="0.2">
      <c r="B808" s="30"/>
      <c r="C808" s="31">
        <v>8012</v>
      </c>
    </row>
    <row r="809" spans="2:3" s="1" customFormat="1" x14ac:dyDescent="0.2">
      <c r="B809" s="30"/>
      <c r="C809" s="31">
        <v>8021</v>
      </c>
    </row>
    <row r="810" spans="2:3" s="1" customFormat="1" x14ac:dyDescent="0.2">
      <c r="B810" s="30"/>
      <c r="C810" s="31">
        <v>8022</v>
      </c>
    </row>
    <row r="811" spans="2:3" s="1" customFormat="1" x14ac:dyDescent="0.2">
      <c r="B811" s="30"/>
      <c r="C811" s="31">
        <v>8025</v>
      </c>
    </row>
    <row r="812" spans="2:3" s="1" customFormat="1" x14ac:dyDescent="0.2">
      <c r="B812" s="30"/>
      <c r="C812" s="31">
        <v>8028</v>
      </c>
    </row>
    <row r="813" spans="2:3" s="1" customFormat="1" x14ac:dyDescent="0.2">
      <c r="B813" s="30"/>
      <c r="C813" s="31">
        <v>8031</v>
      </c>
    </row>
    <row r="814" spans="2:3" s="1" customFormat="1" x14ac:dyDescent="0.2">
      <c r="B814" s="30"/>
      <c r="C814" s="31">
        <v>8032</v>
      </c>
    </row>
    <row r="815" spans="2:3" s="1" customFormat="1" x14ac:dyDescent="0.2">
      <c r="B815" s="30"/>
      <c r="C815" s="31">
        <v>8033</v>
      </c>
    </row>
    <row r="816" spans="2:3" s="1" customFormat="1" x14ac:dyDescent="0.2">
      <c r="B816" s="30"/>
      <c r="C816" s="31">
        <v>8035</v>
      </c>
    </row>
    <row r="817" spans="2:3" s="1" customFormat="1" x14ac:dyDescent="0.2">
      <c r="B817" s="30"/>
      <c r="C817" s="31">
        <v>8076</v>
      </c>
    </row>
    <row r="818" spans="2:3" s="1" customFormat="1" x14ac:dyDescent="0.2">
      <c r="B818" s="30"/>
      <c r="C818" s="31">
        <v>8146</v>
      </c>
    </row>
    <row r="819" spans="2:3" s="1" customFormat="1" x14ac:dyDescent="0.2">
      <c r="B819" s="30"/>
      <c r="C819" s="31">
        <v>8167</v>
      </c>
    </row>
    <row r="820" spans="2:3" s="1" customFormat="1" x14ac:dyDescent="0.2">
      <c r="B820" s="30"/>
      <c r="C820" s="31">
        <v>8218</v>
      </c>
    </row>
    <row r="821" spans="2:3" s="1" customFormat="1" x14ac:dyDescent="0.2">
      <c r="B821" s="30"/>
      <c r="C821" s="31">
        <v>8223</v>
      </c>
    </row>
    <row r="822" spans="2:3" s="1" customFormat="1" x14ac:dyDescent="0.2">
      <c r="B822" s="30"/>
      <c r="C822" s="31">
        <v>8224</v>
      </c>
    </row>
    <row r="823" spans="2:3" s="1" customFormat="1" x14ac:dyDescent="0.2">
      <c r="B823" s="30"/>
      <c r="C823" s="31">
        <v>8225</v>
      </c>
    </row>
    <row r="824" spans="2:3" s="1" customFormat="1" x14ac:dyDescent="0.2">
      <c r="B824" s="30"/>
      <c r="C824" s="31">
        <v>8226</v>
      </c>
    </row>
    <row r="825" spans="2:3" s="1" customFormat="1" x14ac:dyDescent="0.2">
      <c r="B825" s="30"/>
      <c r="C825" s="31">
        <v>8231</v>
      </c>
    </row>
    <row r="826" spans="2:3" s="1" customFormat="1" x14ac:dyDescent="0.2">
      <c r="B826" s="30"/>
      <c r="C826" s="31">
        <v>8232</v>
      </c>
    </row>
    <row r="827" spans="2:3" s="1" customFormat="1" x14ac:dyDescent="0.2">
      <c r="B827" s="30"/>
      <c r="C827" s="31">
        <v>8243</v>
      </c>
    </row>
    <row r="828" spans="2:3" s="1" customFormat="1" x14ac:dyDescent="0.2">
      <c r="B828" s="30"/>
      <c r="C828" s="31">
        <v>8261</v>
      </c>
    </row>
    <row r="829" spans="2:3" s="1" customFormat="1" x14ac:dyDescent="0.2">
      <c r="B829" s="30"/>
      <c r="C829" s="31">
        <v>8262</v>
      </c>
    </row>
    <row r="830" spans="2:3" s="1" customFormat="1" x14ac:dyDescent="0.2">
      <c r="B830" s="30"/>
      <c r="C830" s="31">
        <v>8263</v>
      </c>
    </row>
    <row r="831" spans="2:3" s="1" customFormat="1" x14ac:dyDescent="0.2">
      <c r="B831" s="30"/>
      <c r="C831" s="31">
        <v>8303</v>
      </c>
    </row>
    <row r="832" spans="2:3" s="1" customFormat="1" x14ac:dyDescent="0.2">
      <c r="B832" s="30"/>
      <c r="C832" s="31">
        <v>8307</v>
      </c>
    </row>
    <row r="833" spans="2:3" s="1" customFormat="1" x14ac:dyDescent="0.2">
      <c r="B833" s="30"/>
      <c r="C833" s="31">
        <v>8308</v>
      </c>
    </row>
    <row r="834" spans="2:3" s="1" customFormat="1" x14ac:dyDescent="0.2">
      <c r="B834" s="30"/>
      <c r="C834" s="31">
        <v>8311</v>
      </c>
    </row>
    <row r="835" spans="2:3" s="1" customFormat="1" x14ac:dyDescent="0.2">
      <c r="B835" s="30"/>
      <c r="C835" s="31">
        <v>8312</v>
      </c>
    </row>
    <row r="836" spans="2:3" s="1" customFormat="1" x14ac:dyDescent="0.2">
      <c r="B836" s="30"/>
      <c r="C836" s="31">
        <v>8313</v>
      </c>
    </row>
    <row r="837" spans="2:3" s="1" customFormat="1" x14ac:dyDescent="0.2">
      <c r="B837" s="30"/>
      <c r="C837" s="31">
        <v>8314</v>
      </c>
    </row>
    <row r="838" spans="2:3" s="1" customFormat="1" x14ac:dyDescent="0.2">
      <c r="B838" s="30"/>
      <c r="C838" s="31">
        <v>8315</v>
      </c>
    </row>
    <row r="839" spans="2:3" s="1" customFormat="1" x14ac:dyDescent="0.2">
      <c r="B839" s="30"/>
      <c r="C839" s="31">
        <v>8331</v>
      </c>
    </row>
    <row r="840" spans="2:3" s="1" customFormat="1" x14ac:dyDescent="0.2">
      <c r="B840" s="30"/>
      <c r="C840" s="31">
        <v>8341</v>
      </c>
    </row>
    <row r="841" spans="2:3" s="1" customFormat="1" x14ac:dyDescent="0.2">
      <c r="B841" s="30"/>
      <c r="C841" s="31">
        <v>8343</v>
      </c>
    </row>
    <row r="842" spans="2:3" s="1" customFormat="1" x14ac:dyDescent="0.2">
      <c r="B842" s="30"/>
      <c r="C842" s="31">
        <v>8346</v>
      </c>
    </row>
    <row r="843" spans="2:3" s="1" customFormat="1" x14ac:dyDescent="0.2">
      <c r="B843" s="30"/>
      <c r="C843" s="31">
        <v>8347</v>
      </c>
    </row>
    <row r="844" spans="2:3" s="1" customFormat="1" x14ac:dyDescent="0.2">
      <c r="B844" s="30"/>
      <c r="C844" s="31">
        <v>8351</v>
      </c>
    </row>
    <row r="845" spans="2:3" s="1" customFormat="1" x14ac:dyDescent="0.2">
      <c r="B845" s="30"/>
      <c r="C845" s="31">
        <v>8363</v>
      </c>
    </row>
    <row r="846" spans="2:3" s="1" customFormat="1" x14ac:dyDescent="0.2">
      <c r="B846" s="30"/>
      <c r="C846" s="31">
        <v>8373</v>
      </c>
    </row>
    <row r="847" spans="2:3" s="1" customFormat="1" x14ac:dyDescent="0.2">
      <c r="B847" s="30"/>
      <c r="C847" s="31">
        <v>8374</v>
      </c>
    </row>
    <row r="848" spans="2:3" s="1" customFormat="1" x14ac:dyDescent="0.2">
      <c r="B848" s="30"/>
      <c r="C848" s="31">
        <v>8378</v>
      </c>
    </row>
    <row r="849" spans="2:3" s="1" customFormat="1" x14ac:dyDescent="0.2">
      <c r="B849" s="30"/>
      <c r="C849" s="31">
        <v>8382</v>
      </c>
    </row>
    <row r="850" spans="2:3" s="1" customFormat="1" x14ac:dyDescent="0.2">
      <c r="B850" s="30"/>
      <c r="C850" s="31">
        <v>8383</v>
      </c>
    </row>
    <row r="851" spans="2:3" s="1" customFormat="1" x14ac:dyDescent="0.2">
      <c r="B851" s="30"/>
      <c r="C851" s="31">
        <v>8385</v>
      </c>
    </row>
    <row r="852" spans="2:3" s="1" customFormat="1" x14ac:dyDescent="0.2">
      <c r="B852" s="30"/>
      <c r="C852" s="31">
        <v>8389</v>
      </c>
    </row>
    <row r="853" spans="2:3" s="1" customFormat="1" x14ac:dyDescent="0.2">
      <c r="B853" s="30"/>
      <c r="C853" s="31">
        <v>8391</v>
      </c>
    </row>
    <row r="854" spans="2:3" s="1" customFormat="1" x14ac:dyDescent="0.2">
      <c r="B854" s="30"/>
      <c r="C854" s="31">
        <v>8394</v>
      </c>
    </row>
    <row r="855" spans="2:3" s="1" customFormat="1" x14ac:dyDescent="0.2">
      <c r="B855" s="30"/>
      <c r="C855" s="31">
        <v>8395</v>
      </c>
    </row>
    <row r="856" spans="2:3" s="1" customFormat="1" x14ac:dyDescent="0.2">
      <c r="B856" s="30"/>
      <c r="C856" s="31">
        <v>8406</v>
      </c>
    </row>
    <row r="857" spans="2:3" s="1" customFormat="1" x14ac:dyDescent="0.2">
      <c r="B857" s="30"/>
      <c r="C857" s="31">
        <v>8408</v>
      </c>
    </row>
    <row r="858" spans="2:3" s="1" customFormat="1" x14ac:dyDescent="0.2">
      <c r="B858" s="30"/>
      <c r="C858" s="31">
        <v>8422</v>
      </c>
    </row>
    <row r="859" spans="2:3" s="1" customFormat="1" x14ac:dyDescent="0.2">
      <c r="B859" s="30"/>
      <c r="C859" s="31">
        <v>8423</v>
      </c>
    </row>
    <row r="860" spans="2:3" s="1" customFormat="1" x14ac:dyDescent="0.2">
      <c r="B860" s="30"/>
      <c r="C860" s="31">
        <v>8428</v>
      </c>
    </row>
    <row r="861" spans="2:3" s="1" customFormat="1" x14ac:dyDescent="0.2">
      <c r="B861" s="30"/>
      <c r="C861" s="31">
        <v>8432</v>
      </c>
    </row>
    <row r="862" spans="2:3" s="1" customFormat="1" x14ac:dyDescent="0.2">
      <c r="B862" s="30"/>
      <c r="C862" s="31">
        <v>8434</v>
      </c>
    </row>
    <row r="863" spans="2:3" s="1" customFormat="1" x14ac:dyDescent="0.2">
      <c r="B863" s="30"/>
      <c r="C863" s="31">
        <v>8437</v>
      </c>
    </row>
    <row r="864" spans="2:3" s="1" customFormat="1" x14ac:dyDescent="0.2">
      <c r="B864" s="30"/>
      <c r="C864" s="31">
        <v>8442</v>
      </c>
    </row>
    <row r="865" spans="2:3" s="1" customFormat="1" x14ac:dyDescent="0.2">
      <c r="B865" s="30"/>
      <c r="C865" s="31">
        <v>8451</v>
      </c>
    </row>
    <row r="866" spans="2:3" s="1" customFormat="1" x14ac:dyDescent="0.2">
      <c r="B866" s="30"/>
      <c r="C866" s="31">
        <v>8457</v>
      </c>
    </row>
    <row r="867" spans="2:3" s="1" customFormat="1" x14ac:dyDescent="0.2">
      <c r="B867" s="30"/>
      <c r="C867" s="31">
        <v>8459</v>
      </c>
    </row>
    <row r="868" spans="2:3" s="1" customFormat="1" x14ac:dyDescent="0.2">
      <c r="B868" s="30"/>
      <c r="C868" s="31">
        <v>8463</v>
      </c>
    </row>
    <row r="869" spans="2:3" s="1" customFormat="1" x14ac:dyDescent="0.2">
      <c r="B869" s="30"/>
      <c r="C869" s="31">
        <v>8467</v>
      </c>
    </row>
    <row r="870" spans="2:3" s="1" customFormat="1" x14ac:dyDescent="0.2">
      <c r="B870" s="30"/>
      <c r="C870" s="31">
        <v>8472</v>
      </c>
    </row>
    <row r="871" spans="2:3" s="1" customFormat="1" x14ac:dyDescent="0.2">
      <c r="B871" s="30"/>
      <c r="C871" s="31">
        <v>8475</v>
      </c>
    </row>
    <row r="872" spans="2:3" s="1" customFormat="1" x14ac:dyDescent="0.2">
      <c r="B872" s="30"/>
      <c r="C872" s="31">
        <v>8479</v>
      </c>
    </row>
    <row r="873" spans="2:3" s="1" customFormat="1" x14ac:dyDescent="0.2">
      <c r="B873" s="30"/>
      <c r="C873" s="31">
        <v>8483</v>
      </c>
    </row>
    <row r="874" spans="2:3" s="1" customFormat="1" x14ac:dyDescent="0.2">
      <c r="B874" s="30"/>
      <c r="C874" s="31">
        <v>8485</v>
      </c>
    </row>
    <row r="875" spans="2:3" s="1" customFormat="1" x14ac:dyDescent="0.2">
      <c r="B875" s="30"/>
      <c r="C875" s="31">
        <v>8486</v>
      </c>
    </row>
    <row r="876" spans="2:3" s="1" customFormat="1" x14ac:dyDescent="0.2">
      <c r="B876" s="30"/>
      <c r="C876" s="31">
        <v>8508</v>
      </c>
    </row>
    <row r="877" spans="2:3" s="1" customFormat="1" x14ac:dyDescent="0.2">
      <c r="B877" s="30"/>
      <c r="C877" s="31">
        <v>8511</v>
      </c>
    </row>
    <row r="878" spans="2:3" s="1" customFormat="1" x14ac:dyDescent="0.2">
      <c r="B878" s="30"/>
      <c r="C878" s="31">
        <v>8513</v>
      </c>
    </row>
    <row r="879" spans="2:3" s="1" customFormat="1" x14ac:dyDescent="0.2">
      <c r="B879" s="30"/>
      <c r="C879" s="31">
        <v>8522</v>
      </c>
    </row>
    <row r="880" spans="2:3" s="1" customFormat="1" x14ac:dyDescent="0.2">
      <c r="B880" s="30"/>
      <c r="C880" s="31">
        <v>8531</v>
      </c>
    </row>
    <row r="881" spans="2:3" s="1" customFormat="1" x14ac:dyDescent="0.2">
      <c r="B881" s="30"/>
      <c r="C881" s="31">
        <v>8539</v>
      </c>
    </row>
    <row r="882" spans="2:3" s="1" customFormat="1" x14ac:dyDescent="0.2">
      <c r="B882" s="30"/>
      <c r="C882" s="31">
        <v>8565</v>
      </c>
    </row>
    <row r="883" spans="2:3" s="1" customFormat="1" x14ac:dyDescent="0.2">
      <c r="B883" s="30"/>
      <c r="C883" s="31">
        <v>8584</v>
      </c>
    </row>
    <row r="884" spans="2:3" s="1" customFormat="1" x14ac:dyDescent="0.2">
      <c r="B884" s="30"/>
      <c r="C884" s="31">
        <v>8602</v>
      </c>
    </row>
    <row r="885" spans="2:3" s="1" customFormat="1" x14ac:dyDescent="0.2">
      <c r="B885" s="30"/>
      <c r="C885" s="31">
        <v>8606</v>
      </c>
    </row>
    <row r="886" spans="2:3" s="1" customFormat="1" x14ac:dyDescent="0.2">
      <c r="B886" s="30"/>
      <c r="C886" s="31">
        <v>8607</v>
      </c>
    </row>
    <row r="887" spans="2:3" s="1" customFormat="1" x14ac:dyDescent="0.2">
      <c r="B887" s="30"/>
      <c r="C887" s="31">
        <v>8608</v>
      </c>
    </row>
    <row r="888" spans="2:3" s="1" customFormat="1" x14ac:dyDescent="0.2">
      <c r="B888" s="30"/>
      <c r="C888" s="31">
        <v>8611</v>
      </c>
    </row>
    <row r="889" spans="2:3" s="1" customFormat="1" x14ac:dyDescent="0.2">
      <c r="B889" s="30"/>
      <c r="C889" s="31">
        <v>8614</v>
      </c>
    </row>
    <row r="890" spans="2:3" s="1" customFormat="1" x14ac:dyDescent="0.2">
      <c r="B890" s="30"/>
      <c r="C890" s="31">
        <v>8615</v>
      </c>
    </row>
    <row r="891" spans="2:3" s="1" customFormat="1" x14ac:dyDescent="0.2">
      <c r="B891" s="30"/>
      <c r="C891" s="31">
        <v>8627</v>
      </c>
    </row>
    <row r="892" spans="2:3" s="1" customFormat="1" x14ac:dyDescent="0.2">
      <c r="B892" s="30"/>
      <c r="C892" s="31">
        <v>8628</v>
      </c>
    </row>
    <row r="893" spans="2:3" s="1" customFormat="1" x14ac:dyDescent="0.2">
      <c r="B893" s="30"/>
      <c r="C893" s="31">
        <v>8635</v>
      </c>
    </row>
    <row r="894" spans="2:3" s="1" customFormat="1" x14ac:dyDescent="0.2">
      <c r="B894" s="30"/>
      <c r="C894" s="31">
        <v>8637</v>
      </c>
    </row>
    <row r="895" spans="2:3" s="1" customFormat="1" x14ac:dyDescent="0.2">
      <c r="B895" s="30"/>
      <c r="C895" s="31">
        <v>8647</v>
      </c>
    </row>
    <row r="896" spans="2:3" s="1" customFormat="1" x14ac:dyDescent="0.2">
      <c r="B896" s="30"/>
      <c r="C896" s="31">
        <v>8711</v>
      </c>
    </row>
    <row r="897" spans="2:3" s="1" customFormat="1" x14ac:dyDescent="0.2">
      <c r="B897" s="30"/>
      <c r="C897" s="31">
        <v>8713</v>
      </c>
    </row>
    <row r="898" spans="2:3" s="1" customFormat="1" x14ac:dyDescent="0.2">
      <c r="B898" s="30"/>
      <c r="C898" s="31">
        <v>8715</v>
      </c>
    </row>
    <row r="899" spans="2:3" s="1" customFormat="1" x14ac:dyDescent="0.2">
      <c r="B899" s="30"/>
      <c r="C899" s="31">
        <v>8721</v>
      </c>
    </row>
    <row r="900" spans="2:3" s="1" customFormat="1" x14ac:dyDescent="0.2">
      <c r="B900" s="30"/>
      <c r="C900" s="31">
        <v>8724</v>
      </c>
    </row>
    <row r="901" spans="2:3" s="1" customFormat="1" x14ac:dyDescent="0.2">
      <c r="B901" s="30"/>
      <c r="C901" s="31">
        <v>8735</v>
      </c>
    </row>
    <row r="902" spans="2:3" s="1" customFormat="1" x14ac:dyDescent="0.2">
      <c r="B902" s="30"/>
      <c r="C902" s="31">
        <v>8736</v>
      </c>
    </row>
    <row r="903" spans="2:3" s="1" customFormat="1" x14ac:dyDescent="0.2">
      <c r="B903" s="30"/>
      <c r="C903" s="31">
        <v>8742</v>
      </c>
    </row>
    <row r="904" spans="2:3" s="1" customFormat="1" x14ac:dyDescent="0.2">
      <c r="B904" s="30"/>
      <c r="C904" s="31">
        <v>8748</v>
      </c>
    </row>
    <row r="905" spans="2:3" s="1" customFormat="1" x14ac:dyDescent="0.2">
      <c r="B905" s="30"/>
      <c r="C905" s="31">
        <v>8751</v>
      </c>
    </row>
    <row r="906" spans="2:3" s="1" customFormat="1" x14ac:dyDescent="0.2">
      <c r="B906" s="30"/>
      <c r="C906" s="31">
        <v>8757</v>
      </c>
    </row>
    <row r="907" spans="2:3" s="1" customFormat="1" x14ac:dyDescent="0.2">
      <c r="B907" s="30"/>
      <c r="C907" s="31">
        <v>8759</v>
      </c>
    </row>
    <row r="908" spans="2:3" s="1" customFormat="1" x14ac:dyDescent="0.2">
      <c r="B908" s="30"/>
      <c r="C908" s="31">
        <v>8761</v>
      </c>
    </row>
    <row r="909" spans="2:3" s="1" customFormat="1" x14ac:dyDescent="0.2">
      <c r="B909" s="30"/>
      <c r="C909" s="31">
        <v>8765</v>
      </c>
    </row>
    <row r="910" spans="2:3" s="1" customFormat="1" x14ac:dyDescent="0.2">
      <c r="B910" s="30"/>
      <c r="C910" s="31">
        <v>8802</v>
      </c>
    </row>
    <row r="911" spans="2:3" s="1" customFormat="1" x14ac:dyDescent="0.2">
      <c r="B911" s="30"/>
      <c r="C911" s="31">
        <v>8804</v>
      </c>
    </row>
    <row r="912" spans="2:3" s="1" customFormat="1" x14ac:dyDescent="0.2">
      <c r="B912" s="30"/>
      <c r="C912" s="31">
        <v>8806</v>
      </c>
    </row>
    <row r="913" spans="2:3" s="1" customFormat="1" x14ac:dyDescent="0.2">
      <c r="B913" s="30"/>
      <c r="C913" s="31">
        <v>8807</v>
      </c>
    </row>
    <row r="914" spans="2:3" s="1" customFormat="1" x14ac:dyDescent="0.2">
      <c r="B914" s="30"/>
      <c r="C914" s="31">
        <v>8808</v>
      </c>
    </row>
    <row r="915" spans="2:3" s="1" customFormat="1" x14ac:dyDescent="0.2">
      <c r="B915" s="30"/>
      <c r="C915" s="31">
        <v>8812</v>
      </c>
    </row>
    <row r="916" spans="2:3" s="1" customFormat="1" x14ac:dyDescent="0.2">
      <c r="B916" s="30"/>
      <c r="C916" s="31">
        <v>8854</v>
      </c>
    </row>
    <row r="917" spans="2:3" s="1" customFormat="1" x14ac:dyDescent="0.2">
      <c r="B917" s="30"/>
      <c r="C917" s="31">
        <v>8861</v>
      </c>
    </row>
    <row r="918" spans="2:3" s="1" customFormat="1" x14ac:dyDescent="0.2">
      <c r="B918" s="30"/>
      <c r="C918" s="31">
        <v>8862</v>
      </c>
    </row>
    <row r="919" spans="2:3" s="1" customFormat="1" x14ac:dyDescent="0.2">
      <c r="B919" s="30"/>
      <c r="C919" s="31">
        <v>8891</v>
      </c>
    </row>
    <row r="920" spans="2:3" s="1" customFormat="1" x14ac:dyDescent="0.2">
      <c r="B920" s="30"/>
      <c r="C920" s="31">
        <v>8895</v>
      </c>
    </row>
    <row r="921" spans="2:3" s="1" customFormat="1" x14ac:dyDescent="0.2">
      <c r="B921" s="30"/>
      <c r="C921" s="31">
        <v>8896</v>
      </c>
    </row>
    <row r="922" spans="2:3" s="1" customFormat="1" x14ac:dyDescent="0.2">
      <c r="B922" s="30"/>
      <c r="C922" s="31">
        <v>8911</v>
      </c>
    </row>
    <row r="923" spans="2:3" s="1" customFormat="1" x14ac:dyDescent="0.2">
      <c r="B923" s="30"/>
      <c r="C923" s="31">
        <v>8915</v>
      </c>
    </row>
    <row r="924" spans="2:3" s="1" customFormat="1" x14ac:dyDescent="0.2">
      <c r="B924" s="30"/>
      <c r="C924" s="31">
        <v>8917</v>
      </c>
    </row>
    <row r="925" spans="2:3" s="1" customFormat="1" x14ac:dyDescent="0.2">
      <c r="B925" s="30"/>
      <c r="C925" s="31">
        <v>8918</v>
      </c>
    </row>
    <row r="926" spans="2:3" s="1" customFormat="1" x14ac:dyDescent="0.2">
      <c r="B926" s="30"/>
      <c r="C926" s="31">
        <v>8921</v>
      </c>
    </row>
    <row r="927" spans="2:3" s="1" customFormat="1" x14ac:dyDescent="0.2">
      <c r="B927" s="30"/>
      <c r="C927" s="31">
        <v>8922</v>
      </c>
    </row>
    <row r="928" spans="2:3" s="1" customFormat="1" x14ac:dyDescent="0.2">
      <c r="B928" s="30"/>
      <c r="C928" s="31">
        <v>8923</v>
      </c>
    </row>
    <row r="929" spans="2:3" s="1" customFormat="1" x14ac:dyDescent="0.2">
      <c r="B929" s="30"/>
      <c r="C929" s="31">
        <v>8924</v>
      </c>
    </row>
    <row r="930" spans="2:3" s="1" customFormat="1" x14ac:dyDescent="0.2">
      <c r="B930" s="30"/>
      <c r="C930" s="31">
        <v>8926</v>
      </c>
    </row>
    <row r="931" spans="2:3" s="1" customFormat="1" x14ac:dyDescent="0.2">
      <c r="B931" s="30"/>
      <c r="C931" s="31">
        <v>8931</v>
      </c>
    </row>
    <row r="932" spans="2:3" s="1" customFormat="1" x14ac:dyDescent="0.2">
      <c r="B932" s="30"/>
      <c r="C932" s="31">
        <v>8932</v>
      </c>
    </row>
    <row r="933" spans="2:3" s="1" customFormat="1" x14ac:dyDescent="0.2">
      <c r="B933" s="30"/>
      <c r="C933" s="31">
        <v>8933</v>
      </c>
    </row>
    <row r="934" spans="2:3" s="1" customFormat="1" x14ac:dyDescent="0.2">
      <c r="B934" s="30"/>
      <c r="C934" s="31">
        <v>8936</v>
      </c>
    </row>
    <row r="935" spans="2:3" s="1" customFormat="1" x14ac:dyDescent="0.2">
      <c r="B935" s="30"/>
      <c r="C935" s="31">
        <v>8937</v>
      </c>
    </row>
    <row r="936" spans="2:3" s="1" customFormat="1" x14ac:dyDescent="0.2">
      <c r="B936" s="30"/>
      <c r="C936" s="31">
        <v>9014</v>
      </c>
    </row>
    <row r="937" spans="2:3" s="1" customFormat="1" x14ac:dyDescent="0.2">
      <c r="B937" s="30"/>
      <c r="C937" s="31">
        <v>9021</v>
      </c>
    </row>
    <row r="938" spans="2:3" s="1" customFormat="1" x14ac:dyDescent="0.2">
      <c r="B938" s="30"/>
      <c r="C938" s="31">
        <v>9054</v>
      </c>
    </row>
    <row r="939" spans="2:3" s="1" customFormat="1" x14ac:dyDescent="0.2">
      <c r="B939" s="30"/>
      <c r="C939" s="31">
        <v>9055</v>
      </c>
    </row>
    <row r="940" spans="2:3" s="1" customFormat="1" x14ac:dyDescent="0.2">
      <c r="B940" s="30"/>
      <c r="C940" s="31">
        <v>9063</v>
      </c>
    </row>
    <row r="941" spans="2:3" s="1" customFormat="1" x14ac:dyDescent="0.2">
      <c r="B941" s="30"/>
      <c r="C941" s="31">
        <v>9071</v>
      </c>
    </row>
    <row r="942" spans="2:3" s="1" customFormat="1" x14ac:dyDescent="0.2">
      <c r="B942" s="30"/>
      <c r="C942" s="31">
        <v>9074</v>
      </c>
    </row>
    <row r="943" spans="2:3" s="1" customFormat="1" x14ac:dyDescent="0.2">
      <c r="B943" s="30"/>
      <c r="C943" s="31">
        <v>9075</v>
      </c>
    </row>
    <row r="944" spans="2:3" s="1" customFormat="1" x14ac:dyDescent="0.2">
      <c r="B944" s="30"/>
      <c r="C944" s="31">
        <v>9078</v>
      </c>
    </row>
    <row r="945" spans="2:3" s="1" customFormat="1" x14ac:dyDescent="0.2">
      <c r="B945" s="30"/>
      <c r="C945" s="31">
        <v>9079</v>
      </c>
    </row>
    <row r="946" spans="2:3" s="1" customFormat="1" x14ac:dyDescent="0.2">
      <c r="B946" s="30"/>
      <c r="C946" s="31">
        <v>9089</v>
      </c>
    </row>
    <row r="947" spans="2:3" s="1" customFormat="1" x14ac:dyDescent="0.2">
      <c r="B947" s="30"/>
      <c r="C947" s="31">
        <v>9108</v>
      </c>
    </row>
    <row r="948" spans="2:3" s="1" customFormat="1" x14ac:dyDescent="0.2">
      <c r="B948" s="30"/>
      <c r="C948" s="31">
        <v>9112</v>
      </c>
    </row>
    <row r="949" spans="2:3" s="1" customFormat="1" x14ac:dyDescent="0.2">
      <c r="B949" s="30"/>
      <c r="C949" s="31">
        <v>9132</v>
      </c>
    </row>
    <row r="950" spans="2:3" s="1" customFormat="1" x14ac:dyDescent="0.2">
      <c r="B950" s="30"/>
      <c r="C950" s="31">
        <v>9134</v>
      </c>
    </row>
    <row r="951" spans="2:3" s="1" customFormat="1" x14ac:dyDescent="0.2">
      <c r="B951" s="30"/>
      <c r="C951" s="31">
        <v>9135</v>
      </c>
    </row>
    <row r="952" spans="2:3" s="1" customFormat="1" x14ac:dyDescent="0.2">
      <c r="B952" s="30"/>
      <c r="C952" s="31">
        <v>9138</v>
      </c>
    </row>
    <row r="953" spans="2:3" s="1" customFormat="1" x14ac:dyDescent="0.2">
      <c r="B953" s="30"/>
      <c r="C953" s="31">
        <v>9141</v>
      </c>
    </row>
    <row r="954" spans="2:3" s="1" customFormat="1" x14ac:dyDescent="0.2">
      <c r="B954" s="30"/>
      <c r="C954" s="31">
        <v>9142</v>
      </c>
    </row>
    <row r="955" spans="2:3" s="1" customFormat="1" x14ac:dyDescent="0.2">
      <c r="B955" s="30"/>
      <c r="C955" s="31">
        <v>9143</v>
      </c>
    </row>
    <row r="956" spans="2:3" s="1" customFormat="1" x14ac:dyDescent="0.2">
      <c r="B956" s="30"/>
      <c r="C956" s="31">
        <v>9144</v>
      </c>
    </row>
    <row r="957" spans="2:3" s="1" customFormat="1" x14ac:dyDescent="0.2">
      <c r="B957" s="30"/>
      <c r="C957" s="31">
        <v>9151</v>
      </c>
    </row>
    <row r="958" spans="2:3" s="1" customFormat="1" x14ac:dyDescent="0.2">
      <c r="B958" s="30"/>
      <c r="C958" s="31">
        <v>9162</v>
      </c>
    </row>
    <row r="959" spans="2:3" s="1" customFormat="1" x14ac:dyDescent="0.2">
      <c r="B959" s="30"/>
      <c r="C959" s="31">
        <v>9172</v>
      </c>
    </row>
    <row r="960" spans="2:3" s="1" customFormat="1" x14ac:dyDescent="0.2">
      <c r="B960" s="30"/>
      <c r="C960" s="31">
        <v>9178</v>
      </c>
    </row>
    <row r="961" spans="2:3" s="1" customFormat="1" x14ac:dyDescent="0.2">
      <c r="B961" s="30"/>
      <c r="C961" s="31">
        <v>9201</v>
      </c>
    </row>
    <row r="962" spans="2:3" s="1" customFormat="1" x14ac:dyDescent="0.2">
      <c r="B962" s="30"/>
      <c r="C962" s="31">
        <v>9202</v>
      </c>
    </row>
    <row r="963" spans="2:3" s="1" customFormat="1" x14ac:dyDescent="0.2">
      <c r="B963" s="30"/>
      <c r="C963" s="31">
        <v>9205</v>
      </c>
    </row>
    <row r="964" spans="2:3" s="1" customFormat="1" x14ac:dyDescent="0.2">
      <c r="B964" s="30"/>
      <c r="C964" s="31">
        <v>9223</v>
      </c>
    </row>
    <row r="965" spans="2:3" s="1" customFormat="1" x14ac:dyDescent="0.2">
      <c r="B965" s="30"/>
      <c r="C965" s="31">
        <v>9248</v>
      </c>
    </row>
    <row r="966" spans="2:3" s="1" customFormat="1" x14ac:dyDescent="0.2">
      <c r="B966" s="30"/>
      <c r="C966" s="31">
        <v>9256</v>
      </c>
    </row>
    <row r="967" spans="2:3" s="1" customFormat="1" x14ac:dyDescent="0.2">
      <c r="B967" s="30"/>
      <c r="C967" s="31">
        <v>9258</v>
      </c>
    </row>
    <row r="968" spans="2:3" s="1" customFormat="1" x14ac:dyDescent="0.2">
      <c r="B968" s="30"/>
      <c r="C968" s="31">
        <v>9261</v>
      </c>
    </row>
    <row r="969" spans="2:3" s="1" customFormat="1" x14ac:dyDescent="0.2">
      <c r="B969" s="30"/>
      <c r="C969" s="31">
        <v>9262</v>
      </c>
    </row>
    <row r="970" spans="2:3" s="1" customFormat="1" x14ac:dyDescent="0.2">
      <c r="B970" s="30"/>
      <c r="C970" s="31">
        <v>9265</v>
      </c>
    </row>
    <row r="971" spans="2:3" s="1" customFormat="1" x14ac:dyDescent="0.2">
      <c r="B971" s="30"/>
      <c r="C971" s="31">
        <v>9271</v>
      </c>
    </row>
    <row r="972" spans="2:3" s="1" customFormat="1" x14ac:dyDescent="0.2">
      <c r="B972" s="30"/>
      <c r="C972" s="31">
        <v>9281</v>
      </c>
    </row>
    <row r="973" spans="2:3" s="1" customFormat="1" x14ac:dyDescent="0.2">
      <c r="B973" s="30"/>
      <c r="C973" s="31">
        <v>9283</v>
      </c>
    </row>
    <row r="974" spans="2:3" s="1" customFormat="1" x14ac:dyDescent="0.2">
      <c r="B974" s="30"/>
      <c r="C974" s="31">
        <v>9286</v>
      </c>
    </row>
    <row r="975" spans="2:3" s="1" customFormat="1" x14ac:dyDescent="0.2">
      <c r="B975" s="30"/>
      <c r="C975" s="31">
        <v>9287</v>
      </c>
    </row>
    <row r="976" spans="2:3" s="1" customFormat="1" x14ac:dyDescent="0.2">
      <c r="B976" s="30"/>
      <c r="C976" s="31">
        <v>9288</v>
      </c>
    </row>
    <row r="977" spans="2:3" s="1" customFormat="1" x14ac:dyDescent="0.2">
      <c r="B977" s="30"/>
      <c r="C977" s="31">
        <v>9289</v>
      </c>
    </row>
    <row r="978" spans="2:3" s="1" customFormat="1" x14ac:dyDescent="0.2">
      <c r="B978" s="30"/>
      <c r="C978" s="31">
        <v>9296</v>
      </c>
    </row>
    <row r="979" spans="2:3" s="1" customFormat="1" x14ac:dyDescent="0.2">
      <c r="B979" s="30"/>
      <c r="C979" s="31">
        <v>9298</v>
      </c>
    </row>
    <row r="980" spans="2:3" s="1" customFormat="1" x14ac:dyDescent="0.2">
      <c r="B980" s="30"/>
      <c r="C980" s="31">
        <v>9299</v>
      </c>
    </row>
    <row r="981" spans="2:3" s="1" customFormat="1" x14ac:dyDescent="0.2">
      <c r="B981" s="30"/>
      <c r="C981" s="31">
        <v>9305</v>
      </c>
    </row>
    <row r="982" spans="2:3" s="1" customFormat="1" x14ac:dyDescent="0.2">
      <c r="B982" s="30"/>
      <c r="C982" s="31">
        <v>9307</v>
      </c>
    </row>
    <row r="983" spans="2:3" s="1" customFormat="1" x14ac:dyDescent="0.2">
      <c r="B983" s="30"/>
      <c r="C983" s="31">
        <v>9311</v>
      </c>
    </row>
    <row r="984" spans="2:3" s="1" customFormat="1" x14ac:dyDescent="0.2">
      <c r="B984" s="30"/>
      <c r="C984" s="31">
        <v>9313</v>
      </c>
    </row>
    <row r="985" spans="2:3" s="1" customFormat="1" x14ac:dyDescent="0.2">
      <c r="B985" s="30"/>
      <c r="C985" s="31">
        <v>9335</v>
      </c>
    </row>
    <row r="986" spans="2:3" s="1" customFormat="1" x14ac:dyDescent="0.2">
      <c r="B986" s="30"/>
      <c r="C986" s="31">
        <v>9361</v>
      </c>
    </row>
    <row r="987" spans="2:3" s="1" customFormat="1" x14ac:dyDescent="0.2">
      <c r="B987" s="30"/>
      <c r="C987" s="31">
        <v>9362</v>
      </c>
    </row>
    <row r="988" spans="2:3" s="1" customFormat="1" x14ac:dyDescent="0.2">
      <c r="B988" s="30"/>
      <c r="C988" s="31">
        <v>9402</v>
      </c>
    </row>
    <row r="989" spans="2:3" s="1" customFormat="1" x14ac:dyDescent="0.2">
      <c r="B989" s="30"/>
      <c r="C989" s="31">
        <v>9404</v>
      </c>
    </row>
    <row r="990" spans="2:3" s="1" customFormat="1" x14ac:dyDescent="0.2">
      <c r="B990" s="30"/>
      <c r="C990" s="31">
        <v>9406</v>
      </c>
    </row>
    <row r="991" spans="2:3" s="1" customFormat="1" x14ac:dyDescent="0.2">
      <c r="B991" s="30"/>
      <c r="C991" s="31">
        <v>9407</v>
      </c>
    </row>
    <row r="992" spans="2:3" s="1" customFormat="1" x14ac:dyDescent="0.2">
      <c r="B992" s="30"/>
      <c r="C992" s="31">
        <v>9417</v>
      </c>
    </row>
    <row r="993" spans="2:3" s="1" customFormat="1" x14ac:dyDescent="0.2">
      <c r="B993" s="30"/>
      <c r="C993" s="31">
        <v>9419</v>
      </c>
    </row>
    <row r="994" spans="2:3" s="1" customFormat="1" x14ac:dyDescent="0.2">
      <c r="B994" s="30"/>
      <c r="C994" s="31">
        <v>9423</v>
      </c>
    </row>
    <row r="995" spans="2:3" s="1" customFormat="1" x14ac:dyDescent="0.2">
      <c r="B995" s="30"/>
      <c r="C995" s="31">
        <v>9441</v>
      </c>
    </row>
    <row r="996" spans="2:3" s="1" customFormat="1" x14ac:dyDescent="0.2">
      <c r="B996" s="30"/>
      <c r="C996" s="31">
        <v>9443</v>
      </c>
    </row>
    <row r="997" spans="2:3" s="1" customFormat="1" x14ac:dyDescent="0.2">
      <c r="B997" s="30"/>
      <c r="C997" s="31">
        <v>9465</v>
      </c>
    </row>
    <row r="998" spans="2:3" s="1" customFormat="1" x14ac:dyDescent="0.2">
      <c r="B998" s="30"/>
      <c r="C998" s="31">
        <v>9483</v>
      </c>
    </row>
    <row r="999" spans="2:3" s="1" customFormat="1" x14ac:dyDescent="0.2">
      <c r="B999" s="30"/>
      <c r="C999" s="31">
        <v>9493</v>
      </c>
    </row>
    <row r="1000" spans="2:3" s="1" customFormat="1" x14ac:dyDescent="0.2">
      <c r="B1000" s="30"/>
      <c r="C1000" s="31">
        <v>9496</v>
      </c>
    </row>
    <row r="1001" spans="2:3" s="1" customFormat="1" x14ac:dyDescent="0.2">
      <c r="B1001" s="30"/>
      <c r="C1001" s="31">
        <v>9501</v>
      </c>
    </row>
    <row r="1002" spans="2:3" s="1" customFormat="1" x14ac:dyDescent="0.2">
      <c r="B1002" s="30"/>
      <c r="C1002" s="31">
        <v>9502</v>
      </c>
    </row>
    <row r="1003" spans="2:3" s="1" customFormat="1" x14ac:dyDescent="0.2">
      <c r="B1003" s="30"/>
      <c r="C1003" s="31">
        <v>9503</v>
      </c>
    </row>
    <row r="1004" spans="2:3" s="1" customFormat="1" x14ac:dyDescent="0.2">
      <c r="B1004" s="30"/>
      <c r="C1004" s="31">
        <v>9514</v>
      </c>
    </row>
    <row r="1005" spans="2:3" s="1" customFormat="1" x14ac:dyDescent="0.2">
      <c r="B1005" s="30"/>
      <c r="C1005" s="31">
        <v>9521</v>
      </c>
    </row>
    <row r="1006" spans="2:3" s="1" customFormat="1" x14ac:dyDescent="0.2">
      <c r="B1006" s="30"/>
      <c r="C1006" s="31">
        <v>9545</v>
      </c>
    </row>
    <row r="1007" spans="2:3" s="1" customFormat="1" x14ac:dyDescent="0.2">
      <c r="B1007" s="30"/>
      <c r="C1007" s="31">
        <v>9563</v>
      </c>
    </row>
    <row r="1008" spans="2:3" s="1" customFormat="1" x14ac:dyDescent="0.2">
      <c r="B1008" s="30"/>
      <c r="C1008" s="31">
        <v>9566</v>
      </c>
    </row>
    <row r="1009" spans="2:3" s="1" customFormat="1" x14ac:dyDescent="0.2">
      <c r="B1009" s="30"/>
      <c r="C1009" s="31">
        <v>9571</v>
      </c>
    </row>
    <row r="1010" spans="2:3" s="1" customFormat="1" x14ac:dyDescent="0.2">
      <c r="B1010" s="30"/>
      <c r="C1010" s="31">
        <v>9573</v>
      </c>
    </row>
    <row r="1011" spans="2:3" s="1" customFormat="1" x14ac:dyDescent="0.2">
      <c r="B1011" s="30"/>
      <c r="C1011" s="31">
        <v>9581</v>
      </c>
    </row>
    <row r="1012" spans="2:3" s="1" customFormat="1" x14ac:dyDescent="0.2">
      <c r="B1012" s="30"/>
      <c r="C1012" s="31">
        <v>9585</v>
      </c>
    </row>
    <row r="1013" spans="2:3" s="1" customFormat="1" x14ac:dyDescent="0.2">
      <c r="B1013" s="30"/>
      <c r="C1013" s="31">
        <v>9601</v>
      </c>
    </row>
    <row r="1014" spans="2:3" s="1" customFormat="1" x14ac:dyDescent="0.2">
      <c r="B1014" s="30"/>
      <c r="C1014" s="31">
        <v>9602</v>
      </c>
    </row>
    <row r="1015" spans="2:3" s="1" customFormat="1" x14ac:dyDescent="0.2">
      <c r="B1015" s="30"/>
      <c r="C1015" s="31">
        <v>9607</v>
      </c>
    </row>
    <row r="1016" spans="2:3" s="1" customFormat="1" x14ac:dyDescent="0.2">
      <c r="B1016" s="30"/>
      <c r="C1016" s="31">
        <v>9618</v>
      </c>
    </row>
    <row r="1017" spans="2:3" s="1" customFormat="1" x14ac:dyDescent="0.2">
      <c r="B1017" s="30"/>
      <c r="C1017" s="31">
        <v>9621</v>
      </c>
    </row>
    <row r="1018" spans="2:3" s="1" customFormat="1" x14ac:dyDescent="0.2">
      <c r="B1018" s="30"/>
      <c r="C1018" s="31">
        <v>9625</v>
      </c>
    </row>
    <row r="1019" spans="2:3" s="1" customFormat="1" x14ac:dyDescent="0.2">
      <c r="B1019" s="30"/>
      <c r="C1019" s="31">
        <v>9635</v>
      </c>
    </row>
    <row r="1020" spans="2:3" s="1" customFormat="1" x14ac:dyDescent="0.2">
      <c r="B1020" s="30"/>
      <c r="C1020" s="31">
        <v>9641</v>
      </c>
    </row>
    <row r="1021" spans="2:3" s="1" customFormat="1" x14ac:dyDescent="0.2">
      <c r="B1021" s="30"/>
      <c r="C1021" s="31">
        <v>9642</v>
      </c>
    </row>
    <row r="1022" spans="2:3" s="1" customFormat="1" x14ac:dyDescent="0.2">
      <c r="B1022" s="30"/>
      <c r="C1022" s="31">
        <v>9645</v>
      </c>
    </row>
    <row r="1023" spans="2:3" s="1" customFormat="1" x14ac:dyDescent="0.2">
      <c r="B1023" s="30"/>
      <c r="C1023" s="31">
        <v>9648</v>
      </c>
    </row>
    <row r="1024" spans="2:3" s="1" customFormat="1" x14ac:dyDescent="0.2">
      <c r="B1024" s="30"/>
      <c r="C1024" s="31">
        <v>9649</v>
      </c>
    </row>
    <row r="1025" spans="2:3" s="1" customFormat="1" x14ac:dyDescent="0.2">
      <c r="B1025" s="30"/>
      <c r="C1025" s="31">
        <v>9659</v>
      </c>
    </row>
    <row r="1026" spans="2:3" s="1" customFormat="1" x14ac:dyDescent="0.2">
      <c r="B1026" s="30"/>
      <c r="C1026" s="31">
        <v>9661</v>
      </c>
    </row>
    <row r="1027" spans="2:3" s="1" customFormat="1" x14ac:dyDescent="0.2">
      <c r="B1027" s="30"/>
      <c r="C1027" s="31">
        <v>9663</v>
      </c>
    </row>
    <row r="1028" spans="2:3" s="1" customFormat="1" x14ac:dyDescent="0.2">
      <c r="B1028" s="30"/>
      <c r="C1028" s="31">
        <v>9665</v>
      </c>
    </row>
    <row r="1029" spans="2:3" s="1" customFormat="1" x14ac:dyDescent="0.2">
      <c r="B1029" s="30"/>
      <c r="C1029" s="31">
        <v>9673</v>
      </c>
    </row>
    <row r="1030" spans="2:3" s="1" customFormat="1" x14ac:dyDescent="0.2">
      <c r="B1030" s="30"/>
      <c r="C1030" s="31">
        <v>9684</v>
      </c>
    </row>
    <row r="1031" spans="2:3" s="1" customFormat="1" x14ac:dyDescent="0.2">
      <c r="B1031" s="30"/>
      <c r="C1031" s="31">
        <v>9686</v>
      </c>
    </row>
    <row r="1032" spans="2:3" s="1" customFormat="1" x14ac:dyDescent="0.2">
      <c r="B1032" s="30"/>
      <c r="C1032" s="31">
        <v>9687</v>
      </c>
    </row>
    <row r="1033" spans="2:3" s="1" customFormat="1" x14ac:dyDescent="0.2">
      <c r="B1033" s="30"/>
      <c r="C1033" s="31">
        <v>9688</v>
      </c>
    </row>
    <row r="1034" spans="2:3" s="1" customFormat="1" x14ac:dyDescent="0.2">
      <c r="B1034" s="30"/>
      <c r="C1034" s="31">
        <v>9696</v>
      </c>
    </row>
    <row r="1035" spans="2:3" s="1" customFormat="1" x14ac:dyDescent="0.2">
      <c r="B1035" s="30"/>
      <c r="C1035" s="31">
        <v>9697</v>
      </c>
    </row>
    <row r="1036" spans="2:3" s="1" customFormat="1" x14ac:dyDescent="0.2">
      <c r="B1036" s="30"/>
      <c r="C1036" s="31">
        <v>9698</v>
      </c>
    </row>
    <row r="1037" spans="2:3" s="1" customFormat="1" x14ac:dyDescent="0.2">
      <c r="B1037" s="30"/>
      <c r="C1037" s="31">
        <v>9699</v>
      </c>
    </row>
    <row r="1038" spans="2:3" s="1" customFormat="1" x14ac:dyDescent="0.2">
      <c r="B1038" s="30"/>
      <c r="C1038" s="31">
        <v>9711</v>
      </c>
    </row>
    <row r="1039" spans="2:3" s="1" customFormat="1" x14ac:dyDescent="0.2">
      <c r="B1039" s="30"/>
      <c r="C1039" s="31">
        <v>9712</v>
      </c>
    </row>
    <row r="1040" spans="2:3" s="1" customFormat="1" x14ac:dyDescent="0.2">
      <c r="B1040" s="30"/>
      <c r="C1040" s="31">
        <v>9713</v>
      </c>
    </row>
    <row r="1041" spans="2:3" s="1" customFormat="1" x14ac:dyDescent="0.2">
      <c r="B1041" s="30"/>
      <c r="C1041" s="31">
        <v>9714</v>
      </c>
    </row>
    <row r="1042" spans="2:3" s="1" customFormat="1" x14ac:dyDescent="0.2">
      <c r="B1042" s="30"/>
      <c r="C1042" s="31">
        <v>9715</v>
      </c>
    </row>
    <row r="1043" spans="2:3" s="1" customFormat="1" x14ac:dyDescent="0.2">
      <c r="B1043" s="30"/>
      <c r="C1043" s="31">
        <v>9716</v>
      </c>
    </row>
    <row r="1044" spans="2:3" s="1" customFormat="1" x14ac:dyDescent="0.2">
      <c r="B1044" s="30"/>
      <c r="C1044" s="31">
        <v>9717</v>
      </c>
    </row>
    <row r="1045" spans="2:3" s="1" customFormat="1" x14ac:dyDescent="0.2">
      <c r="B1045" s="30"/>
      <c r="C1045" s="31">
        <v>9718</v>
      </c>
    </row>
    <row r="1046" spans="2:3" s="1" customFormat="1" x14ac:dyDescent="0.2">
      <c r="B1046" s="30"/>
      <c r="C1046" s="31">
        <v>9723</v>
      </c>
    </row>
    <row r="1047" spans="2:3" s="1" customFormat="1" x14ac:dyDescent="0.2">
      <c r="B1047" s="30"/>
      <c r="C1047" s="31">
        <v>9724</v>
      </c>
    </row>
    <row r="1048" spans="2:3" s="1" customFormat="1" x14ac:dyDescent="0.2">
      <c r="B1048" s="30"/>
      <c r="C1048" s="31">
        <v>9725</v>
      </c>
    </row>
    <row r="1049" spans="2:3" s="1" customFormat="1" x14ac:dyDescent="0.2">
      <c r="B1049" s="30"/>
      <c r="C1049" s="31">
        <v>9726</v>
      </c>
    </row>
    <row r="1050" spans="2:3" s="1" customFormat="1" x14ac:dyDescent="0.2">
      <c r="B1050" s="30"/>
      <c r="C1050" s="31">
        <v>9727</v>
      </c>
    </row>
    <row r="1051" spans="2:3" s="1" customFormat="1" x14ac:dyDescent="0.2">
      <c r="B1051" s="30"/>
      <c r="C1051" s="31">
        <v>9732</v>
      </c>
    </row>
    <row r="1052" spans="2:3" s="1" customFormat="1" x14ac:dyDescent="0.2">
      <c r="B1052" s="30"/>
      <c r="C1052" s="31">
        <v>9733</v>
      </c>
    </row>
    <row r="1053" spans="2:3" s="1" customFormat="1" x14ac:dyDescent="0.2">
      <c r="B1053" s="30"/>
      <c r="C1053" s="31">
        <v>9736</v>
      </c>
    </row>
    <row r="1054" spans="2:3" s="1" customFormat="1" x14ac:dyDescent="0.2">
      <c r="B1054" s="30"/>
      <c r="C1054" s="31">
        <v>9737</v>
      </c>
    </row>
    <row r="1055" spans="2:3" s="1" customFormat="1" x14ac:dyDescent="0.2">
      <c r="B1055" s="30"/>
      <c r="C1055" s="31">
        <v>9738</v>
      </c>
    </row>
    <row r="1056" spans="2:3" s="1" customFormat="1" x14ac:dyDescent="0.2">
      <c r="B1056" s="30"/>
      <c r="C1056" s="31">
        <v>9741</v>
      </c>
    </row>
    <row r="1057" spans="2:3" s="1" customFormat="1" x14ac:dyDescent="0.2">
      <c r="B1057" s="30"/>
      <c r="C1057" s="31">
        <v>9742</v>
      </c>
    </row>
    <row r="1058" spans="2:3" s="1" customFormat="1" x14ac:dyDescent="0.2">
      <c r="B1058" s="30"/>
      <c r="C1058" s="31">
        <v>9743</v>
      </c>
    </row>
    <row r="1059" spans="2:3" s="1" customFormat="1" x14ac:dyDescent="0.2">
      <c r="B1059" s="30"/>
      <c r="C1059" s="31">
        <v>9745</v>
      </c>
    </row>
    <row r="1060" spans="2:3" s="1" customFormat="1" x14ac:dyDescent="0.2">
      <c r="B1060" s="30"/>
      <c r="C1060" s="31">
        <v>9771</v>
      </c>
    </row>
    <row r="1061" spans="2:3" s="1" customFormat="1" x14ac:dyDescent="0.2">
      <c r="B1061" s="30"/>
      <c r="C1061" s="31">
        <v>9832</v>
      </c>
    </row>
    <row r="1062" spans="2:3" s="1" customFormat="1" x14ac:dyDescent="0.2">
      <c r="B1062" s="30"/>
      <c r="C1062" s="31">
        <v>9864</v>
      </c>
    </row>
    <row r="1063" spans="2:3" s="1" customFormat="1" x14ac:dyDescent="0.2">
      <c r="B1063" s="30"/>
      <c r="C1063" s="31">
        <v>9871</v>
      </c>
    </row>
    <row r="1064" spans="2:3" s="1" customFormat="1" x14ac:dyDescent="0.2">
      <c r="B1064" s="30"/>
      <c r="C1064" s="31">
        <v>9873</v>
      </c>
    </row>
    <row r="1065" spans="2:3" s="1" customFormat="1" x14ac:dyDescent="0.2">
      <c r="B1065" s="30"/>
      <c r="C1065" s="31">
        <v>9882</v>
      </c>
    </row>
    <row r="1066" spans="2:3" s="1" customFormat="1" x14ac:dyDescent="0.2">
      <c r="B1066" s="30"/>
      <c r="C1066" s="31">
        <v>9884</v>
      </c>
    </row>
    <row r="1067" spans="2:3" s="1" customFormat="1" x14ac:dyDescent="0.2">
      <c r="B1067" s="30"/>
      <c r="C1067" s="31">
        <v>9885</v>
      </c>
    </row>
    <row r="1068" spans="2:3" s="1" customFormat="1" x14ac:dyDescent="0.2">
      <c r="B1068" s="30"/>
      <c r="C1068" s="31">
        <v>9892</v>
      </c>
    </row>
    <row r="1069" spans="2:3" s="1" customFormat="1" x14ac:dyDescent="0.2">
      <c r="B1069" s="30"/>
      <c r="C1069" s="31">
        <v>9902</v>
      </c>
    </row>
    <row r="1070" spans="2:3" s="1" customFormat="1" x14ac:dyDescent="0.2">
      <c r="B1070" s="30"/>
      <c r="C1070" s="31">
        <v>9907</v>
      </c>
    </row>
    <row r="1071" spans="2:3" s="1" customFormat="1" x14ac:dyDescent="0.2">
      <c r="B1071" s="30"/>
      <c r="C1071" s="31">
        <v>9908</v>
      </c>
    </row>
    <row r="1072" spans="2:3" s="1" customFormat="1" x14ac:dyDescent="0.2">
      <c r="B1072" s="30"/>
      <c r="C1072" s="31">
        <v>9911</v>
      </c>
    </row>
    <row r="1073" spans="2:3" s="1" customFormat="1" x14ac:dyDescent="0.2">
      <c r="B1073" s="30"/>
      <c r="C1073" s="31">
        <v>9912</v>
      </c>
    </row>
    <row r="1074" spans="2:3" s="1" customFormat="1" x14ac:dyDescent="0.2">
      <c r="B1074" s="30"/>
      <c r="C1074" s="31">
        <v>9914</v>
      </c>
    </row>
    <row r="1075" spans="2:3" s="1" customFormat="1" x14ac:dyDescent="0.2">
      <c r="B1075" s="30"/>
      <c r="C1075" s="31">
        <v>9917</v>
      </c>
    </row>
    <row r="1076" spans="2:3" s="1" customFormat="1" x14ac:dyDescent="0.2">
      <c r="B1076" s="30"/>
      <c r="C1076" s="31">
        <v>9918</v>
      </c>
    </row>
    <row r="1077" spans="2:3" s="1" customFormat="1" x14ac:dyDescent="0.2">
      <c r="B1077" s="30"/>
      <c r="C1077" s="31">
        <v>9921</v>
      </c>
    </row>
    <row r="1078" spans="2:3" s="1" customFormat="1" x14ac:dyDescent="0.2">
      <c r="B1078" s="30"/>
      <c r="C1078" s="31">
        <v>9923</v>
      </c>
    </row>
    <row r="1079" spans="2:3" s="1" customFormat="1" x14ac:dyDescent="0.2">
      <c r="B1079" s="30"/>
      <c r="C1079" s="31">
        <v>9931</v>
      </c>
    </row>
    <row r="1080" spans="2:3" s="1" customFormat="1" x14ac:dyDescent="0.2">
      <c r="B1080" s="30"/>
      <c r="C1080" s="31">
        <v>9932</v>
      </c>
    </row>
    <row r="1081" spans="2:3" s="1" customFormat="1" x14ac:dyDescent="0.2">
      <c r="B1081" s="30"/>
      <c r="C1081" s="31">
        <v>9933</v>
      </c>
    </row>
    <row r="1082" spans="2:3" s="1" customFormat="1" x14ac:dyDescent="0.2">
      <c r="B1082" s="30"/>
      <c r="C1082" s="31">
        <v>9936</v>
      </c>
    </row>
    <row r="1083" spans="2:3" s="1" customFormat="1" x14ac:dyDescent="0.2">
      <c r="B1083" s="30"/>
      <c r="C1083" s="31">
        <v>9939</v>
      </c>
    </row>
    <row r="1084" spans="2:3" s="1" customFormat="1" x14ac:dyDescent="0.2">
      <c r="B1084" s="30"/>
      <c r="C1084" s="31">
        <v>9943</v>
      </c>
    </row>
    <row r="1085" spans="2:3" s="1" customFormat="1" x14ac:dyDescent="0.2">
      <c r="B1085" s="30"/>
      <c r="C1085" s="31">
        <v>9947</v>
      </c>
    </row>
    <row r="1086" spans="2:3" s="1" customFormat="1" x14ac:dyDescent="0.2">
      <c r="B1086" s="30"/>
      <c r="C1086" s="31">
        <v>9948</v>
      </c>
    </row>
    <row r="1087" spans="2:3" s="1" customFormat="1" x14ac:dyDescent="0.2">
      <c r="B1087" s="30"/>
      <c r="C1087" s="31">
        <v>9955</v>
      </c>
    </row>
    <row r="1088" spans="2:3" s="1" customFormat="1" x14ac:dyDescent="0.2">
      <c r="B1088" s="30"/>
      <c r="C1088" s="31">
        <v>9956</v>
      </c>
    </row>
    <row r="1089" spans="2:9" s="1" customFormat="1" x14ac:dyDescent="0.2">
      <c r="B1089" s="30"/>
      <c r="C1089" s="31">
        <v>9961</v>
      </c>
    </row>
    <row r="1090" spans="2:9" s="1" customFormat="1" x14ac:dyDescent="0.2">
      <c r="B1090" s="30"/>
      <c r="C1090" s="31">
        <v>9963</v>
      </c>
    </row>
    <row r="1091" spans="2:9" s="1" customFormat="1" x14ac:dyDescent="0.2">
      <c r="B1091" s="30"/>
      <c r="C1091" s="31">
        <v>9964</v>
      </c>
    </row>
    <row r="1092" spans="2:9" s="1" customFormat="1" x14ac:dyDescent="0.2">
      <c r="B1092" s="30"/>
      <c r="C1092" s="31">
        <v>9965</v>
      </c>
    </row>
    <row r="1093" spans="2:9" s="1" customFormat="1" x14ac:dyDescent="0.2">
      <c r="B1093" s="30"/>
      <c r="C1093" s="31">
        <v>9969</v>
      </c>
    </row>
    <row r="1094" spans="2:9" s="1" customFormat="1" x14ac:dyDescent="0.2">
      <c r="B1094" s="30"/>
      <c r="C1094" s="31">
        <v>9973</v>
      </c>
    </row>
    <row r="1095" spans="2:9" s="1" customFormat="1" x14ac:dyDescent="0.2">
      <c r="B1095" s="30"/>
      <c r="C1095" s="31">
        <v>9974</v>
      </c>
    </row>
    <row r="1096" spans="2:9" s="1" customFormat="1" x14ac:dyDescent="0.2">
      <c r="B1096" s="30"/>
      <c r="C1096" s="31">
        <v>9977</v>
      </c>
    </row>
    <row r="1097" spans="2:9" s="1" customFormat="1" x14ac:dyDescent="0.2">
      <c r="B1097" s="30"/>
      <c r="C1097" s="31">
        <v>9981</v>
      </c>
    </row>
    <row r="1098" spans="2:9" s="1" customFormat="1" x14ac:dyDescent="0.2">
      <c r="B1098" s="30"/>
      <c r="C1098" s="31">
        <v>9982</v>
      </c>
    </row>
    <row r="1099" spans="2:9" s="1" customFormat="1" x14ac:dyDescent="0.2">
      <c r="B1099" s="30"/>
      <c r="C1099" s="31">
        <v>9984</v>
      </c>
    </row>
    <row r="1100" spans="2:9" s="1" customFormat="1" x14ac:dyDescent="0.2">
      <c r="B1100" s="30"/>
      <c r="C1100" s="31">
        <v>9987</v>
      </c>
    </row>
    <row r="1101" spans="2:9" s="1" customFormat="1" x14ac:dyDescent="0.2">
      <c r="B1101" s="30"/>
      <c r="C1101" s="31">
        <v>9995</v>
      </c>
    </row>
    <row r="1102" spans="2:9" s="1" customFormat="1" x14ac:dyDescent="0.2">
      <c r="B1102" s="30"/>
      <c r="C1102" s="31">
        <v>9999</v>
      </c>
    </row>
    <row r="1103" spans="2:9" s="1" customFormat="1" x14ac:dyDescent="0.2">
      <c r="B1103" s="30"/>
    </row>
    <row r="1104" spans="2:9" x14ac:dyDescent="0.2">
      <c r="E1104" s="1"/>
      <c r="F1104" s="1"/>
      <c r="G1104" s="1"/>
      <c r="H1104" s="1"/>
      <c r="I1104" s="1"/>
    </row>
  </sheetData>
  <mergeCells count="1">
    <mergeCell ref="E136:F136"/>
  </mergeCells>
  <phoneticPr fontId="0" type="noConversion"/>
  <hyperlinks>
    <hyperlink ref="H62" r:id="rId1"/>
  </hyperlinks>
  <pageMargins left="0.74803149606299213" right="0.74803149606299213" top="0.98425196850393704" bottom="0.98425196850393704" header="0.51181102362204722" footer="0.51181102362204722"/>
  <pageSetup paperSize="9" scale="48" orientation="portrait" r:id="rId2"/>
  <headerFooter alignWithMargins="0">
    <oddHeader>&amp;L&amp;"Arial,Vet"&amp;F&amp;R&amp;"Arial,Vet"&amp;A</oddHeader>
    <oddFooter>&amp;L&amp;"Arial,Vet"PO-Raad&amp;C&amp;"Arial,Vet"&amp;D&amp;R&amp;"Arial,Vet"pagina &amp;P</oddFooter>
  </headerFooter>
  <rowBreaks count="1" manualBreakCount="1">
    <brk id="72" max="9" man="1"/>
  </rowBreaks>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36"/>
  <sheetViews>
    <sheetView zoomScale="80" zoomScaleNormal="80" workbookViewId="0"/>
  </sheetViews>
  <sheetFormatPr defaultRowHeight="12.75" x14ac:dyDescent="0.2"/>
  <cols>
    <col min="1" max="1" width="3.42578125" customWidth="1"/>
    <col min="2" max="2" width="18.28515625" customWidth="1"/>
    <col min="3" max="3" width="8.85546875" customWidth="1"/>
  </cols>
  <sheetData>
    <row r="1" spans="1:23" x14ac:dyDescent="0.2">
      <c r="A1" s="1098"/>
      <c r="B1" s="1098"/>
      <c r="C1" s="1098"/>
      <c r="D1" s="1098"/>
      <c r="E1" s="1098"/>
      <c r="F1" s="1098"/>
      <c r="G1" s="1098"/>
      <c r="H1" s="1098"/>
      <c r="I1" s="1098"/>
      <c r="J1" s="1098"/>
      <c r="K1" s="1098"/>
      <c r="L1" s="1098"/>
      <c r="M1" s="1098"/>
      <c r="N1" s="1098"/>
      <c r="O1" s="1098"/>
      <c r="P1" s="1098"/>
      <c r="Q1" s="1098"/>
      <c r="R1" s="1098"/>
      <c r="S1" s="1098"/>
      <c r="T1" s="1098"/>
      <c r="U1" s="1098"/>
      <c r="V1" s="1098"/>
      <c r="W1" s="1098"/>
    </row>
    <row r="2" spans="1:23" x14ac:dyDescent="0.2">
      <c r="A2" s="1098"/>
      <c r="B2" s="1099" t="s">
        <v>145</v>
      </c>
      <c r="C2" s="1178">
        <v>43344</v>
      </c>
      <c r="D2" s="1179"/>
      <c r="E2" s="34"/>
      <c r="F2" s="1100"/>
      <c r="G2" s="1100"/>
      <c r="H2" s="1100"/>
      <c r="I2" s="1100"/>
      <c r="J2" s="1100"/>
      <c r="K2" s="1100"/>
      <c r="L2" s="1100"/>
      <c r="M2" s="1100"/>
      <c r="N2" s="1100"/>
      <c r="O2" s="1100"/>
      <c r="P2" s="1100"/>
      <c r="Q2" s="1100"/>
      <c r="R2" s="1100"/>
      <c r="S2" s="1100"/>
      <c r="T2" s="1100"/>
      <c r="U2" s="1100"/>
      <c r="V2" s="1100"/>
      <c r="W2" s="1100"/>
    </row>
    <row r="3" spans="1:23" x14ac:dyDescent="0.2">
      <c r="A3" s="1098"/>
      <c r="B3" s="34" t="s">
        <v>146</v>
      </c>
      <c r="C3" s="1101">
        <v>1</v>
      </c>
      <c r="D3" s="1101">
        <v>2</v>
      </c>
      <c r="E3" s="1101">
        <v>3</v>
      </c>
      <c r="F3" s="1101">
        <v>4</v>
      </c>
      <c r="G3" s="1101">
        <v>5</v>
      </c>
      <c r="H3" s="1101">
        <v>6</v>
      </c>
      <c r="I3" s="1101">
        <v>7</v>
      </c>
      <c r="J3" s="1101">
        <v>8</v>
      </c>
      <c r="K3" s="1101">
        <v>9</v>
      </c>
      <c r="L3" s="1101">
        <v>10</v>
      </c>
      <c r="M3" s="1101">
        <v>11</v>
      </c>
      <c r="N3" s="1101">
        <v>12</v>
      </c>
      <c r="O3" s="1101">
        <v>13</v>
      </c>
      <c r="P3" s="1101">
        <v>14</v>
      </c>
      <c r="Q3" s="1101">
        <v>15</v>
      </c>
      <c r="R3" s="1101">
        <v>16</v>
      </c>
      <c r="S3" s="1101">
        <v>17</v>
      </c>
      <c r="T3" s="1101">
        <v>18</v>
      </c>
      <c r="U3" s="1101">
        <v>19</v>
      </c>
      <c r="V3" s="1101">
        <v>20</v>
      </c>
      <c r="W3" s="1101" t="s">
        <v>147</v>
      </c>
    </row>
    <row r="4" spans="1:23" x14ac:dyDescent="0.2">
      <c r="A4" s="1098"/>
      <c r="B4" s="1102" t="s">
        <v>130</v>
      </c>
      <c r="C4" s="675">
        <v>2648</v>
      </c>
      <c r="D4" s="675">
        <v>2766</v>
      </c>
      <c r="E4" s="675">
        <v>2895</v>
      </c>
      <c r="F4" s="675">
        <v>3036</v>
      </c>
      <c r="G4" s="675">
        <v>3157</v>
      </c>
      <c r="H4" s="675">
        <v>3282</v>
      </c>
      <c r="I4" s="675">
        <v>3397</v>
      </c>
      <c r="J4" s="675">
        <v>3514</v>
      </c>
      <c r="K4" s="675">
        <v>3639</v>
      </c>
      <c r="L4" s="675">
        <v>3755</v>
      </c>
      <c r="M4" s="675">
        <v>3867</v>
      </c>
      <c r="N4" s="675">
        <v>3982</v>
      </c>
      <c r="O4" s="675">
        <v>4176</v>
      </c>
      <c r="P4" s="675"/>
      <c r="Q4" s="675"/>
      <c r="R4" s="675"/>
      <c r="S4" s="675"/>
      <c r="T4" s="675"/>
      <c r="U4" s="675"/>
      <c r="V4" s="675"/>
      <c r="W4" s="1103">
        <f t="shared" ref="W4:W22" si="0">COUNTA(C4:V4)</f>
        <v>13</v>
      </c>
    </row>
    <row r="5" spans="1:23" x14ac:dyDescent="0.2">
      <c r="A5" s="1098"/>
      <c r="B5" s="1102" t="s">
        <v>131</v>
      </c>
      <c r="C5" s="675">
        <v>2704</v>
      </c>
      <c r="D5" s="675">
        <v>2835</v>
      </c>
      <c r="E5" s="675">
        <v>2973</v>
      </c>
      <c r="F5" s="675">
        <v>3098</v>
      </c>
      <c r="G5" s="675">
        <v>3220</v>
      </c>
      <c r="H5" s="675">
        <v>3338</v>
      </c>
      <c r="I5" s="675">
        <v>3453</v>
      </c>
      <c r="J5" s="675">
        <v>3580</v>
      </c>
      <c r="K5" s="675">
        <v>3694</v>
      </c>
      <c r="L5" s="675">
        <v>3808</v>
      </c>
      <c r="M5" s="675">
        <v>3923</v>
      </c>
      <c r="N5" s="675">
        <v>4048</v>
      </c>
      <c r="O5" s="675">
        <v>4176</v>
      </c>
      <c r="P5" s="675">
        <v>4297</v>
      </c>
      <c r="Q5" s="675">
        <v>4416</v>
      </c>
      <c r="R5" s="675">
        <v>4533</v>
      </c>
      <c r="S5" s="675">
        <v>4649</v>
      </c>
      <c r="T5" s="675">
        <v>4709</v>
      </c>
      <c r="U5" s="675"/>
      <c r="V5" s="675"/>
      <c r="W5" s="1103">
        <f t="shared" si="0"/>
        <v>18</v>
      </c>
    </row>
    <row r="6" spans="1:23" x14ac:dyDescent="0.2">
      <c r="A6" s="1098"/>
      <c r="B6" s="1102" t="s">
        <v>132</v>
      </c>
      <c r="C6" s="675">
        <v>2835</v>
      </c>
      <c r="D6" s="675">
        <v>2973</v>
      </c>
      <c r="E6" s="675">
        <v>3220</v>
      </c>
      <c r="F6" s="675">
        <v>3453</v>
      </c>
      <c r="G6" s="675">
        <v>3580</v>
      </c>
      <c r="H6" s="675">
        <v>3694</v>
      </c>
      <c r="I6" s="675">
        <v>3808</v>
      </c>
      <c r="J6" s="675">
        <v>3923</v>
      </c>
      <c r="K6" s="675">
        <v>4048</v>
      </c>
      <c r="L6" s="675">
        <v>4176</v>
      </c>
      <c r="M6" s="675">
        <v>4297</v>
      </c>
      <c r="N6" s="675">
        <v>4416</v>
      </c>
      <c r="O6" s="675">
        <v>4533</v>
      </c>
      <c r="P6" s="675">
        <v>4649</v>
      </c>
      <c r="Q6" s="675">
        <v>4770</v>
      </c>
      <c r="R6" s="675">
        <v>4890</v>
      </c>
      <c r="S6" s="675">
        <v>5003</v>
      </c>
      <c r="T6" s="675">
        <v>5123</v>
      </c>
      <c r="U6" s="675">
        <v>5272</v>
      </c>
      <c r="V6" s="675">
        <v>5345</v>
      </c>
      <c r="W6" s="1103">
        <f t="shared" si="0"/>
        <v>20</v>
      </c>
    </row>
    <row r="7" spans="1:23" x14ac:dyDescent="0.2">
      <c r="A7" s="1098"/>
      <c r="B7" s="1102" t="s">
        <v>135</v>
      </c>
      <c r="C7" s="675">
        <v>2973</v>
      </c>
      <c r="D7" s="675">
        <v>3220</v>
      </c>
      <c r="E7" s="675">
        <v>3453</v>
      </c>
      <c r="F7" s="675">
        <v>3694</v>
      </c>
      <c r="G7" s="675">
        <v>3923</v>
      </c>
      <c r="H7" s="675">
        <v>4176</v>
      </c>
      <c r="I7" s="675">
        <v>4297</v>
      </c>
      <c r="J7" s="675">
        <v>4416</v>
      </c>
      <c r="K7" s="675">
        <v>4533</v>
      </c>
      <c r="L7" s="675">
        <v>4649</v>
      </c>
      <c r="M7" s="675">
        <v>4770</v>
      </c>
      <c r="N7" s="675">
        <v>4890</v>
      </c>
      <c r="O7" s="675">
        <v>5003</v>
      </c>
      <c r="P7" s="675">
        <v>5123</v>
      </c>
      <c r="Q7" s="675">
        <v>5272</v>
      </c>
      <c r="R7" s="675">
        <v>5420</v>
      </c>
      <c r="S7" s="675">
        <v>5569</v>
      </c>
      <c r="T7" s="675">
        <v>5718</v>
      </c>
      <c r="U7" s="675">
        <v>5789</v>
      </c>
      <c r="V7" s="675"/>
      <c r="W7" s="1103">
        <f t="shared" si="0"/>
        <v>19</v>
      </c>
    </row>
    <row r="8" spans="1:23" x14ac:dyDescent="0.2">
      <c r="A8" s="1098"/>
      <c r="B8" s="1102" t="s">
        <v>123</v>
      </c>
      <c r="C8" s="675">
        <v>2888</v>
      </c>
      <c r="D8" s="675">
        <v>2999</v>
      </c>
      <c r="E8" s="675">
        <v>3113</v>
      </c>
      <c r="F8" s="675">
        <v>3223</v>
      </c>
      <c r="G8" s="675">
        <v>3334</v>
      </c>
      <c r="H8" s="675">
        <v>3447</v>
      </c>
      <c r="I8" s="675">
        <v>3559</v>
      </c>
      <c r="J8" s="675">
        <v>3671</v>
      </c>
      <c r="K8" s="675">
        <v>3781</v>
      </c>
      <c r="L8" s="675">
        <v>3893</v>
      </c>
      <c r="M8" s="675">
        <v>4007</v>
      </c>
      <c r="N8" s="675">
        <v>4118</v>
      </c>
      <c r="O8" s="675">
        <v>4231</v>
      </c>
      <c r="P8" s="675"/>
      <c r="Q8" s="675"/>
      <c r="R8" s="675"/>
      <c r="S8" s="675"/>
      <c r="T8" s="675"/>
      <c r="U8" s="1019"/>
      <c r="V8" s="1019"/>
      <c r="W8" s="1103">
        <f t="shared" si="0"/>
        <v>13</v>
      </c>
    </row>
    <row r="9" spans="1:23" x14ac:dyDescent="0.2">
      <c r="A9" s="1098"/>
      <c r="B9" s="1102" t="s">
        <v>124</v>
      </c>
      <c r="C9" s="675">
        <v>2999</v>
      </c>
      <c r="D9" s="675">
        <v>3223</v>
      </c>
      <c r="E9" s="675">
        <v>3447</v>
      </c>
      <c r="F9" s="675">
        <v>3559</v>
      </c>
      <c r="G9" s="675">
        <v>3671</v>
      </c>
      <c r="H9" s="675">
        <v>3781</v>
      </c>
      <c r="I9" s="675">
        <v>3893</v>
      </c>
      <c r="J9" s="675">
        <v>4007</v>
      </c>
      <c r="K9" s="675">
        <v>4118</v>
      </c>
      <c r="L9" s="675">
        <v>4231</v>
      </c>
      <c r="M9" s="675">
        <v>4344</v>
      </c>
      <c r="N9" s="675">
        <v>4454</v>
      </c>
      <c r="O9" s="675">
        <v>4566</v>
      </c>
      <c r="P9" s="675">
        <v>4676</v>
      </c>
      <c r="Q9" s="675">
        <v>4791</v>
      </c>
      <c r="R9" s="675"/>
      <c r="S9" s="675"/>
      <c r="T9" s="675"/>
      <c r="U9" s="1019"/>
      <c r="V9" s="1019"/>
      <c r="W9" s="1103">
        <f t="shared" si="0"/>
        <v>15</v>
      </c>
    </row>
    <row r="10" spans="1:23" x14ac:dyDescent="0.2">
      <c r="A10" s="1098"/>
      <c r="B10" s="1102" t="s">
        <v>148</v>
      </c>
      <c r="C10" s="675">
        <v>2999</v>
      </c>
      <c r="D10" s="675">
        <v>3223</v>
      </c>
      <c r="E10" s="675">
        <v>3447</v>
      </c>
      <c r="F10" s="675">
        <v>3559</v>
      </c>
      <c r="G10" s="675">
        <v>3671</v>
      </c>
      <c r="H10" s="675">
        <v>3781</v>
      </c>
      <c r="I10" s="675">
        <v>3893</v>
      </c>
      <c r="J10" s="675">
        <v>4007</v>
      </c>
      <c r="K10" s="675">
        <v>4118</v>
      </c>
      <c r="L10" s="675">
        <v>4231</v>
      </c>
      <c r="M10" s="675">
        <v>4344</v>
      </c>
      <c r="N10" s="675">
        <v>4454</v>
      </c>
      <c r="O10" s="675">
        <v>4566</v>
      </c>
      <c r="P10" s="675">
        <v>4676</v>
      </c>
      <c r="Q10" s="675">
        <v>4791</v>
      </c>
      <c r="R10" s="675">
        <v>4902</v>
      </c>
      <c r="S10" s="675">
        <v>5014</v>
      </c>
      <c r="T10" s="675"/>
      <c r="U10" s="1019"/>
      <c r="V10" s="1019"/>
      <c r="W10" s="1103">
        <f t="shared" si="0"/>
        <v>17</v>
      </c>
    </row>
    <row r="11" spans="1:23" x14ac:dyDescent="0.2">
      <c r="A11" s="1098"/>
      <c r="B11" s="1102" t="s">
        <v>125</v>
      </c>
      <c r="C11" s="675">
        <v>3113</v>
      </c>
      <c r="D11" s="675">
        <v>3447</v>
      </c>
      <c r="E11" s="675">
        <v>3671</v>
      </c>
      <c r="F11" s="675">
        <v>3893</v>
      </c>
      <c r="G11" s="675">
        <v>4118</v>
      </c>
      <c r="H11" s="675">
        <v>4231</v>
      </c>
      <c r="I11" s="675">
        <v>4344</v>
      </c>
      <c r="J11" s="675">
        <v>4454</v>
      </c>
      <c r="K11" s="675">
        <v>4566</v>
      </c>
      <c r="L11" s="675">
        <v>4676</v>
      </c>
      <c r="M11" s="675">
        <v>4791</v>
      </c>
      <c r="N11" s="675">
        <v>4902</v>
      </c>
      <c r="O11" s="675">
        <v>5014</v>
      </c>
      <c r="P11" s="675">
        <v>5124</v>
      </c>
      <c r="Q11" s="675">
        <v>5236</v>
      </c>
      <c r="R11" s="675">
        <v>5350</v>
      </c>
      <c r="S11" s="675"/>
      <c r="T11" s="675"/>
      <c r="U11" s="1019"/>
      <c r="V11" s="1019"/>
      <c r="W11" s="1103">
        <f t="shared" si="0"/>
        <v>16</v>
      </c>
    </row>
    <row r="12" spans="1:23" x14ac:dyDescent="0.2">
      <c r="A12" s="1098"/>
      <c r="B12" s="1102" t="s">
        <v>149</v>
      </c>
      <c r="C12" s="675">
        <v>3113</v>
      </c>
      <c r="D12" s="675">
        <v>3447</v>
      </c>
      <c r="E12" s="675">
        <v>3671</v>
      </c>
      <c r="F12" s="675">
        <v>3893</v>
      </c>
      <c r="G12" s="675">
        <v>4118</v>
      </c>
      <c r="H12" s="675">
        <v>4231</v>
      </c>
      <c r="I12" s="675">
        <v>4344</v>
      </c>
      <c r="J12" s="675">
        <v>4454</v>
      </c>
      <c r="K12" s="675">
        <v>4566</v>
      </c>
      <c r="L12" s="675">
        <v>4676</v>
      </c>
      <c r="M12" s="675">
        <v>4791</v>
      </c>
      <c r="N12" s="675">
        <v>4902</v>
      </c>
      <c r="O12" s="675">
        <v>5014</v>
      </c>
      <c r="P12" s="675">
        <v>5124</v>
      </c>
      <c r="Q12" s="675">
        <v>5236</v>
      </c>
      <c r="R12" s="675">
        <v>5350</v>
      </c>
      <c r="S12" s="675">
        <v>5461</v>
      </c>
      <c r="T12" s="675">
        <v>5572</v>
      </c>
      <c r="U12" s="1019"/>
      <c r="V12" s="1019"/>
      <c r="W12" s="1103">
        <f t="shared" si="0"/>
        <v>18</v>
      </c>
    </row>
    <row r="13" spans="1:23" x14ac:dyDescent="0.2">
      <c r="A13" s="1098"/>
      <c r="B13" s="1102" t="s">
        <v>133</v>
      </c>
      <c r="C13" s="675">
        <v>3160</v>
      </c>
      <c r="D13" s="675">
        <v>3392</v>
      </c>
      <c r="E13" s="675">
        <v>3630</v>
      </c>
      <c r="F13" s="675">
        <v>3857</v>
      </c>
      <c r="G13" s="675">
        <v>4109</v>
      </c>
      <c r="H13" s="675">
        <v>4231</v>
      </c>
      <c r="I13" s="675">
        <v>4348</v>
      </c>
      <c r="J13" s="675">
        <v>4467</v>
      </c>
      <c r="K13" s="675">
        <v>4580</v>
      </c>
      <c r="L13" s="675">
        <v>4702</v>
      </c>
      <c r="M13" s="675">
        <v>4820</v>
      </c>
      <c r="N13" s="675">
        <v>4934</v>
      </c>
      <c r="O13" s="675">
        <v>5052</v>
      </c>
      <c r="P13" s="675">
        <v>5200</v>
      </c>
      <c r="Q13" s="675">
        <v>5349</v>
      </c>
      <c r="R13" s="675">
        <v>5496</v>
      </c>
      <c r="S13" s="675">
        <v>5644</v>
      </c>
      <c r="T13" s="675">
        <v>5715</v>
      </c>
      <c r="U13" s="1019"/>
      <c r="V13" s="1019"/>
      <c r="W13" s="1103">
        <f t="shared" si="0"/>
        <v>18</v>
      </c>
    </row>
    <row r="14" spans="1:23" x14ac:dyDescent="0.2">
      <c r="A14" s="1098"/>
      <c r="B14" s="1102" t="s">
        <v>134</v>
      </c>
      <c r="C14" s="675">
        <v>3276</v>
      </c>
      <c r="D14" s="675">
        <v>3517</v>
      </c>
      <c r="E14" s="675">
        <v>3744</v>
      </c>
      <c r="F14" s="675">
        <v>3983</v>
      </c>
      <c r="G14" s="675">
        <v>4231</v>
      </c>
      <c r="H14" s="675">
        <v>4467</v>
      </c>
      <c r="I14" s="675">
        <v>4702</v>
      </c>
      <c r="J14" s="675">
        <v>4820</v>
      </c>
      <c r="K14" s="675">
        <v>4934</v>
      </c>
      <c r="L14" s="675">
        <v>5052</v>
      </c>
      <c r="M14" s="675">
        <v>5200</v>
      </c>
      <c r="N14" s="675">
        <v>5349</v>
      </c>
      <c r="O14" s="675">
        <v>5496</v>
      </c>
      <c r="P14" s="675">
        <v>5644</v>
      </c>
      <c r="Q14" s="675">
        <v>5794</v>
      </c>
      <c r="R14" s="675">
        <v>5951</v>
      </c>
      <c r="S14" s="675">
        <v>6111</v>
      </c>
      <c r="T14" s="675">
        <v>6276</v>
      </c>
      <c r="U14" s="1019"/>
      <c r="V14" s="1019"/>
      <c r="W14" s="1103">
        <f>COUNTA(C14:V14)</f>
        <v>18</v>
      </c>
    </row>
    <row r="15" spans="1:23" x14ac:dyDescent="0.2">
      <c r="A15" s="1098"/>
      <c r="B15" s="2" t="s">
        <v>152</v>
      </c>
      <c r="C15" s="1019">
        <v>1594.2</v>
      </c>
      <c r="D15" s="1019">
        <v>1610</v>
      </c>
      <c r="E15" s="1019">
        <v>1677</v>
      </c>
      <c r="F15" s="1019">
        <v>1707</v>
      </c>
      <c r="G15" s="1019">
        <v>1742</v>
      </c>
      <c r="H15" s="1019">
        <v>1778</v>
      </c>
      <c r="I15" s="1019">
        <v>1825</v>
      </c>
      <c r="J15" s="1019"/>
      <c r="K15" s="1023"/>
      <c r="L15" s="1023"/>
      <c r="M15" s="1023"/>
      <c r="N15" s="1023"/>
      <c r="O15" s="1023"/>
      <c r="P15" s="1023"/>
      <c r="Q15" s="1023"/>
      <c r="R15" s="1023"/>
      <c r="S15" s="1023"/>
      <c r="T15" s="1023"/>
      <c r="U15" s="1023"/>
      <c r="V15" s="1019"/>
      <c r="W15" s="1103">
        <f t="shared" si="0"/>
        <v>7</v>
      </c>
    </row>
    <row r="16" spans="1:23" x14ac:dyDescent="0.2">
      <c r="A16" s="1098"/>
      <c r="B16" s="1100" t="s">
        <v>162</v>
      </c>
      <c r="C16" s="1019">
        <v>1594.2</v>
      </c>
      <c r="D16" s="1019">
        <v>1644</v>
      </c>
      <c r="E16" s="1019">
        <v>1707</v>
      </c>
      <c r="F16" s="1019">
        <v>1778</v>
      </c>
      <c r="G16" s="1019">
        <v>1825</v>
      </c>
      <c r="H16" s="1019">
        <v>1878</v>
      </c>
      <c r="I16" s="1019">
        <v>1944</v>
      </c>
      <c r="J16" s="1019">
        <v>2006</v>
      </c>
      <c r="K16" s="1023"/>
      <c r="L16" s="1023"/>
      <c r="M16" s="1023"/>
      <c r="N16" s="1023"/>
      <c r="O16" s="1023"/>
      <c r="P16" s="1023"/>
      <c r="Q16" s="1023"/>
      <c r="R16" s="1023"/>
      <c r="S16" s="1023"/>
      <c r="T16" s="1023"/>
      <c r="U16" s="1023"/>
      <c r="V16" s="1019"/>
      <c r="W16" s="1103">
        <f t="shared" si="0"/>
        <v>8</v>
      </c>
    </row>
    <row r="17" spans="1:23" x14ac:dyDescent="0.2">
      <c r="A17" s="1098"/>
      <c r="B17" s="1100" t="s">
        <v>153</v>
      </c>
      <c r="C17" s="1019">
        <v>1594.2</v>
      </c>
      <c r="D17" s="1019">
        <v>1707</v>
      </c>
      <c r="E17" s="1019">
        <v>1778</v>
      </c>
      <c r="F17" s="1019">
        <v>1878</v>
      </c>
      <c r="G17" s="1019">
        <v>1944</v>
      </c>
      <c r="H17" s="1019">
        <v>2006</v>
      </c>
      <c r="I17" s="1019">
        <v>2067</v>
      </c>
      <c r="J17" s="1019"/>
      <c r="K17" s="1023"/>
      <c r="L17" s="1023"/>
      <c r="M17" s="1023"/>
      <c r="N17" s="1023"/>
      <c r="O17" s="1023"/>
      <c r="P17" s="1023"/>
      <c r="Q17" s="1023"/>
      <c r="R17" s="1023"/>
      <c r="S17" s="1023"/>
      <c r="T17" s="1023"/>
      <c r="U17" s="1023"/>
      <c r="V17" s="1019"/>
      <c r="W17" s="1103">
        <f t="shared" si="0"/>
        <v>7</v>
      </c>
    </row>
    <row r="18" spans="1:23" x14ac:dyDescent="0.2">
      <c r="A18" s="1098"/>
      <c r="B18" s="1102" t="s">
        <v>550</v>
      </c>
      <c r="C18" s="675">
        <v>2563</v>
      </c>
      <c r="D18" s="675">
        <v>2638</v>
      </c>
      <c r="E18" s="675">
        <v>2715</v>
      </c>
      <c r="F18" s="675">
        <v>2795</v>
      </c>
      <c r="G18" s="675">
        <v>2877</v>
      </c>
      <c r="H18" s="675">
        <v>2962</v>
      </c>
      <c r="I18" s="675">
        <v>3049</v>
      </c>
      <c r="J18" s="675">
        <v>3139</v>
      </c>
      <c r="K18" s="675">
        <v>3231</v>
      </c>
      <c r="L18" s="675">
        <v>3326</v>
      </c>
      <c r="M18" s="675">
        <v>3424</v>
      </c>
      <c r="N18" s="675">
        <v>3524</v>
      </c>
      <c r="O18" s="675">
        <v>3629</v>
      </c>
      <c r="P18" s="675">
        <v>3735</v>
      </c>
      <c r="Q18" s="675">
        <v>3875</v>
      </c>
      <c r="R18" s="1023"/>
      <c r="S18" s="1023"/>
      <c r="T18" s="1023"/>
      <c r="U18" s="1023"/>
      <c r="V18" s="1019"/>
      <c r="W18" s="1103">
        <f t="shared" si="0"/>
        <v>15</v>
      </c>
    </row>
    <row r="19" spans="1:23" x14ac:dyDescent="0.2">
      <c r="A19" s="1098"/>
      <c r="B19" s="1102" t="s">
        <v>551</v>
      </c>
      <c r="C19" s="675">
        <v>2639</v>
      </c>
      <c r="D19" s="675">
        <v>2729</v>
      </c>
      <c r="E19" s="675">
        <v>2821</v>
      </c>
      <c r="F19" s="675">
        <v>2916</v>
      </c>
      <c r="G19" s="675">
        <v>3015</v>
      </c>
      <c r="H19" s="675">
        <v>3117</v>
      </c>
      <c r="I19" s="675">
        <v>3222</v>
      </c>
      <c r="J19" s="675">
        <v>3331</v>
      </c>
      <c r="K19" s="675">
        <v>3443</v>
      </c>
      <c r="L19" s="675">
        <v>3560</v>
      </c>
      <c r="M19" s="675">
        <v>3680</v>
      </c>
      <c r="N19" s="675">
        <v>3805</v>
      </c>
      <c r="O19" s="675">
        <v>3933</v>
      </c>
      <c r="P19" s="675">
        <v>4066</v>
      </c>
      <c r="Q19" s="675">
        <v>4228</v>
      </c>
      <c r="R19" s="1023"/>
      <c r="S19" s="1023"/>
      <c r="T19" s="1023"/>
      <c r="U19" s="1023"/>
      <c r="V19" s="1019"/>
      <c r="W19" s="1103">
        <f t="shared" si="0"/>
        <v>15</v>
      </c>
    </row>
    <row r="20" spans="1:23" x14ac:dyDescent="0.2">
      <c r="A20" s="1098"/>
      <c r="B20" s="1102" t="s">
        <v>552</v>
      </c>
      <c r="C20" s="675">
        <v>2691</v>
      </c>
      <c r="D20" s="675">
        <v>2806</v>
      </c>
      <c r="E20" s="675">
        <v>2927</v>
      </c>
      <c r="F20" s="675">
        <v>3052</v>
      </c>
      <c r="G20" s="675">
        <v>3184</v>
      </c>
      <c r="H20" s="675">
        <v>3321</v>
      </c>
      <c r="I20" s="675">
        <v>3463</v>
      </c>
      <c r="J20" s="675">
        <v>3613</v>
      </c>
      <c r="K20" s="675">
        <v>3768</v>
      </c>
      <c r="L20" s="675">
        <v>3930</v>
      </c>
      <c r="M20" s="675">
        <v>4099</v>
      </c>
      <c r="N20" s="675">
        <v>4275</v>
      </c>
      <c r="O20" s="675">
        <v>4460</v>
      </c>
      <c r="P20" s="675">
        <v>4651</v>
      </c>
      <c r="Q20" s="675">
        <v>4851</v>
      </c>
      <c r="R20" s="1023"/>
      <c r="S20" s="1023"/>
      <c r="T20" s="1023"/>
      <c r="U20" s="1023"/>
      <c r="V20" s="1019"/>
      <c r="W20" s="1103">
        <f t="shared" si="0"/>
        <v>15</v>
      </c>
    </row>
    <row r="21" spans="1:23" x14ac:dyDescent="0.2">
      <c r="A21" s="1098"/>
      <c r="B21" s="1102" t="s">
        <v>553</v>
      </c>
      <c r="C21" s="675">
        <v>2691</v>
      </c>
      <c r="D21" s="675">
        <v>2806</v>
      </c>
      <c r="E21" s="675">
        <v>2961</v>
      </c>
      <c r="F21" s="675">
        <v>3124</v>
      </c>
      <c r="G21" s="675">
        <v>3288</v>
      </c>
      <c r="H21" s="675">
        <v>3459</v>
      </c>
      <c r="I21" s="675">
        <v>3637</v>
      </c>
      <c r="J21" s="675">
        <v>3817</v>
      </c>
      <c r="K21" s="675">
        <v>4007</v>
      </c>
      <c r="L21" s="675">
        <v>4204</v>
      </c>
      <c r="M21" s="675">
        <v>4406</v>
      </c>
      <c r="N21" s="675">
        <v>4616</v>
      </c>
      <c r="O21" s="675">
        <v>4833</v>
      </c>
      <c r="P21" s="675">
        <v>5055</v>
      </c>
      <c r="Q21" s="675">
        <v>5294</v>
      </c>
      <c r="R21" s="1023"/>
      <c r="S21" s="1023"/>
      <c r="T21" s="1023"/>
      <c r="U21" s="1023"/>
      <c r="V21" s="1019"/>
      <c r="W21" s="1103">
        <f t="shared" si="0"/>
        <v>15</v>
      </c>
    </row>
    <row r="22" spans="1:23" x14ac:dyDescent="0.2">
      <c r="A22" s="1098"/>
      <c r="B22" s="1102" t="s">
        <v>554</v>
      </c>
      <c r="C22" s="675">
        <v>3392</v>
      </c>
      <c r="D22" s="675">
        <v>3519</v>
      </c>
      <c r="E22" s="675">
        <v>3633</v>
      </c>
      <c r="F22" s="675">
        <v>3861</v>
      </c>
      <c r="G22" s="675">
        <v>4114</v>
      </c>
      <c r="H22" s="675">
        <v>4273</v>
      </c>
      <c r="I22" s="675">
        <v>4435</v>
      </c>
      <c r="J22" s="675">
        <v>4596</v>
      </c>
      <c r="K22" s="675">
        <v>4758</v>
      </c>
      <c r="L22" s="675">
        <v>4918</v>
      </c>
      <c r="M22" s="675">
        <v>5081</v>
      </c>
      <c r="N22" s="675">
        <v>5243</v>
      </c>
      <c r="O22" s="675">
        <v>5405</v>
      </c>
      <c r="P22" s="675">
        <v>5566</v>
      </c>
      <c r="Q22" s="675">
        <v>5732</v>
      </c>
      <c r="R22" s="1023"/>
      <c r="S22" s="1023"/>
      <c r="T22" s="1023"/>
      <c r="U22" s="1023"/>
      <c r="V22" s="1019"/>
      <c r="W22" s="1103">
        <f t="shared" si="0"/>
        <v>15</v>
      </c>
    </row>
    <row r="23" spans="1:23" x14ac:dyDescent="0.2">
      <c r="A23" s="1098"/>
      <c r="B23" s="1100" t="s">
        <v>150</v>
      </c>
      <c r="C23" s="1019">
        <f>0.5*C18</f>
        <v>1281.5</v>
      </c>
      <c r="D23" s="1020"/>
      <c r="E23" s="1020"/>
      <c r="F23" s="1020"/>
      <c r="G23" s="1020"/>
      <c r="H23" s="1020"/>
      <c r="I23" s="1020"/>
      <c r="J23" s="1020"/>
      <c r="K23" s="1020"/>
      <c r="L23" s="1020"/>
      <c r="M23" s="1020"/>
      <c r="N23" s="1020"/>
      <c r="O23" s="1020"/>
      <c r="P23" s="1020"/>
      <c r="Q23" s="1020"/>
      <c r="R23" s="1023"/>
      <c r="S23" s="1024"/>
      <c r="T23" s="1024"/>
      <c r="U23" s="1024"/>
      <c r="V23" s="1020"/>
      <c r="W23" s="1103">
        <f t="shared" ref="W23:W45" si="1">COUNTA(C23:V23)</f>
        <v>1</v>
      </c>
    </row>
    <row r="24" spans="1:23" x14ac:dyDescent="0.2">
      <c r="A24" s="1098"/>
      <c r="B24" s="1100" t="s">
        <v>151</v>
      </c>
      <c r="C24" s="1019">
        <f>0.5*C19</f>
        <v>1319.5</v>
      </c>
      <c r="D24" s="1020"/>
      <c r="E24" s="1020"/>
      <c r="F24" s="1020"/>
      <c r="G24" s="1020"/>
      <c r="H24" s="1020"/>
      <c r="I24" s="1020"/>
      <c r="J24" s="1020"/>
      <c r="K24" s="1020"/>
      <c r="L24" s="1020"/>
      <c r="M24" s="1020"/>
      <c r="N24" s="1020"/>
      <c r="O24" s="1020"/>
      <c r="P24" s="1020"/>
      <c r="Q24" s="1020"/>
      <c r="R24" s="1023"/>
      <c r="S24" s="1024"/>
      <c r="T24" s="1024"/>
      <c r="U24" s="1024"/>
      <c r="V24" s="1020"/>
      <c r="W24" s="1103">
        <f t="shared" si="1"/>
        <v>1</v>
      </c>
    </row>
    <row r="25" spans="1:23" x14ac:dyDescent="0.2">
      <c r="A25" s="1098"/>
      <c r="B25" s="1104" t="s">
        <v>335</v>
      </c>
      <c r="C25" s="675">
        <v>2888</v>
      </c>
      <c r="D25" s="675">
        <v>2999</v>
      </c>
      <c r="E25" s="675">
        <v>3113</v>
      </c>
      <c r="F25" s="675">
        <v>3223</v>
      </c>
      <c r="G25" s="675">
        <v>3334</v>
      </c>
      <c r="H25" s="675">
        <v>3447</v>
      </c>
      <c r="I25" s="675">
        <v>3559</v>
      </c>
      <c r="J25" s="675">
        <v>3671</v>
      </c>
      <c r="K25" s="675">
        <v>3781</v>
      </c>
      <c r="L25" s="675">
        <v>3893</v>
      </c>
      <c r="M25" s="675">
        <v>4007</v>
      </c>
      <c r="N25" s="675"/>
      <c r="O25" s="675"/>
      <c r="P25" s="675"/>
      <c r="Q25" s="675"/>
      <c r="R25" s="1023"/>
      <c r="S25" s="1023"/>
      <c r="T25" s="1023"/>
      <c r="U25" s="1023"/>
      <c r="V25" s="1019"/>
      <c r="W25" s="1103">
        <f t="shared" si="1"/>
        <v>11</v>
      </c>
    </row>
    <row r="26" spans="1:23" x14ac:dyDescent="0.2">
      <c r="A26" s="1098"/>
      <c r="B26" s="1104" t="s">
        <v>329</v>
      </c>
      <c r="C26" s="675">
        <v>2999</v>
      </c>
      <c r="D26" s="675">
        <v>3223</v>
      </c>
      <c r="E26" s="675">
        <v>3447</v>
      </c>
      <c r="F26" s="675">
        <v>3559</v>
      </c>
      <c r="G26" s="675">
        <v>3671</v>
      </c>
      <c r="H26" s="675">
        <v>3781</v>
      </c>
      <c r="I26" s="675">
        <v>3893</v>
      </c>
      <c r="J26" s="675">
        <v>4007</v>
      </c>
      <c r="K26" s="675">
        <v>4118</v>
      </c>
      <c r="L26" s="675">
        <v>4231</v>
      </c>
      <c r="M26" s="675"/>
      <c r="N26" s="675"/>
      <c r="O26" s="675"/>
      <c r="P26" s="675"/>
      <c r="Q26" s="675"/>
      <c r="R26" s="1023"/>
      <c r="S26" s="1023"/>
      <c r="T26" s="1023"/>
      <c r="U26" s="1023"/>
      <c r="V26" s="1019"/>
      <c r="W26" s="1103">
        <f t="shared" si="1"/>
        <v>10</v>
      </c>
    </row>
    <row r="27" spans="1:23" x14ac:dyDescent="0.2">
      <c r="A27" s="1098"/>
      <c r="B27" s="1104" t="s">
        <v>330</v>
      </c>
      <c r="C27" s="675">
        <v>2999</v>
      </c>
      <c r="D27" s="675">
        <v>3223</v>
      </c>
      <c r="E27" s="675">
        <v>3447</v>
      </c>
      <c r="F27" s="675">
        <v>3559</v>
      </c>
      <c r="G27" s="675">
        <v>3671</v>
      </c>
      <c r="H27" s="675">
        <v>3781</v>
      </c>
      <c r="I27" s="675">
        <v>3893</v>
      </c>
      <c r="J27" s="675">
        <v>4007</v>
      </c>
      <c r="K27" s="675">
        <v>4118</v>
      </c>
      <c r="L27" s="675">
        <v>4231</v>
      </c>
      <c r="M27" s="675">
        <v>4344</v>
      </c>
      <c r="N27" s="675"/>
      <c r="O27" s="675"/>
      <c r="P27" s="675"/>
      <c r="Q27" s="675"/>
      <c r="R27" s="1023"/>
      <c r="S27" s="1023"/>
      <c r="T27" s="1023"/>
      <c r="U27" s="1023"/>
      <c r="V27" s="1019"/>
      <c r="W27" s="1103">
        <f t="shared" si="1"/>
        <v>11</v>
      </c>
    </row>
    <row r="28" spans="1:23" x14ac:dyDescent="0.2">
      <c r="A28" s="1098"/>
      <c r="B28" s="1104" t="s">
        <v>555</v>
      </c>
      <c r="C28" s="675">
        <v>3113</v>
      </c>
      <c r="D28" s="675">
        <v>3447</v>
      </c>
      <c r="E28" s="675">
        <v>3671</v>
      </c>
      <c r="F28" s="675">
        <v>3893</v>
      </c>
      <c r="G28" s="675">
        <v>4118</v>
      </c>
      <c r="H28" s="675">
        <v>4231</v>
      </c>
      <c r="I28" s="675">
        <v>4344</v>
      </c>
      <c r="J28" s="675">
        <v>4454</v>
      </c>
      <c r="K28" s="675">
        <v>4566</v>
      </c>
      <c r="L28" s="675">
        <v>4676</v>
      </c>
      <c r="M28" s="675">
        <v>4791</v>
      </c>
      <c r="N28" s="675">
        <v>4902</v>
      </c>
      <c r="O28" s="675">
        <v>5014</v>
      </c>
      <c r="P28" s="675"/>
      <c r="Q28" s="675"/>
      <c r="R28" s="1023"/>
      <c r="S28" s="1023"/>
      <c r="T28" s="1023"/>
      <c r="U28" s="1023"/>
      <c r="V28" s="1019"/>
      <c r="W28" s="1103">
        <f t="shared" si="1"/>
        <v>13</v>
      </c>
    </row>
    <row r="29" spans="1:23" x14ac:dyDescent="0.2">
      <c r="A29" s="1098"/>
      <c r="B29" s="1104" t="s">
        <v>331</v>
      </c>
      <c r="C29" s="675">
        <v>3113</v>
      </c>
      <c r="D29" s="675">
        <v>3447</v>
      </c>
      <c r="E29" s="675">
        <v>3671</v>
      </c>
      <c r="F29" s="675">
        <v>3893</v>
      </c>
      <c r="G29" s="675">
        <v>4118</v>
      </c>
      <c r="H29" s="675">
        <v>4231</v>
      </c>
      <c r="I29" s="675">
        <v>4344</v>
      </c>
      <c r="J29" s="675">
        <v>4454</v>
      </c>
      <c r="K29" s="675">
        <v>4566</v>
      </c>
      <c r="L29" s="675">
        <v>4676</v>
      </c>
      <c r="M29" s="675">
        <v>4791</v>
      </c>
      <c r="N29" s="675">
        <v>4902</v>
      </c>
      <c r="O29" s="675">
        <v>5014</v>
      </c>
      <c r="P29" s="675">
        <v>5124</v>
      </c>
      <c r="Q29" s="675">
        <v>5236</v>
      </c>
      <c r="R29" s="1023"/>
      <c r="S29" s="1023"/>
      <c r="T29" s="1023"/>
      <c r="U29" s="1023"/>
      <c r="V29" s="1019"/>
      <c r="W29" s="1103">
        <f t="shared" si="1"/>
        <v>15</v>
      </c>
    </row>
    <row r="30" spans="1:23" x14ac:dyDescent="0.2">
      <c r="A30" s="1098"/>
      <c r="B30" s="1100">
        <v>1</v>
      </c>
      <c r="C30" s="1019">
        <v>1594.2</v>
      </c>
      <c r="D30" s="1019">
        <v>1610</v>
      </c>
      <c r="E30" s="675">
        <v>1677</v>
      </c>
      <c r="F30" s="675">
        <v>1707</v>
      </c>
      <c r="G30" s="675">
        <v>1742</v>
      </c>
      <c r="H30" s="675">
        <v>1778</v>
      </c>
      <c r="I30" s="675">
        <v>1825</v>
      </c>
      <c r="J30" s="675"/>
      <c r="K30" s="675"/>
      <c r="L30" s="675"/>
      <c r="M30" s="675"/>
      <c r="N30" s="675"/>
      <c r="O30" s="675"/>
      <c r="P30" s="675"/>
      <c r="Q30" s="675"/>
      <c r="R30" s="675"/>
      <c r="S30" s="675"/>
      <c r="T30" s="675"/>
      <c r="U30" s="1023"/>
      <c r="V30" s="1019"/>
      <c r="W30" s="1103">
        <f t="shared" si="1"/>
        <v>7</v>
      </c>
    </row>
    <row r="31" spans="1:23" x14ac:dyDescent="0.2">
      <c r="A31" s="1098"/>
      <c r="B31" s="1100">
        <v>2</v>
      </c>
      <c r="C31" s="1019">
        <v>1594.2</v>
      </c>
      <c r="D31" s="675">
        <v>1644</v>
      </c>
      <c r="E31" s="675">
        <v>1707</v>
      </c>
      <c r="F31" s="675">
        <v>1778</v>
      </c>
      <c r="G31" s="675">
        <v>1825</v>
      </c>
      <c r="H31" s="675">
        <v>1878</v>
      </c>
      <c r="I31" s="675">
        <v>1944</v>
      </c>
      <c r="J31" s="675">
        <v>2006</v>
      </c>
      <c r="K31" s="675"/>
      <c r="L31" s="675"/>
      <c r="M31" s="675"/>
      <c r="N31" s="675"/>
      <c r="O31" s="675"/>
      <c r="P31" s="675"/>
      <c r="Q31" s="675"/>
      <c r="R31" s="675"/>
      <c r="S31" s="675"/>
      <c r="T31" s="675"/>
      <c r="U31" s="1023"/>
      <c r="V31" s="1019"/>
      <c r="W31" s="1103">
        <f t="shared" si="1"/>
        <v>8</v>
      </c>
    </row>
    <row r="32" spans="1:23" x14ac:dyDescent="0.2">
      <c r="A32" s="1098"/>
      <c r="B32" s="1100">
        <v>3</v>
      </c>
      <c r="C32" s="1019">
        <v>1594.2</v>
      </c>
      <c r="D32" s="675">
        <v>1707</v>
      </c>
      <c r="E32" s="675">
        <v>1778</v>
      </c>
      <c r="F32" s="675">
        <v>1878</v>
      </c>
      <c r="G32" s="675">
        <v>1944</v>
      </c>
      <c r="H32" s="675">
        <v>2006</v>
      </c>
      <c r="I32" s="675">
        <v>2067</v>
      </c>
      <c r="J32" s="675">
        <v>2126</v>
      </c>
      <c r="K32" s="675">
        <v>2185</v>
      </c>
      <c r="L32" s="675"/>
      <c r="M32" s="675"/>
      <c r="N32" s="675"/>
      <c r="O32" s="675"/>
      <c r="P32" s="675"/>
      <c r="Q32" s="675"/>
      <c r="R32" s="675"/>
      <c r="S32" s="675"/>
      <c r="T32" s="675"/>
      <c r="U32" s="1023"/>
      <c r="V32" s="1019"/>
      <c r="W32" s="1103">
        <f t="shared" si="1"/>
        <v>9</v>
      </c>
    </row>
    <row r="33" spans="1:23" x14ac:dyDescent="0.2">
      <c r="A33" s="1098"/>
      <c r="B33" s="1100">
        <v>4</v>
      </c>
      <c r="C33" s="1019">
        <v>1610</v>
      </c>
      <c r="D33" s="675">
        <v>1677</v>
      </c>
      <c r="E33" s="675">
        <v>1742</v>
      </c>
      <c r="F33" s="675">
        <v>1825</v>
      </c>
      <c r="G33" s="675">
        <v>1944</v>
      </c>
      <c r="H33" s="675">
        <v>2006</v>
      </c>
      <c r="I33" s="675">
        <v>2067</v>
      </c>
      <c r="J33" s="675">
        <v>2126</v>
      </c>
      <c r="K33" s="675">
        <v>2185</v>
      </c>
      <c r="L33" s="675">
        <v>2241</v>
      </c>
      <c r="M33" s="675">
        <v>2298</v>
      </c>
      <c r="N33" s="675"/>
      <c r="O33" s="675"/>
      <c r="P33" s="675"/>
      <c r="Q33" s="675"/>
      <c r="R33" s="675"/>
      <c r="S33" s="675"/>
      <c r="T33" s="675"/>
      <c r="U33" s="1023"/>
      <c r="V33" s="1019"/>
      <c r="W33" s="1103">
        <f t="shared" si="1"/>
        <v>11</v>
      </c>
    </row>
    <row r="34" spans="1:23" x14ac:dyDescent="0.2">
      <c r="A34" s="1098"/>
      <c r="B34" s="1100">
        <v>5</v>
      </c>
      <c r="C34" s="675">
        <v>1644</v>
      </c>
      <c r="D34" s="675">
        <v>1677</v>
      </c>
      <c r="E34" s="675">
        <v>1778</v>
      </c>
      <c r="F34" s="675">
        <v>1878</v>
      </c>
      <c r="G34" s="675">
        <v>2006</v>
      </c>
      <c r="H34" s="675">
        <v>2067</v>
      </c>
      <c r="I34" s="675">
        <v>2126</v>
      </c>
      <c r="J34" s="675">
        <v>2185</v>
      </c>
      <c r="K34" s="675">
        <v>2241</v>
      </c>
      <c r="L34" s="675">
        <v>2298</v>
      </c>
      <c r="M34" s="675">
        <v>2353</v>
      </c>
      <c r="N34" s="675">
        <v>2416</v>
      </c>
      <c r="O34" s="675"/>
      <c r="P34" s="675"/>
      <c r="Q34" s="675"/>
      <c r="R34" s="675"/>
      <c r="S34" s="675"/>
      <c r="T34" s="675"/>
      <c r="U34" s="1023"/>
      <c r="V34" s="1019"/>
      <c r="W34" s="1103">
        <f t="shared" si="1"/>
        <v>12</v>
      </c>
    </row>
    <row r="35" spans="1:23" x14ac:dyDescent="0.2">
      <c r="A35" s="1098"/>
      <c r="B35" s="1100">
        <v>6</v>
      </c>
      <c r="C35" s="675">
        <v>1707</v>
      </c>
      <c r="D35" s="675">
        <v>1778</v>
      </c>
      <c r="E35" s="675">
        <v>2006</v>
      </c>
      <c r="F35" s="675">
        <v>2126</v>
      </c>
      <c r="G35" s="675">
        <v>2185</v>
      </c>
      <c r="H35" s="675">
        <v>2241</v>
      </c>
      <c r="I35" s="675">
        <v>2298</v>
      </c>
      <c r="J35" s="675">
        <v>2353</v>
      </c>
      <c r="K35" s="675">
        <v>2416</v>
      </c>
      <c r="L35" s="675">
        <v>2475</v>
      </c>
      <c r="M35" s="675">
        <v>2531</v>
      </c>
      <c r="N35" s="675"/>
      <c r="O35" s="675"/>
      <c r="P35" s="675"/>
      <c r="Q35" s="675"/>
      <c r="R35" s="675"/>
      <c r="S35" s="675"/>
      <c r="T35" s="675"/>
      <c r="U35" s="1023"/>
      <c r="V35" s="1019"/>
      <c r="W35" s="1103">
        <f t="shared" si="1"/>
        <v>11</v>
      </c>
    </row>
    <row r="36" spans="1:23" x14ac:dyDescent="0.2">
      <c r="A36" s="1098"/>
      <c r="B36" s="1100">
        <v>7</v>
      </c>
      <c r="C36" s="675">
        <v>1825</v>
      </c>
      <c r="D36" s="675">
        <v>1878</v>
      </c>
      <c r="E36" s="675">
        <v>2006</v>
      </c>
      <c r="F36" s="675">
        <v>2241</v>
      </c>
      <c r="G36" s="675">
        <v>2353</v>
      </c>
      <c r="H36" s="675">
        <v>2416</v>
      </c>
      <c r="I36" s="675">
        <v>2475</v>
      </c>
      <c r="J36" s="675">
        <v>2531</v>
      </c>
      <c r="K36" s="675">
        <v>2590</v>
      </c>
      <c r="L36" s="675">
        <v>2653</v>
      </c>
      <c r="M36" s="675">
        <v>2719</v>
      </c>
      <c r="N36" s="675">
        <v>2791</v>
      </c>
      <c r="O36" s="675"/>
      <c r="P36" s="675"/>
      <c r="Q36" s="675"/>
      <c r="R36" s="675"/>
      <c r="S36" s="675"/>
      <c r="T36" s="675"/>
      <c r="U36" s="1023"/>
      <c r="V36" s="1019"/>
      <c r="W36" s="1103">
        <f t="shared" si="1"/>
        <v>12</v>
      </c>
    </row>
    <row r="37" spans="1:23" x14ac:dyDescent="0.2">
      <c r="A37" s="1098"/>
      <c r="B37" s="1100">
        <v>8</v>
      </c>
      <c r="C37" s="675">
        <v>2067</v>
      </c>
      <c r="D37" s="675">
        <v>2126</v>
      </c>
      <c r="E37" s="675">
        <v>2241</v>
      </c>
      <c r="F37" s="675">
        <v>2475</v>
      </c>
      <c r="G37" s="675">
        <v>2590</v>
      </c>
      <c r="H37" s="675">
        <v>2719</v>
      </c>
      <c r="I37" s="675">
        <v>2791</v>
      </c>
      <c r="J37" s="675">
        <v>2857</v>
      </c>
      <c r="K37" s="675">
        <v>2916</v>
      </c>
      <c r="L37" s="675">
        <v>2979</v>
      </c>
      <c r="M37" s="675">
        <v>3043</v>
      </c>
      <c r="N37" s="675">
        <v>3102</v>
      </c>
      <c r="O37" s="675">
        <v>3157</v>
      </c>
      <c r="P37" s="675"/>
      <c r="Q37" s="675"/>
      <c r="R37" s="675"/>
      <c r="S37" s="675"/>
      <c r="T37" s="675"/>
      <c r="U37" s="1023"/>
      <c r="V37" s="1019"/>
      <c r="W37" s="1103">
        <f t="shared" si="1"/>
        <v>13</v>
      </c>
    </row>
    <row r="38" spans="1:23" x14ac:dyDescent="0.2">
      <c r="A38" s="1098"/>
      <c r="B38" s="1100">
        <v>9</v>
      </c>
      <c r="C38" s="675">
        <v>2394</v>
      </c>
      <c r="D38" s="675">
        <v>2516</v>
      </c>
      <c r="E38" s="675">
        <v>2762</v>
      </c>
      <c r="F38" s="675">
        <v>2903</v>
      </c>
      <c r="G38" s="675">
        <v>3025</v>
      </c>
      <c r="H38" s="675">
        <v>3149</v>
      </c>
      <c r="I38" s="675">
        <v>3266</v>
      </c>
      <c r="J38" s="675">
        <v>3383</v>
      </c>
      <c r="K38" s="675">
        <v>3510</v>
      </c>
      <c r="L38" s="675">
        <v>3622</v>
      </c>
      <c r="M38" s="675"/>
      <c r="N38" s="675"/>
      <c r="O38" s="675"/>
      <c r="P38" s="675"/>
      <c r="Q38" s="675"/>
      <c r="R38" s="675"/>
      <c r="S38" s="675"/>
      <c r="T38" s="675"/>
      <c r="U38" s="1023"/>
      <c r="V38" s="1019"/>
      <c r="W38" s="1103">
        <f t="shared" si="1"/>
        <v>10</v>
      </c>
    </row>
    <row r="39" spans="1:23" x14ac:dyDescent="0.2">
      <c r="A39" s="1098"/>
      <c r="B39" s="1100">
        <v>10</v>
      </c>
      <c r="C39" s="675">
        <v>2377</v>
      </c>
      <c r="D39" s="675">
        <v>2616</v>
      </c>
      <c r="E39" s="675">
        <v>2745</v>
      </c>
      <c r="F39" s="675">
        <v>2886</v>
      </c>
      <c r="G39" s="675">
        <v>3008</v>
      </c>
      <c r="H39" s="675">
        <v>3232</v>
      </c>
      <c r="I39" s="675">
        <v>3249</v>
      </c>
      <c r="J39" s="675">
        <v>3365</v>
      </c>
      <c r="K39" s="675">
        <v>3493</v>
      </c>
      <c r="L39" s="675">
        <v>3604</v>
      </c>
      <c r="M39" s="675">
        <v>3721</v>
      </c>
      <c r="N39" s="675">
        <v>3833</v>
      </c>
      <c r="O39" s="675">
        <v>3961</v>
      </c>
      <c r="P39" s="675"/>
      <c r="Q39" s="675"/>
      <c r="R39" s="675"/>
      <c r="S39" s="675"/>
      <c r="T39" s="675"/>
      <c r="U39" s="1023"/>
      <c r="V39" s="1019"/>
      <c r="W39" s="1103">
        <f t="shared" si="1"/>
        <v>13</v>
      </c>
    </row>
    <row r="40" spans="1:23" x14ac:dyDescent="0.2">
      <c r="A40" s="1098"/>
      <c r="B40" s="1100">
        <v>11</v>
      </c>
      <c r="C40" s="675">
        <v>2499</v>
      </c>
      <c r="D40" s="675">
        <v>2616</v>
      </c>
      <c r="E40" s="675">
        <v>2745</v>
      </c>
      <c r="F40" s="675">
        <v>2886</v>
      </c>
      <c r="G40" s="675">
        <v>3008</v>
      </c>
      <c r="H40" s="675">
        <v>3132</v>
      </c>
      <c r="I40" s="675">
        <v>3249</v>
      </c>
      <c r="J40" s="675">
        <v>3493</v>
      </c>
      <c r="K40" s="675">
        <v>3604</v>
      </c>
      <c r="L40" s="675">
        <v>3721</v>
      </c>
      <c r="M40" s="675">
        <v>3833</v>
      </c>
      <c r="N40" s="675">
        <v>3961</v>
      </c>
      <c r="O40" s="675">
        <v>4086</v>
      </c>
      <c r="P40" s="675">
        <v>4209</v>
      </c>
      <c r="Q40" s="675">
        <v>4326</v>
      </c>
      <c r="R40" s="675">
        <v>4446</v>
      </c>
      <c r="S40" s="675">
        <v>4559</v>
      </c>
      <c r="T40" s="675">
        <v>4621</v>
      </c>
      <c r="U40" s="1023"/>
      <c r="V40" s="1019"/>
      <c r="W40" s="1103">
        <f t="shared" si="1"/>
        <v>18</v>
      </c>
    </row>
    <row r="41" spans="1:23" x14ac:dyDescent="0.2">
      <c r="A41" s="1098"/>
      <c r="B41" s="1100">
        <v>12</v>
      </c>
      <c r="C41" s="675">
        <v>3365</v>
      </c>
      <c r="D41" s="675">
        <v>3493</v>
      </c>
      <c r="E41" s="675">
        <v>3604</v>
      </c>
      <c r="F41" s="675">
        <v>3721</v>
      </c>
      <c r="G41" s="675">
        <v>3833</v>
      </c>
      <c r="H41" s="675">
        <v>3961</v>
      </c>
      <c r="I41" s="675">
        <v>4209</v>
      </c>
      <c r="J41" s="675">
        <v>4326</v>
      </c>
      <c r="K41" s="675">
        <v>4446</v>
      </c>
      <c r="L41" s="675">
        <v>4559</v>
      </c>
      <c r="M41" s="675">
        <v>4682</v>
      </c>
      <c r="N41" s="675">
        <v>4802</v>
      </c>
      <c r="O41" s="675">
        <v>4916</v>
      </c>
      <c r="P41" s="675">
        <v>5036</v>
      </c>
      <c r="Q41" s="675">
        <v>5183</v>
      </c>
      <c r="R41" s="675">
        <v>5258</v>
      </c>
      <c r="S41" s="675"/>
      <c r="T41" s="675"/>
      <c r="U41" s="1023"/>
      <c r="V41" s="1019"/>
      <c r="W41" s="1103">
        <f t="shared" si="1"/>
        <v>16</v>
      </c>
    </row>
    <row r="42" spans="1:23" x14ac:dyDescent="0.2">
      <c r="A42" s="1098"/>
      <c r="B42" s="1100">
        <v>13</v>
      </c>
      <c r="C42" s="675">
        <v>4086</v>
      </c>
      <c r="D42" s="675">
        <v>4209</v>
      </c>
      <c r="E42" s="675">
        <v>4326</v>
      </c>
      <c r="F42" s="675">
        <v>4446</v>
      </c>
      <c r="G42" s="675">
        <v>4559</v>
      </c>
      <c r="H42" s="675">
        <v>4802</v>
      </c>
      <c r="I42" s="675">
        <v>4916</v>
      </c>
      <c r="J42" s="675">
        <v>5036</v>
      </c>
      <c r="K42" s="675">
        <v>5183</v>
      </c>
      <c r="L42" s="675">
        <v>5332</v>
      </c>
      <c r="M42" s="675">
        <v>5481</v>
      </c>
      <c r="N42" s="675">
        <v>5629</v>
      </c>
      <c r="O42" s="675">
        <v>5702</v>
      </c>
      <c r="P42" s="675"/>
      <c r="Q42" s="675"/>
      <c r="R42" s="675"/>
      <c r="S42" s="675"/>
      <c r="T42" s="675"/>
      <c r="U42" s="1023"/>
      <c r="V42" s="1019"/>
      <c r="W42" s="1103">
        <f t="shared" si="1"/>
        <v>13</v>
      </c>
    </row>
    <row r="43" spans="1:23" x14ac:dyDescent="0.2">
      <c r="A43" s="1098"/>
      <c r="B43" s="1100">
        <v>14</v>
      </c>
      <c r="C43" s="675">
        <v>4682</v>
      </c>
      <c r="D43" s="675">
        <v>4802</v>
      </c>
      <c r="E43" s="675">
        <v>5036</v>
      </c>
      <c r="F43" s="675">
        <v>5183</v>
      </c>
      <c r="G43" s="675">
        <v>5332</v>
      </c>
      <c r="H43" s="675">
        <v>5481</v>
      </c>
      <c r="I43" s="675">
        <v>5629</v>
      </c>
      <c r="J43" s="675">
        <v>5779</v>
      </c>
      <c r="K43" s="675">
        <v>5938</v>
      </c>
      <c r="L43" s="675">
        <v>6097</v>
      </c>
      <c r="M43" s="675">
        <v>6264</v>
      </c>
      <c r="N43" s="675"/>
      <c r="O43" s="675"/>
      <c r="P43" s="675"/>
      <c r="Q43" s="675"/>
      <c r="R43" s="675"/>
      <c r="S43" s="675"/>
      <c r="T43" s="675"/>
      <c r="U43" s="1023"/>
      <c r="V43" s="1019"/>
      <c r="W43" s="1103">
        <f t="shared" si="1"/>
        <v>11</v>
      </c>
    </row>
    <row r="44" spans="1:23" x14ac:dyDescent="0.2">
      <c r="A44" s="1098"/>
      <c r="B44" s="1100">
        <v>15</v>
      </c>
      <c r="C44" s="675">
        <v>4916</v>
      </c>
      <c r="D44" s="675">
        <v>5036</v>
      </c>
      <c r="E44" s="675">
        <v>5183</v>
      </c>
      <c r="F44" s="675">
        <v>5481</v>
      </c>
      <c r="G44" s="675">
        <v>5629</v>
      </c>
      <c r="H44" s="675">
        <v>5779</v>
      </c>
      <c r="I44" s="675">
        <v>5938</v>
      </c>
      <c r="J44" s="675">
        <v>6097</v>
      </c>
      <c r="K44" s="675">
        <v>6264</v>
      </c>
      <c r="L44" s="675">
        <v>6463</v>
      </c>
      <c r="M44" s="675">
        <v>6671</v>
      </c>
      <c r="N44" s="675">
        <v>6883</v>
      </c>
      <c r="O44" s="675"/>
      <c r="P44" s="675"/>
      <c r="Q44" s="675"/>
      <c r="R44" s="675"/>
      <c r="S44" s="675"/>
      <c r="T44" s="675"/>
      <c r="U44" s="1025"/>
      <c r="V44" s="1021"/>
      <c r="W44" s="1103">
        <f t="shared" si="1"/>
        <v>12</v>
      </c>
    </row>
    <row r="45" spans="1:23" x14ac:dyDescent="0.2">
      <c r="A45" s="1098"/>
      <c r="B45" s="1100">
        <v>16</v>
      </c>
      <c r="C45" s="675">
        <v>5332</v>
      </c>
      <c r="D45" s="675">
        <v>5481</v>
      </c>
      <c r="E45" s="675">
        <v>5629</v>
      </c>
      <c r="F45" s="675">
        <v>5938</v>
      </c>
      <c r="G45" s="675">
        <v>6097</v>
      </c>
      <c r="H45" s="675">
        <v>6264</v>
      </c>
      <c r="I45" s="675">
        <v>6463</v>
      </c>
      <c r="J45" s="675">
        <v>6671</v>
      </c>
      <c r="K45" s="675">
        <v>6883</v>
      </c>
      <c r="L45" s="675">
        <v>7104</v>
      </c>
      <c r="M45" s="675">
        <v>7327</v>
      </c>
      <c r="N45" s="675">
        <v>7561</v>
      </c>
      <c r="O45" s="675"/>
      <c r="P45" s="675"/>
      <c r="Q45" s="675"/>
      <c r="R45" s="675"/>
      <c r="S45" s="675"/>
      <c r="T45" s="675"/>
      <c r="U45" s="1025"/>
      <c r="V45" s="1021"/>
      <c r="W45" s="1103">
        <f t="shared" si="1"/>
        <v>12</v>
      </c>
    </row>
    <row r="46" spans="1:23" x14ac:dyDescent="0.2">
      <c r="A46" s="1098"/>
      <c r="B46" s="1098"/>
      <c r="C46" s="1098"/>
      <c r="D46" s="1098"/>
      <c r="E46" s="1098"/>
      <c r="F46" s="1098"/>
      <c r="G46" s="1098"/>
      <c r="H46" s="1098"/>
      <c r="I46" s="1098"/>
      <c r="J46" s="1098"/>
      <c r="K46" s="1098"/>
      <c r="L46" s="1098"/>
      <c r="M46" s="1098"/>
      <c r="N46" s="1098"/>
      <c r="O46" s="1098"/>
      <c r="P46" s="1098"/>
      <c r="Q46" s="1098"/>
      <c r="R46" s="1098"/>
      <c r="S46" s="1098"/>
      <c r="T46" s="1098"/>
      <c r="U46" s="1098"/>
      <c r="V46" s="1098"/>
      <c r="W46" s="1098"/>
    </row>
    <row r="47" spans="1:23" x14ac:dyDescent="0.2">
      <c r="A47" s="1098"/>
      <c r="B47" s="1099" t="s">
        <v>145</v>
      </c>
      <c r="C47" s="1178">
        <v>43466</v>
      </c>
      <c r="D47" s="1179"/>
      <c r="E47" s="34"/>
      <c r="F47" s="1100"/>
      <c r="G47" s="1100"/>
      <c r="H47" s="1100"/>
      <c r="I47" s="1100"/>
      <c r="J47" s="1100"/>
      <c r="K47" s="1100"/>
      <c r="L47" s="1100"/>
      <c r="M47" s="1100"/>
      <c r="N47" s="1100"/>
      <c r="O47" s="1100"/>
      <c r="P47" s="1100"/>
      <c r="Q47" s="1100"/>
      <c r="R47" s="1100"/>
      <c r="S47" s="1100"/>
      <c r="T47" s="1100"/>
      <c r="U47" s="1100"/>
      <c r="V47" s="1100"/>
      <c r="W47" s="1100"/>
    </row>
    <row r="48" spans="1:23" x14ac:dyDescent="0.2">
      <c r="A48" s="1098"/>
      <c r="B48" s="34" t="s">
        <v>146</v>
      </c>
      <c r="C48" s="1101">
        <v>1</v>
      </c>
      <c r="D48" s="1101">
        <v>2</v>
      </c>
      <c r="E48" s="1101">
        <v>3</v>
      </c>
      <c r="F48" s="1101">
        <v>4</v>
      </c>
      <c r="G48" s="1101">
        <v>5</v>
      </c>
      <c r="H48" s="1101">
        <v>6</v>
      </c>
      <c r="I48" s="1101">
        <v>7</v>
      </c>
      <c r="J48" s="1101">
        <v>8</v>
      </c>
      <c r="K48" s="1101">
        <v>9</v>
      </c>
      <c r="L48" s="1101">
        <v>10</v>
      </c>
      <c r="M48" s="1101">
        <v>11</v>
      </c>
      <c r="N48" s="1101">
        <v>12</v>
      </c>
      <c r="O48" s="1101">
        <v>13</v>
      </c>
      <c r="P48" s="1101">
        <v>14</v>
      </c>
      <c r="Q48" s="1101">
        <v>15</v>
      </c>
      <c r="R48" s="1101">
        <v>16</v>
      </c>
      <c r="S48" s="1101">
        <v>17</v>
      </c>
      <c r="T48" s="1101">
        <v>18</v>
      </c>
      <c r="U48" s="1101">
        <v>19</v>
      </c>
      <c r="V48" s="1101">
        <v>20</v>
      </c>
      <c r="W48" s="1101" t="s">
        <v>147</v>
      </c>
    </row>
    <row r="49" spans="1:23" x14ac:dyDescent="0.2">
      <c r="A49" s="1098"/>
      <c r="B49" s="1102" t="s">
        <v>130</v>
      </c>
      <c r="C49" s="675">
        <v>2648</v>
      </c>
      <c r="D49" s="675">
        <v>2766</v>
      </c>
      <c r="E49" s="675">
        <v>2895</v>
      </c>
      <c r="F49" s="675">
        <v>3036</v>
      </c>
      <c r="G49" s="675">
        <v>3157</v>
      </c>
      <c r="H49" s="675">
        <v>3282</v>
      </c>
      <c r="I49" s="675">
        <v>3397</v>
      </c>
      <c r="J49" s="675">
        <v>3514</v>
      </c>
      <c r="K49" s="675">
        <v>3639</v>
      </c>
      <c r="L49" s="675">
        <v>3755</v>
      </c>
      <c r="M49" s="675">
        <v>3867</v>
      </c>
      <c r="N49" s="675">
        <v>3982</v>
      </c>
      <c r="O49" s="675">
        <v>4176</v>
      </c>
      <c r="P49" s="675"/>
      <c r="Q49" s="675"/>
      <c r="R49" s="675"/>
      <c r="S49" s="675"/>
      <c r="T49" s="675"/>
      <c r="U49" s="675"/>
      <c r="V49" s="675"/>
      <c r="W49" s="1103">
        <f t="shared" ref="W49:W58" si="2">COUNTA(C49:V49)</f>
        <v>13</v>
      </c>
    </row>
    <row r="50" spans="1:23" x14ac:dyDescent="0.2">
      <c r="A50" s="1098"/>
      <c r="B50" s="1102" t="s">
        <v>131</v>
      </c>
      <c r="C50" s="675">
        <v>2704</v>
      </c>
      <c r="D50" s="675">
        <v>2835</v>
      </c>
      <c r="E50" s="675">
        <v>2973</v>
      </c>
      <c r="F50" s="675">
        <v>3098</v>
      </c>
      <c r="G50" s="675">
        <v>3220</v>
      </c>
      <c r="H50" s="675">
        <v>3338</v>
      </c>
      <c r="I50" s="675">
        <v>3453</v>
      </c>
      <c r="J50" s="675">
        <v>3580</v>
      </c>
      <c r="K50" s="675">
        <v>3694</v>
      </c>
      <c r="L50" s="675">
        <v>3808</v>
      </c>
      <c r="M50" s="675">
        <v>3923</v>
      </c>
      <c r="N50" s="675">
        <v>4048</v>
      </c>
      <c r="O50" s="675">
        <v>4176</v>
      </c>
      <c r="P50" s="675">
        <v>4297</v>
      </c>
      <c r="Q50" s="675">
        <v>4416</v>
      </c>
      <c r="R50" s="675">
        <v>4533</v>
      </c>
      <c r="S50" s="675">
        <v>4649</v>
      </c>
      <c r="T50" s="675">
        <v>4709</v>
      </c>
      <c r="U50" s="675"/>
      <c r="V50" s="675"/>
      <c r="W50" s="1103">
        <f t="shared" si="2"/>
        <v>18</v>
      </c>
    </row>
    <row r="51" spans="1:23" x14ac:dyDescent="0.2">
      <c r="A51" s="1098"/>
      <c r="B51" s="1102" t="s">
        <v>132</v>
      </c>
      <c r="C51" s="675">
        <v>2835</v>
      </c>
      <c r="D51" s="675">
        <v>2973</v>
      </c>
      <c r="E51" s="675">
        <v>3220</v>
      </c>
      <c r="F51" s="675">
        <v>3453</v>
      </c>
      <c r="G51" s="675">
        <v>3580</v>
      </c>
      <c r="H51" s="675">
        <v>3694</v>
      </c>
      <c r="I51" s="675">
        <v>3808</v>
      </c>
      <c r="J51" s="675">
        <v>3923</v>
      </c>
      <c r="K51" s="675">
        <v>4048</v>
      </c>
      <c r="L51" s="675">
        <v>4176</v>
      </c>
      <c r="M51" s="675">
        <v>4297</v>
      </c>
      <c r="N51" s="675">
        <v>4416</v>
      </c>
      <c r="O51" s="675">
        <v>4533</v>
      </c>
      <c r="P51" s="675">
        <v>4649</v>
      </c>
      <c r="Q51" s="675">
        <v>4770</v>
      </c>
      <c r="R51" s="675">
        <v>4890</v>
      </c>
      <c r="S51" s="675">
        <v>5003</v>
      </c>
      <c r="T51" s="675">
        <v>5123</v>
      </c>
      <c r="U51" s="675">
        <v>5272</v>
      </c>
      <c r="V51" s="675">
        <v>5345</v>
      </c>
      <c r="W51" s="1103">
        <f t="shared" si="2"/>
        <v>20</v>
      </c>
    </row>
    <row r="52" spans="1:23" x14ac:dyDescent="0.2">
      <c r="A52" s="1098"/>
      <c r="B52" s="1102" t="s">
        <v>135</v>
      </c>
      <c r="C52" s="675">
        <v>2973</v>
      </c>
      <c r="D52" s="675">
        <v>3220</v>
      </c>
      <c r="E52" s="675">
        <v>3453</v>
      </c>
      <c r="F52" s="675">
        <v>3694</v>
      </c>
      <c r="G52" s="675">
        <v>3923</v>
      </c>
      <c r="H52" s="675">
        <v>4176</v>
      </c>
      <c r="I52" s="675">
        <v>4297</v>
      </c>
      <c r="J52" s="675">
        <v>4416</v>
      </c>
      <c r="K52" s="675">
        <v>4533</v>
      </c>
      <c r="L52" s="675">
        <v>4649</v>
      </c>
      <c r="M52" s="675">
        <v>4770</v>
      </c>
      <c r="N52" s="675">
        <v>4890</v>
      </c>
      <c r="O52" s="675">
        <v>5003</v>
      </c>
      <c r="P52" s="675">
        <v>5123</v>
      </c>
      <c r="Q52" s="675">
        <v>5272</v>
      </c>
      <c r="R52" s="675">
        <v>5420</v>
      </c>
      <c r="S52" s="675">
        <v>5569</v>
      </c>
      <c r="T52" s="675">
        <v>5718</v>
      </c>
      <c r="U52" s="675">
        <v>5789</v>
      </c>
      <c r="V52" s="675"/>
      <c r="W52" s="1103">
        <f t="shared" si="2"/>
        <v>19</v>
      </c>
    </row>
    <row r="53" spans="1:23" x14ac:dyDescent="0.2">
      <c r="A53" s="1098"/>
      <c r="B53" s="1102" t="s">
        <v>123</v>
      </c>
      <c r="C53" s="675">
        <v>2888</v>
      </c>
      <c r="D53" s="675">
        <v>2999</v>
      </c>
      <c r="E53" s="675">
        <v>3113</v>
      </c>
      <c r="F53" s="675">
        <v>3223</v>
      </c>
      <c r="G53" s="675">
        <v>3334</v>
      </c>
      <c r="H53" s="675">
        <v>3447</v>
      </c>
      <c r="I53" s="675">
        <v>3559</v>
      </c>
      <c r="J53" s="675">
        <v>3671</v>
      </c>
      <c r="K53" s="675">
        <v>3781</v>
      </c>
      <c r="L53" s="675">
        <v>3893</v>
      </c>
      <c r="M53" s="675">
        <v>4007</v>
      </c>
      <c r="N53" s="675">
        <v>4118</v>
      </c>
      <c r="O53" s="675">
        <v>4231</v>
      </c>
      <c r="P53" s="675"/>
      <c r="Q53" s="675"/>
      <c r="R53" s="675"/>
      <c r="S53" s="675"/>
      <c r="T53" s="675"/>
      <c r="U53" s="1019"/>
      <c r="V53" s="1019"/>
      <c r="W53" s="1103">
        <f t="shared" si="2"/>
        <v>13</v>
      </c>
    </row>
    <row r="54" spans="1:23" x14ac:dyDescent="0.2">
      <c r="A54" s="1098"/>
      <c r="B54" s="1102" t="s">
        <v>124</v>
      </c>
      <c r="C54" s="675">
        <v>2999</v>
      </c>
      <c r="D54" s="675">
        <v>3223</v>
      </c>
      <c r="E54" s="675">
        <v>3447</v>
      </c>
      <c r="F54" s="675">
        <v>3559</v>
      </c>
      <c r="G54" s="675">
        <v>3671</v>
      </c>
      <c r="H54" s="675">
        <v>3781</v>
      </c>
      <c r="I54" s="675">
        <v>3893</v>
      </c>
      <c r="J54" s="675">
        <v>4007</v>
      </c>
      <c r="K54" s="675">
        <v>4118</v>
      </c>
      <c r="L54" s="675">
        <v>4231</v>
      </c>
      <c r="M54" s="675">
        <v>4344</v>
      </c>
      <c r="N54" s="675">
        <v>4454</v>
      </c>
      <c r="O54" s="675">
        <v>4566</v>
      </c>
      <c r="P54" s="675">
        <v>4676</v>
      </c>
      <c r="Q54" s="675">
        <v>4791</v>
      </c>
      <c r="R54" s="675"/>
      <c r="S54" s="675"/>
      <c r="T54" s="675"/>
      <c r="U54" s="1019"/>
      <c r="V54" s="1019"/>
      <c r="W54" s="1103">
        <f t="shared" si="2"/>
        <v>15</v>
      </c>
    </row>
    <row r="55" spans="1:23" x14ac:dyDescent="0.2">
      <c r="A55" s="1098"/>
      <c r="B55" s="1102" t="s">
        <v>148</v>
      </c>
      <c r="C55" s="675">
        <v>2999</v>
      </c>
      <c r="D55" s="675">
        <v>3223</v>
      </c>
      <c r="E55" s="675">
        <v>3447</v>
      </c>
      <c r="F55" s="675">
        <v>3559</v>
      </c>
      <c r="G55" s="675">
        <v>3671</v>
      </c>
      <c r="H55" s="675">
        <v>3781</v>
      </c>
      <c r="I55" s="675">
        <v>3893</v>
      </c>
      <c r="J55" s="675">
        <v>4007</v>
      </c>
      <c r="K55" s="675">
        <v>4118</v>
      </c>
      <c r="L55" s="675">
        <v>4231</v>
      </c>
      <c r="M55" s="675">
        <v>4344</v>
      </c>
      <c r="N55" s="675">
        <v>4454</v>
      </c>
      <c r="O55" s="675">
        <v>4566</v>
      </c>
      <c r="P55" s="675">
        <v>4676</v>
      </c>
      <c r="Q55" s="675">
        <v>4791</v>
      </c>
      <c r="R55" s="675">
        <v>4902</v>
      </c>
      <c r="S55" s="675">
        <v>5014</v>
      </c>
      <c r="T55" s="675"/>
      <c r="U55" s="1019"/>
      <c r="V55" s="1019"/>
      <c r="W55" s="1103">
        <f t="shared" si="2"/>
        <v>17</v>
      </c>
    </row>
    <row r="56" spans="1:23" x14ac:dyDescent="0.2">
      <c r="A56" s="1098"/>
      <c r="B56" s="1102" t="s">
        <v>125</v>
      </c>
      <c r="C56" s="675">
        <v>3113</v>
      </c>
      <c r="D56" s="675">
        <v>3447</v>
      </c>
      <c r="E56" s="675">
        <v>3671</v>
      </c>
      <c r="F56" s="675">
        <v>3893</v>
      </c>
      <c r="G56" s="675">
        <v>4118</v>
      </c>
      <c r="H56" s="675">
        <v>4231</v>
      </c>
      <c r="I56" s="675">
        <v>4344</v>
      </c>
      <c r="J56" s="675">
        <v>4454</v>
      </c>
      <c r="K56" s="675">
        <v>4566</v>
      </c>
      <c r="L56" s="675">
        <v>4676</v>
      </c>
      <c r="M56" s="675">
        <v>4791</v>
      </c>
      <c r="N56" s="675">
        <v>4902</v>
      </c>
      <c r="O56" s="675">
        <v>5014</v>
      </c>
      <c r="P56" s="675">
        <v>5124</v>
      </c>
      <c r="Q56" s="675">
        <v>5236</v>
      </c>
      <c r="R56" s="675">
        <v>5350</v>
      </c>
      <c r="S56" s="675"/>
      <c r="T56" s="675"/>
      <c r="U56" s="1019"/>
      <c r="V56" s="1019"/>
      <c r="W56" s="1103">
        <f t="shared" si="2"/>
        <v>16</v>
      </c>
    </row>
    <row r="57" spans="1:23" x14ac:dyDescent="0.2">
      <c r="A57" s="1098"/>
      <c r="B57" s="1102" t="s">
        <v>149</v>
      </c>
      <c r="C57" s="675">
        <v>3113</v>
      </c>
      <c r="D57" s="675">
        <v>3447</v>
      </c>
      <c r="E57" s="675">
        <v>3671</v>
      </c>
      <c r="F57" s="675">
        <v>3893</v>
      </c>
      <c r="G57" s="675">
        <v>4118</v>
      </c>
      <c r="H57" s="675">
        <v>4231</v>
      </c>
      <c r="I57" s="675">
        <v>4344</v>
      </c>
      <c r="J57" s="675">
        <v>4454</v>
      </c>
      <c r="K57" s="675">
        <v>4566</v>
      </c>
      <c r="L57" s="675">
        <v>4676</v>
      </c>
      <c r="M57" s="675">
        <v>4791</v>
      </c>
      <c r="N57" s="675">
        <v>4902</v>
      </c>
      <c r="O57" s="675">
        <v>5014</v>
      </c>
      <c r="P57" s="675">
        <v>5124</v>
      </c>
      <c r="Q57" s="675">
        <v>5236</v>
      </c>
      <c r="R57" s="675">
        <v>5350</v>
      </c>
      <c r="S57" s="675">
        <v>5461</v>
      </c>
      <c r="T57" s="675">
        <v>5572</v>
      </c>
      <c r="U57" s="1019"/>
      <c r="V57" s="1019"/>
      <c r="W57" s="1103">
        <f t="shared" si="2"/>
        <v>18</v>
      </c>
    </row>
    <row r="58" spans="1:23" x14ac:dyDescent="0.2">
      <c r="A58" s="1098"/>
      <c r="B58" s="1102" t="s">
        <v>133</v>
      </c>
      <c r="C58" s="675">
        <v>3160</v>
      </c>
      <c r="D58" s="675">
        <v>3392</v>
      </c>
      <c r="E58" s="675">
        <v>3630</v>
      </c>
      <c r="F58" s="675">
        <v>3857</v>
      </c>
      <c r="G58" s="675">
        <v>4109</v>
      </c>
      <c r="H58" s="675">
        <v>4231</v>
      </c>
      <c r="I58" s="675">
        <v>4348</v>
      </c>
      <c r="J58" s="675">
        <v>4467</v>
      </c>
      <c r="K58" s="675">
        <v>4580</v>
      </c>
      <c r="L58" s="675">
        <v>4702</v>
      </c>
      <c r="M58" s="675">
        <v>4820</v>
      </c>
      <c r="N58" s="675">
        <v>4934</v>
      </c>
      <c r="O58" s="675">
        <v>5052</v>
      </c>
      <c r="P58" s="675">
        <v>5200</v>
      </c>
      <c r="Q58" s="675">
        <v>5349</v>
      </c>
      <c r="R58" s="675">
        <v>5496</v>
      </c>
      <c r="S58" s="675">
        <v>5644</v>
      </c>
      <c r="T58" s="675">
        <v>5715</v>
      </c>
      <c r="U58" s="1019"/>
      <c r="V58" s="1019"/>
      <c r="W58" s="1103">
        <f t="shared" si="2"/>
        <v>18</v>
      </c>
    </row>
    <row r="59" spans="1:23" x14ac:dyDescent="0.2">
      <c r="A59" s="1098"/>
      <c r="B59" s="1102" t="s">
        <v>134</v>
      </c>
      <c r="C59" s="675">
        <v>3276</v>
      </c>
      <c r="D59" s="675">
        <v>3517</v>
      </c>
      <c r="E59" s="675">
        <v>3744</v>
      </c>
      <c r="F59" s="675">
        <v>3983</v>
      </c>
      <c r="G59" s="675">
        <v>4231</v>
      </c>
      <c r="H59" s="675">
        <v>4467</v>
      </c>
      <c r="I59" s="675">
        <v>4702</v>
      </c>
      <c r="J59" s="675">
        <v>4820</v>
      </c>
      <c r="K59" s="675">
        <v>4934</v>
      </c>
      <c r="L59" s="675">
        <v>5052</v>
      </c>
      <c r="M59" s="675">
        <v>5200</v>
      </c>
      <c r="N59" s="675">
        <v>5349</v>
      </c>
      <c r="O59" s="675">
        <v>5496</v>
      </c>
      <c r="P59" s="675">
        <v>5644</v>
      </c>
      <c r="Q59" s="675">
        <v>5794</v>
      </c>
      <c r="R59" s="675">
        <v>5951</v>
      </c>
      <c r="S59" s="675">
        <v>6111</v>
      </c>
      <c r="T59" s="675">
        <v>6276</v>
      </c>
      <c r="U59" s="1019"/>
      <c r="V59" s="1019"/>
      <c r="W59" s="1103">
        <f>COUNTA(C59:V59)</f>
        <v>18</v>
      </c>
    </row>
    <row r="60" spans="1:23" x14ac:dyDescent="0.2">
      <c r="A60" s="1098"/>
      <c r="B60" s="2" t="s">
        <v>152</v>
      </c>
      <c r="C60" s="1019">
        <v>1615.8</v>
      </c>
      <c r="D60" s="1019">
        <v>1615.8</v>
      </c>
      <c r="E60" s="1019">
        <v>1677</v>
      </c>
      <c r="F60" s="1019">
        <v>1707</v>
      </c>
      <c r="G60" s="1019">
        <v>1742</v>
      </c>
      <c r="H60" s="1019">
        <v>1778</v>
      </c>
      <c r="I60" s="1019">
        <v>1825</v>
      </c>
      <c r="J60" s="1019"/>
      <c r="K60" s="1023"/>
      <c r="L60" s="1023"/>
      <c r="M60" s="1023"/>
      <c r="N60" s="1023"/>
      <c r="O60" s="1023"/>
      <c r="P60" s="1023"/>
      <c r="Q60" s="1023"/>
      <c r="R60" s="1023"/>
      <c r="S60" s="1023"/>
      <c r="T60" s="1023"/>
      <c r="U60" s="1023"/>
      <c r="V60" s="1019"/>
      <c r="W60" s="1103">
        <f t="shared" ref="W60:W67" si="3">COUNTA(C60:V60)</f>
        <v>7</v>
      </c>
    </row>
    <row r="61" spans="1:23" x14ac:dyDescent="0.2">
      <c r="A61" s="1098"/>
      <c r="B61" s="1100" t="s">
        <v>162</v>
      </c>
      <c r="C61" s="1019">
        <v>1615.8</v>
      </c>
      <c r="D61" s="1019">
        <v>1644</v>
      </c>
      <c r="E61" s="1019">
        <v>1707</v>
      </c>
      <c r="F61" s="1019">
        <v>1778</v>
      </c>
      <c r="G61" s="1019">
        <v>1825</v>
      </c>
      <c r="H61" s="1019">
        <v>1878</v>
      </c>
      <c r="I61" s="1019">
        <v>1944</v>
      </c>
      <c r="J61" s="1019">
        <v>2006</v>
      </c>
      <c r="K61" s="1023"/>
      <c r="L61" s="1023"/>
      <c r="M61" s="1023"/>
      <c r="N61" s="1023"/>
      <c r="O61" s="1023"/>
      <c r="P61" s="1023"/>
      <c r="Q61" s="1023"/>
      <c r="R61" s="1023"/>
      <c r="S61" s="1023"/>
      <c r="T61" s="1023"/>
      <c r="U61" s="1023"/>
      <c r="V61" s="1019"/>
      <c r="W61" s="1103">
        <f t="shared" si="3"/>
        <v>8</v>
      </c>
    </row>
    <row r="62" spans="1:23" x14ac:dyDescent="0.2">
      <c r="A62" s="1098"/>
      <c r="B62" s="1100" t="s">
        <v>153</v>
      </c>
      <c r="C62" s="1019">
        <v>1615.8</v>
      </c>
      <c r="D62" s="1019">
        <v>1707</v>
      </c>
      <c r="E62" s="1019">
        <v>1778</v>
      </c>
      <c r="F62" s="1019">
        <v>1878</v>
      </c>
      <c r="G62" s="1019">
        <v>1944</v>
      </c>
      <c r="H62" s="1019">
        <v>2006</v>
      </c>
      <c r="I62" s="1019">
        <v>2067</v>
      </c>
      <c r="J62" s="1019"/>
      <c r="K62" s="1023"/>
      <c r="L62" s="1023"/>
      <c r="M62" s="1023"/>
      <c r="N62" s="1023"/>
      <c r="O62" s="1023"/>
      <c r="P62" s="1023"/>
      <c r="Q62" s="1023"/>
      <c r="R62" s="1023"/>
      <c r="S62" s="1023"/>
      <c r="T62" s="1023"/>
      <c r="U62" s="1023"/>
      <c r="V62" s="1019"/>
      <c r="W62" s="1103">
        <f t="shared" si="3"/>
        <v>7</v>
      </c>
    </row>
    <row r="63" spans="1:23" x14ac:dyDescent="0.2">
      <c r="A63" s="1098"/>
      <c r="B63" s="1102" t="s">
        <v>550</v>
      </c>
      <c r="C63" s="675">
        <v>2563</v>
      </c>
      <c r="D63" s="675">
        <v>2640</v>
      </c>
      <c r="E63" s="675">
        <v>2719</v>
      </c>
      <c r="F63" s="675">
        <v>2802</v>
      </c>
      <c r="G63" s="675">
        <v>2886</v>
      </c>
      <c r="H63" s="675">
        <v>2974</v>
      </c>
      <c r="I63" s="675">
        <v>3064</v>
      </c>
      <c r="J63" s="675">
        <v>3156</v>
      </c>
      <c r="K63" s="675">
        <v>3251</v>
      </c>
      <c r="L63" s="675">
        <v>3350</v>
      </c>
      <c r="M63" s="675">
        <v>3451</v>
      </c>
      <c r="N63" s="675">
        <v>3555</v>
      </c>
      <c r="O63" s="675">
        <v>3662</v>
      </c>
      <c r="P63" s="675">
        <v>3773</v>
      </c>
      <c r="Q63" s="675">
        <v>3910</v>
      </c>
      <c r="R63" s="1023"/>
      <c r="S63" s="1023"/>
      <c r="T63" s="1023"/>
      <c r="U63" s="1023"/>
      <c r="V63" s="1019"/>
      <c r="W63" s="1103">
        <f t="shared" si="3"/>
        <v>15</v>
      </c>
    </row>
    <row r="64" spans="1:23" x14ac:dyDescent="0.2">
      <c r="A64" s="1098"/>
      <c r="B64" s="1102" t="s">
        <v>551</v>
      </c>
      <c r="C64" s="675">
        <v>2639</v>
      </c>
      <c r="D64" s="675">
        <v>2729</v>
      </c>
      <c r="E64" s="675">
        <v>2821</v>
      </c>
      <c r="F64" s="675">
        <v>2916</v>
      </c>
      <c r="G64" s="675">
        <v>3015</v>
      </c>
      <c r="H64" s="675">
        <v>3117</v>
      </c>
      <c r="I64" s="675">
        <v>3222</v>
      </c>
      <c r="J64" s="675">
        <v>3331</v>
      </c>
      <c r="K64" s="675">
        <v>3443</v>
      </c>
      <c r="L64" s="675">
        <v>3560</v>
      </c>
      <c r="M64" s="675">
        <v>3680</v>
      </c>
      <c r="N64" s="675">
        <v>3805</v>
      </c>
      <c r="O64" s="675">
        <v>3933</v>
      </c>
      <c r="P64" s="675">
        <v>4066</v>
      </c>
      <c r="Q64" s="675">
        <v>4228</v>
      </c>
      <c r="R64" s="1023"/>
      <c r="S64" s="1023"/>
      <c r="T64" s="1023"/>
      <c r="U64" s="1023"/>
      <c r="V64" s="1019"/>
      <c r="W64" s="1103">
        <f t="shared" si="3"/>
        <v>15</v>
      </c>
    </row>
    <row r="65" spans="1:23" x14ac:dyDescent="0.2">
      <c r="A65" s="1098"/>
      <c r="B65" s="1102" t="s">
        <v>552</v>
      </c>
      <c r="C65" s="675">
        <v>2691</v>
      </c>
      <c r="D65" s="675">
        <v>2806</v>
      </c>
      <c r="E65" s="675">
        <v>2927</v>
      </c>
      <c r="F65" s="675">
        <v>3052</v>
      </c>
      <c r="G65" s="675">
        <v>3184</v>
      </c>
      <c r="H65" s="675">
        <v>3321</v>
      </c>
      <c r="I65" s="675">
        <v>3463</v>
      </c>
      <c r="J65" s="675">
        <v>3613</v>
      </c>
      <c r="K65" s="675">
        <v>3768</v>
      </c>
      <c r="L65" s="675">
        <v>3930</v>
      </c>
      <c r="M65" s="675">
        <v>4099</v>
      </c>
      <c r="N65" s="675">
        <v>4275</v>
      </c>
      <c r="O65" s="675">
        <v>4460</v>
      </c>
      <c r="P65" s="675">
        <v>4651</v>
      </c>
      <c r="Q65" s="675">
        <v>4851</v>
      </c>
      <c r="R65" s="1023"/>
      <c r="S65" s="1023"/>
      <c r="T65" s="1023"/>
      <c r="U65" s="1023"/>
      <c r="V65" s="1019"/>
      <c r="W65" s="1103">
        <f t="shared" si="3"/>
        <v>15</v>
      </c>
    </row>
    <row r="66" spans="1:23" x14ac:dyDescent="0.2">
      <c r="A66" s="1098"/>
      <c r="B66" s="1102" t="s">
        <v>553</v>
      </c>
      <c r="C66" s="675">
        <v>2691</v>
      </c>
      <c r="D66" s="675">
        <v>2806</v>
      </c>
      <c r="E66" s="675">
        <v>2961</v>
      </c>
      <c r="F66" s="675">
        <v>3124</v>
      </c>
      <c r="G66" s="675">
        <v>3288</v>
      </c>
      <c r="H66" s="675">
        <v>3459</v>
      </c>
      <c r="I66" s="675">
        <v>3637</v>
      </c>
      <c r="J66" s="675">
        <v>3817</v>
      </c>
      <c r="K66" s="675">
        <v>4007</v>
      </c>
      <c r="L66" s="675">
        <v>4204</v>
      </c>
      <c r="M66" s="675">
        <v>4406</v>
      </c>
      <c r="N66" s="675">
        <v>4616</v>
      </c>
      <c r="O66" s="675">
        <v>4833</v>
      </c>
      <c r="P66" s="675">
        <v>5055</v>
      </c>
      <c r="Q66" s="675">
        <v>5294</v>
      </c>
      <c r="R66" s="1023"/>
      <c r="S66" s="1023"/>
      <c r="T66" s="1023"/>
      <c r="U66" s="1023"/>
      <c r="V66" s="1019"/>
      <c r="W66" s="1103">
        <f t="shared" si="3"/>
        <v>15</v>
      </c>
    </row>
    <row r="67" spans="1:23" x14ac:dyDescent="0.2">
      <c r="A67" s="1098"/>
      <c r="B67" s="1102" t="s">
        <v>554</v>
      </c>
      <c r="C67" s="675">
        <v>3392</v>
      </c>
      <c r="D67" s="675">
        <v>3519</v>
      </c>
      <c r="E67" s="675">
        <v>3633</v>
      </c>
      <c r="F67" s="675">
        <v>3861</v>
      </c>
      <c r="G67" s="675">
        <v>4114</v>
      </c>
      <c r="H67" s="675">
        <v>4273</v>
      </c>
      <c r="I67" s="675">
        <v>4435</v>
      </c>
      <c r="J67" s="675">
        <v>4596</v>
      </c>
      <c r="K67" s="675">
        <v>4758</v>
      </c>
      <c r="L67" s="675">
        <v>4918</v>
      </c>
      <c r="M67" s="675">
        <v>5081</v>
      </c>
      <c r="N67" s="675">
        <v>5243</v>
      </c>
      <c r="O67" s="675">
        <v>5405</v>
      </c>
      <c r="P67" s="675">
        <v>5566</v>
      </c>
      <c r="Q67" s="675">
        <v>5732</v>
      </c>
      <c r="R67" s="1023"/>
      <c r="S67" s="1023"/>
      <c r="T67" s="1023"/>
      <c r="U67" s="1023"/>
      <c r="V67" s="1019"/>
      <c r="W67" s="1103">
        <f t="shared" si="3"/>
        <v>15</v>
      </c>
    </row>
    <row r="68" spans="1:23" x14ac:dyDescent="0.2">
      <c r="A68" s="1098"/>
      <c r="B68" s="1100" t="s">
        <v>150</v>
      </c>
      <c r="C68" s="1019">
        <f>0.5*C63</f>
        <v>1281.5</v>
      </c>
      <c r="D68" s="1020"/>
      <c r="E68" s="1020"/>
      <c r="F68" s="1020"/>
      <c r="G68" s="1020"/>
      <c r="H68" s="1020"/>
      <c r="I68" s="1020"/>
      <c r="J68" s="1020"/>
      <c r="K68" s="1020"/>
      <c r="L68" s="1020"/>
      <c r="M68" s="1020"/>
      <c r="N68" s="1020"/>
      <c r="O68" s="1020"/>
      <c r="P68" s="1020"/>
      <c r="Q68" s="1020"/>
      <c r="R68" s="1023"/>
      <c r="S68" s="1024"/>
      <c r="T68" s="1024"/>
      <c r="U68" s="1024"/>
      <c r="V68" s="1020"/>
      <c r="W68" s="1103">
        <f t="shared" ref="W68:W90" si="4">COUNTA(C68:V68)</f>
        <v>1</v>
      </c>
    </row>
    <row r="69" spans="1:23" x14ac:dyDescent="0.2">
      <c r="A69" s="1098"/>
      <c r="B69" s="1100" t="s">
        <v>151</v>
      </c>
      <c r="C69" s="1019">
        <f>0.5*C64</f>
        <v>1319.5</v>
      </c>
      <c r="D69" s="1020"/>
      <c r="E69" s="1020"/>
      <c r="F69" s="1020"/>
      <c r="G69" s="1020"/>
      <c r="H69" s="1020"/>
      <c r="I69" s="1020"/>
      <c r="J69" s="1020"/>
      <c r="K69" s="1020"/>
      <c r="L69" s="1020"/>
      <c r="M69" s="1020"/>
      <c r="N69" s="1020"/>
      <c r="O69" s="1020"/>
      <c r="P69" s="1020"/>
      <c r="Q69" s="1020"/>
      <c r="R69" s="1023"/>
      <c r="S69" s="1024"/>
      <c r="T69" s="1024"/>
      <c r="U69" s="1024"/>
      <c r="V69" s="1020"/>
      <c r="W69" s="1103">
        <f t="shared" si="4"/>
        <v>1</v>
      </c>
    </row>
    <row r="70" spans="1:23" x14ac:dyDescent="0.2">
      <c r="A70" s="1098"/>
      <c r="B70" s="1104" t="s">
        <v>335</v>
      </c>
      <c r="C70" s="675">
        <v>2888</v>
      </c>
      <c r="D70" s="675">
        <v>2999</v>
      </c>
      <c r="E70" s="675">
        <v>3113</v>
      </c>
      <c r="F70" s="675">
        <v>3223</v>
      </c>
      <c r="G70" s="675">
        <v>3334</v>
      </c>
      <c r="H70" s="675">
        <v>3447</v>
      </c>
      <c r="I70" s="675">
        <v>3559</v>
      </c>
      <c r="J70" s="675">
        <v>3671</v>
      </c>
      <c r="K70" s="675">
        <v>3781</v>
      </c>
      <c r="L70" s="675">
        <v>3893</v>
      </c>
      <c r="M70" s="675">
        <v>4007</v>
      </c>
      <c r="N70" s="675"/>
      <c r="O70" s="675"/>
      <c r="P70" s="675"/>
      <c r="Q70" s="675"/>
      <c r="R70" s="1023"/>
      <c r="S70" s="1023"/>
      <c r="T70" s="1023"/>
      <c r="U70" s="1023"/>
      <c r="V70" s="1019"/>
      <c r="W70" s="1103">
        <f t="shared" si="4"/>
        <v>11</v>
      </c>
    </row>
    <row r="71" spans="1:23" x14ac:dyDescent="0.2">
      <c r="A71" s="1098"/>
      <c r="B71" s="1104" t="s">
        <v>329</v>
      </c>
      <c r="C71" s="675">
        <v>2999</v>
      </c>
      <c r="D71" s="675">
        <v>3223</v>
      </c>
      <c r="E71" s="675">
        <v>3447</v>
      </c>
      <c r="F71" s="675">
        <v>3559</v>
      </c>
      <c r="G71" s="675">
        <v>3671</v>
      </c>
      <c r="H71" s="675">
        <v>3781</v>
      </c>
      <c r="I71" s="675">
        <v>3893</v>
      </c>
      <c r="J71" s="675">
        <v>4007</v>
      </c>
      <c r="K71" s="675">
        <v>4118</v>
      </c>
      <c r="L71" s="675">
        <v>4231</v>
      </c>
      <c r="M71" s="675"/>
      <c r="N71" s="675"/>
      <c r="O71" s="675"/>
      <c r="P71" s="675"/>
      <c r="Q71" s="675"/>
      <c r="R71" s="1023"/>
      <c r="S71" s="1023"/>
      <c r="T71" s="1023"/>
      <c r="U71" s="1023"/>
      <c r="V71" s="1019"/>
      <c r="W71" s="1103">
        <f t="shared" si="4"/>
        <v>10</v>
      </c>
    </row>
    <row r="72" spans="1:23" x14ac:dyDescent="0.2">
      <c r="A72" s="1098"/>
      <c r="B72" s="1104" t="s">
        <v>330</v>
      </c>
      <c r="C72" s="675">
        <v>2999</v>
      </c>
      <c r="D72" s="675">
        <v>3223</v>
      </c>
      <c r="E72" s="675">
        <v>3447</v>
      </c>
      <c r="F72" s="675">
        <v>3559</v>
      </c>
      <c r="G72" s="675">
        <v>3671</v>
      </c>
      <c r="H72" s="675">
        <v>3781</v>
      </c>
      <c r="I72" s="675">
        <v>3893</v>
      </c>
      <c r="J72" s="675">
        <v>4007</v>
      </c>
      <c r="K72" s="675">
        <v>4118</v>
      </c>
      <c r="L72" s="675">
        <v>4231</v>
      </c>
      <c r="M72" s="675">
        <v>4344</v>
      </c>
      <c r="N72" s="675"/>
      <c r="O72" s="675"/>
      <c r="P72" s="675"/>
      <c r="Q72" s="675"/>
      <c r="R72" s="1023"/>
      <c r="S72" s="1023"/>
      <c r="T72" s="1023"/>
      <c r="U72" s="1023"/>
      <c r="V72" s="1019"/>
      <c r="W72" s="1103">
        <f t="shared" si="4"/>
        <v>11</v>
      </c>
    </row>
    <row r="73" spans="1:23" x14ac:dyDescent="0.2">
      <c r="A73" s="1098"/>
      <c r="B73" s="1104" t="s">
        <v>555</v>
      </c>
      <c r="C73" s="675">
        <v>3113</v>
      </c>
      <c r="D73" s="675">
        <v>3447</v>
      </c>
      <c r="E73" s="675">
        <v>3671</v>
      </c>
      <c r="F73" s="675">
        <v>3893</v>
      </c>
      <c r="G73" s="675">
        <v>4118</v>
      </c>
      <c r="H73" s="675">
        <v>4231</v>
      </c>
      <c r="I73" s="675">
        <v>4344</v>
      </c>
      <c r="J73" s="675">
        <v>4454</v>
      </c>
      <c r="K73" s="675">
        <v>4566</v>
      </c>
      <c r="L73" s="675">
        <v>4676</v>
      </c>
      <c r="M73" s="675">
        <v>4791</v>
      </c>
      <c r="N73" s="675">
        <v>4902</v>
      </c>
      <c r="O73" s="675">
        <v>5014</v>
      </c>
      <c r="P73" s="675"/>
      <c r="Q73" s="675"/>
      <c r="R73" s="1023"/>
      <c r="S73" s="1023"/>
      <c r="T73" s="1023"/>
      <c r="U73" s="1023"/>
      <c r="V73" s="1019"/>
      <c r="W73" s="1103">
        <f t="shared" si="4"/>
        <v>13</v>
      </c>
    </row>
    <row r="74" spans="1:23" x14ac:dyDescent="0.2">
      <c r="A74" s="1098"/>
      <c r="B74" s="1104" t="s">
        <v>331</v>
      </c>
      <c r="C74" s="675">
        <v>3113</v>
      </c>
      <c r="D74" s="675">
        <v>3447</v>
      </c>
      <c r="E74" s="675">
        <v>3671</v>
      </c>
      <c r="F74" s="675">
        <v>3893</v>
      </c>
      <c r="G74" s="675">
        <v>4118</v>
      </c>
      <c r="H74" s="675">
        <v>4231</v>
      </c>
      <c r="I74" s="675">
        <v>4344</v>
      </c>
      <c r="J74" s="675">
        <v>4454</v>
      </c>
      <c r="K74" s="675">
        <v>4566</v>
      </c>
      <c r="L74" s="675">
        <v>4676</v>
      </c>
      <c r="M74" s="675">
        <v>4791</v>
      </c>
      <c r="N74" s="675">
        <v>4902</v>
      </c>
      <c r="O74" s="675">
        <v>5014</v>
      </c>
      <c r="P74" s="675">
        <v>5124</v>
      </c>
      <c r="Q74" s="675">
        <v>5236</v>
      </c>
      <c r="R74" s="1023"/>
      <c r="S74" s="1023"/>
      <c r="T74" s="1023"/>
      <c r="U74" s="1023"/>
      <c r="V74" s="1019"/>
      <c r="W74" s="1103">
        <f t="shared" si="4"/>
        <v>15</v>
      </c>
    </row>
    <row r="75" spans="1:23" x14ac:dyDescent="0.2">
      <c r="A75" s="1098"/>
      <c r="B75" s="1100">
        <v>1</v>
      </c>
      <c r="C75" s="1019">
        <v>1615.8</v>
      </c>
      <c r="D75" s="1019">
        <v>1615.8</v>
      </c>
      <c r="E75" s="675">
        <v>1677</v>
      </c>
      <c r="F75" s="675">
        <v>1707</v>
      </c>
      <c r="G75" s="675">
        <v>1742</v>
      </c>
      <c r="H75" s="675">
        <v>1778</v>
      </c>
      <c r="I75" s="675">
        <v>1825</v>
      </c>
      <c r="J75" s="675"/>
      <c r="K75" s="675"/>
      <c r="L75" s="675"/>
      <c r="M75" s="675"/>
      <c r="N75" s="675"/>
      <c r="O75" s="675"/>
      <c r="P75" s="675"/>
      <c r="Q75" s="675"/>
      <c r="R75" s="675"/>
      <c r="S75" s="675"/>
      <c r="T75" s="675"/>
      <c r="U75" s="1023"/>
      <c r="V75" s="1019"/>
      <c r="W75" s="1103">
        <f t="shared" si="4"/>
        <v>7</v>
      </c>
    </row>
    <row r="76" spans="1:23" x14ac:dyDescent="0.2">
      <c r="A76" s="1098"/>
      <c r="B76" s="1100">
        <v>2</v>
      </c>
      <c r="C76" s="1019">
        <v>1615.8</v>
      </c>
      <c r="D76" s="675">
        <v>1644</v>
      </c>
      <c r="E76" s="675">
        <v>1707</v>
      </c>
      <c r="F76" s="675">
        <v>1778</v>
      </c>
      <c r="G76" s="675">
        <v>1825</v>
      </c>
      <c r="H76" s="675">
        <v>1878</v>
      </c>
      <c r="I76" s="675">
        <v>1944</v>
      </c>
      <c r="J76" s="675">
        <v>2006</v>
      </c>
      <c r="K76" s="675"/>
      <c r="L76" s="675"/>
      <c r="M76" s="675"/>
      <c r="N76" s="675"/>
      <c r="O76" s="675"/>
      <c r="P76" s="675"/>
      <c r="Q76" s="675"/>
      <c r="R76" s="675"/>
      <c r="S76" s="675"/>
      <c r="T76" s="675"/>
      <c r="U76" s="1023"/>
      <c r="V76" s="1019"/>
      <c r="W76" s="1103">
        <f t="shared" si="4"/>
        <v>8</v>
      </c>
    </row>
    <row r="77" spans="1:23" x14ac:dyDescent="0.2">
      <c r="A77" s="1098"/>
      <c r="B77" s="1100">
        <v>3</v>
      </c>
      <c r="C77" s="1019">
        <v>1615.8</v>
      </c>
      <c r="D77" s="675">
        <v>1707</v>
      </c>
      <c r="E77" s="675">
        <v>1778</v>
      </c>
      <c r="F77" s="675">
        <v>1878</v>
      </c>
      <c r="G77" s="675">
        <v>1944</v>
      </c>
      <c r="H77" s="675">
        <v>2006</v>
      </c>
      <c r="I77" s="675">
        <v>2067</v>
      </c>
      <c r="J77" s="675">
        <v>2126</v>
      </c>
      <c r="K77" s="675">
        <v>2185</v>
      </c>
      <c r="L77" s="675"/>
      <c r="M77" s="675"/>
      <c r="N77" s="675"/>
      <c r="O77" s="675"/>
      <c r="P77" s="675"/>
      <c r="Q77" s="675"/>
      <c r="R77" s="675"/>
      <c r="S77" s="675"/>
      <c r="T77" s="675"/>
      <c r="U77" s="1023"/>
      <c r="V77" s="1019"/>
      <c r="W77" s="1103">
        <f t="shared" si="4"/>
        <v>9</v>
      </c>
    </row>
    <row r="78" spans="1:23" x14ac:dyDescent="0.2">
      <c r="A78" s="1098"/>
      <c r="B78" s="1100">
        <v>4</v>
      </c>
      <c r="C78" s="1019">
        <v>1615.8</v>
      </c>
      <c r="D78" s="675">
        <v>1677</v>
      </c>
      <c r="E78" s="675">
        <v>1742</v>
      </c>
      <c r="F78" s="675">
        <v>1825</v>
      </c>
      <c r="G78" s="675">
        <v>1944</v>
      </c>
      <c r="H78" s="675">
        <v>2006</v>
      </c>
      <c r="I78" s="675">
        <v>2067</v>
      </c>
      <c r="J78" s="675">
        <v>2126</v>
      </c>
      <c r="K78" s="675">
        <v>2185</v>
      </c>
      <c r="L78" s="675">
        <v>2241</v>
      </c>
      <c r="M78" s="675">
        <v>2298</v>
      </c>
      <c r="N78" s="675"/>
      <c r="O78" s="675"/>
      <c r="P78" s="675"/>
      <c r="Q78" s="675"/>
      <c r="R78" s="675"/>
      <c r="S78" s="675"/>
      <c r="T78" s="675"/>
      <c r="U78" s="1023"/>
      <c r="V78" s="1019"/>
      <c r="W78" s="1103">
        <f t="shared" si="4"/>
        <v>11</v>
      </c>
    </row>
    <row r="79" spans="1:23" x14ac:dyDescent="0.2">
      <c r="A79" s="1098"/>
      <c r="B79" s="1100">
        <v>5</v>
      </c>
      <c r="C79" s="675">
        <v>1644</v>
      </c>
      <c r="D79" s="675">
        <v>1677</v>
      </c>
      <c r="E79" s="675">
        <v>1778</v>
      </c>
      <c r="F79" s="675">
        <v>1878</v>
      </c>
      <c r="G79" s="675">
        <v>2006</v>
      </c>
      <c r="H79" s="675">
        <v>2067</v>
      </c>
      <c r="I79" s="675">
        <v>2126</v>
      </c>
      <c r="J79" s="675">
        <v>2185</v>
      </c>
      <c r="K79" s="675">
        <v>2241</v>
      </c>
      <c r="L79" s="675">
        <v>2298</v>
      </c>
      <c r="M79" s="675">
        <v>2353</v>
      </c>
      <c r="N79" s="675">
        <v>2416</v>
      </c>
      <c r="O79" s="675"/>
      <c r="P79" s="675"/>
      <c r="Q79" s="675"/>
      <c r="R79" s="675"/>
      <c r="S79" s="675"/>
      <c r="T79" s="675"/>
      <c r="U79" s="1023"/>
      <c r="V79" s="1019"/>
      <c r="W79" s="1103">
        <f t="shared" si="4"/>
        <v>12</v>
      </c>
    </row>
    <row r="80" spans="1:23" x14ac:dyDescent="0.2">
      <c r="A80" s="1098"/>
      <c r="B80" s="1100">
        <v>6</v>
      </c>
      <c r="C80" s="675">
        <v>1707</v>
      </c>
      <c r="D80" s="675">
        <v>1778</v>
      </c>
      <c r="E80" s="675">
        <v>2006</v>
      </c>
      <c r="F80" s="675">
        <v>2126</v>
      </c>
      <c r="G80" s="675">
        <v>2185</v>
      </c>
      <c r="H80" s="675">
        <v>2241</v>
      </c>
      <c r="I80" s="675">
        <v>2298</v>
      </c>
      <c r="J80" s="675">
        <v>2353</v>
      </c>
      <c r="K80" s="675">
        <v>2416</v>
      </c>
      <c r="L80" s="675">
        <v>2475</v>
      </c>
      <c r="M80" s="675">
        <v>2531</v>
      </c>
      <c r="N80" s="675"/>
      <c r="O80" s="675"/>
      <c r="P80" s="675"/>
      <c r="Q80" s="675"/>
      <c r="R80" s="675"/>
      <c r="S80" s="675"/>
      <c r="T80" s="675"/>
      <c r="U80" s="1023"/>
      <c r="V80" s="1019"/>
      <c r="W80" s="1103">
        <f t="shared" si="4"/>
        <v>11</v>
      </c>
    </row>
    <row r="81" spans="1:25" x14ac:dyDescent="0.2">
      <c r="A81" s="1098"/>
      <c r="B81" s="1100">
        <v>7</v>
      </c>
      <c r="C81" s="675">
        <v>1825</v>
      </c>
      <c r="D81" s="675">
        <v>1878</v>
      </c>
      <c r="E81" s="675">
        <v>2006</v>
      </c>
      <c r="F81" s="675">
        <v>2241</v>
      </c>
      <c r="G81" s="675">
        <v>2353</v>
      </c>
      <c r="H81" s="675">
        <v>2416</v>
      </c>
      <c r="I81" s="675">
        <v>2475</v>
      </c>
      <c r="J81" s="675">
        <v>2531</v>
      </c>
      <c r="K81" s="675">
        <v>2590</v>
      </c>
      <c r="L81" s="675">
        <v>2653</v>
      </c>
      <c r="M81" s="675">
        <v>2719</v>
      </c>
      <c r="N81" s="675">
        <v>2791</v>
      </c>
      <c r="O81" s="675"/>
      <c r="P81" s="675"/>
      <c r="Q81" s="675"/>
      <c r="R81" s="675"/>
      <c r="S81" s="675"/>
      <c r="T81" s="675"/>
      <c r="U81" s="1023"/>
      <c r="V81" s="1019"/>
      <c r="W81" s="1103">
        <f t="shared" si="4"/>
        <v>12</v>
      </c>
    </row>
    <row r="82" spans="1:25" x14ac:dyDescent="0.2">
      <c r="A82" s="1098"/>
      <c r="B82" s="1100">
        <v>8</v>
      </c>
      <c r="C82" s="675">
        <v>2067</v>
      </c>
      <c r="D82" s="675">
        <v>2126</v>
      </c>
      <c r="E82" s="675">
        <v>2241</v>
      </c>
      <c r="F82" s="675">
        <v>2475</v>
      </c>
      <c r="G82" s="675">
        <v>2590</v>
      </c>
      <c r="H82" s="675">
        <v>2719</v>
      </c>
      <c r="I82" s="675">
        <v>2791</v>
      </c>
      <c r="J82" s="675">
        <v>2857</v>
      </c>
      <c r="K82" s="675">
        <v>2916</v>
      </c>
      <c r="L82" s="675">
        <v>2979</v>
      </c>
      <c r="M82" s="675">
        <v>3043</v>
      </c>
      <c r="N82" s="675">
        <v>3102</v>
      </c>
      <c r="O82" s="675">
        <v>3157</v>
      </c>
      <c r="P82" s="675"/>
      <c r="Q82" s="675"/>
      <c r="R82" s="675"/>
      <c r="S82" s="675"/>
      <c r="T82" s="675"/>
      <c r="U82" s="1023"/>
      <c r="V82" s="1019"/>
      <c r="W82" s="1103">
        <f t="shared" si="4"/>
        <v>13</v>
      </c>
    </row>
    <row r="83" spans="1:25" x14ac:dyDescent="0.2">
      <c r="A83" s="1098"/>
      <c r="B83" s="1100">
        <v>9</v>
      </c>
      <c r="C83" s="675">
        <v>2394</v>
      </c>
      <c r="D83" s="675">
        <v>2516</v>
      </c>
      <c r="E83" s="675">
        <v>2762</v>
      </c>
      <c r="F83" s="675">
        <v>2903</v>
      </c>
      <c r="G83" s="675">
        <v>3025</v>
      </c>
      <c r="H83" s="675">
        <v>3149</v>
      </c>
      <c r="I83" s="675">
        <v>3266</v>
      </c>
      <c r="J83" s="675">
        <v>3383</v>
      </c>
      <c r="K83" s="675">
        <v>3510</v>
      </c>
      <c r="L83" s="675">
        <v>3622</v>
      </c>
      <c r="M83" s="675"/>
      <c r="N83" s="675"/>
      <c r="O83" s="675"/>
      <c r="P83" s="675"/>
      <c r="Q83" s="675"/>
      <c r="R83" s="675"/>
      <c r="S83" s="675"/>
      <c r="T83" s="675"/>
      <c r="U83" s="1023"/>
      <c r="V83" s="1019"/>
      <c r="W83" s="1103">
        <f t="shared" si="4"/>
        <v>10</v>
      </c>
    </row>
    <row r="84" spans="1:25" x14ac:dyDescent="0.2">
      <c r="A84" s="1098"/>
      <c r="B84" s="1100">
        <v>10</v>
      </c>
      <c r="C84" s="675">
        <v>2377</v>
      </c>
      <c r="D84" s="675">
        <v>2616</v>
      </c>
      <c r="E84" s="675">
        <v>2745</v>
      </c>
      <c r="F84" s="675">
        <v>2886</v>
      </c>
      <c r="G84" s="675">
        <v>3008</v>
      </c>
      <c r="H84" s="675">
        <v>3232</v>
      </c>
      <c r="I84" s="675">
        <v>3249</v>
      </c>
      <c r="J84" s="675">
        <v>3365</v>
      </c>
      <c r="K84" s="675">
        <v>3493</v>
      </c>
      <c r="L84" s="675">
        <v>3604</v>
      </c>
      <c r="M84" s="675">
        <v>3721</v>
      </c>
      <c r="N84" s="675">
        <v>3833</v>
      </c>
      <c r="O84" s="675">
        <v>3961</v>
      </c>
      <c r="P84" s="675"/>
      <c r="Q84" s="675"/>
      <c r="R84" s="675"/>
      <c r="S84" s="675"/>
      <c r="T84" s="675"/>
      <c r="U84" s="1023"/>
      <c r="V84" s="1019"/>
      <c r="W84" s="1103">
        <f t="shared" si="4"/>
        <v>13</v>
      </c>
    </row>
    <row r="85" spans="1:25" x14ac:dyDescent="0.2">
      <c r="A85" s="1098"/>
      <c r="B85" s="1100">
        <v>11</v>
      </c>
      <c r="C85" s="675">
        <v>2499</v>
      </c>
      <c r="D85" s="675">
        <v>2616</v>
      </c>
      <c r="E85" s="675">
        <v>2745</v>
      </c>
      <c r="F85" s="675">
        <v>2886</v>
      </c>
      <c r="G85" s="675">
        <v>3008</v>
      </c>
      <c r="H85" s="675">
        <v>3132</v>
      </c>
      <c r="I85" s="675">
        <v>3249</v>
      </c>
      <c r="J85" s="675">
        <v>3493</v>
      </c>
      <c r="K85" s="675">
        <v>3604</v>
      </c>
      <c r="L85" s="675">
        <v>3721</v>
      </c>
      <c r="M85" s="675">
        <v>3833</v>
      </c>
      <c r="N85" s="675">
        <v>3961</v>
      </c>
      <c r="O85" s="675">
        <v>4086</v>
      </c>
      <c r="P85" s="675">
        <v>4209</v>
      </c>
      <c r="Q85" s="675">
        <v>4326</v>
      </c>
      <c r="R85" s="675">
        <v>4446</v>
      </c>
      <c r="S85" s="675">
        <v>4559</v>
      </c>
      <c r="T85" s="675">
        <v>4621</v>
      </c>
      <c r="U85" s="1023"/>
      <c r="V85" s="1019"/>
      <c r="W85" s="1103">
        <f t="shared" si="4"/>
        <v>18</v>
      </c>
    </row>
    <row r="86" spans="1:25" x14ac:dyDescent="0.2">
      <c r="A86" s="1098"/>
      <c r="B86" s="1100">
        <v>12</v>
      </c>
      <c r="C86" s="675">
        <v>3365</v>
      </c>
      <c r="D86" s="675">
        <v>3493</v>
      </c>
      <c r="E86" s="675">
        <v>3604</v>
      </c>
      <c r="F86" s="675">
        <v>3721</v>
      </c>
      <c r="G86" s="675">
        <v>3833</v>
      </c>
      <c r="H86" s="675">
        <v>3961</v>
      </c>
      <c r="I86" s="675">
        <v>4209</v>
      </c>
      <c r="J86" s="675">
        <v>4326</v>
      </c>
      <c r="K86" s="675">
        <v>4446</v>
      </c>
      <c r="L86" s="675">
        <v>4559</v>
      </c>
      <c r="M86" s="675">
        <v>4682</v>
      </c>
      <c r="N86" s="675">
        <v>4802</v>
      </c>
      <c r="O86" s="675">
        <v>4916</v>
      </c>
      <c r="P86" s="675">
        <v>5036</v>
      </c>
      <c r="Q86" s="675">
        <v>5183</v>
      </c>
      <c r="R86" s="675">
        <v>5258</v>
      </c>
      <c r="S86" s="675"/>
      <c r="T86" s="675"/>
      <c r="U86" s="1023"/>
      <c r="V86" s="1019"/>
      <c r="W86" s="1103">
        <f t="shared" si="4"/>
        <v>16</v>
      </c>
    </row>
    <row r="87" spans="1:25" x14ac:dyDescent="0.2">
      <c r="A87" s="1098"/>
      <c r="B87" s="1100">
        <v>13</v>
      </c>
      <c r="C87" s="675">
        <v>4086</v>
      </c>
      <c r="D87" s="675">
        <v>4209</v>
      </c>
      <c r="E87" s="675">
        <v>4326</v>
      </c>
      <c r="F87" s="675">
        <v>4446</v>
      </c>
      <c r="G87" s="675">
        <v>4559</v>
      </c>
      <c r="H87" s="675">
        <v>4802</v>
      </c>
      <c r="I87" s="675">
        <v>4916</v>
      </c>
      <c r="J87" s="675">
        <v>5036</v>
      </c>
      <c r="K87" s="675">
        <v>5183</v>
      </c>
      <c r="L87" s="675">
        <v>5332</v>
      </c>
      <c r="M87" s="675">
        <v>5481</v>
      </c>
      <c r="N87" s="675">
        <v>5629</v>
      </c>
      <c r="O87" s="675">
        <v>5702</v>
      </c>
      <c r="P87" s="675"/>
      <c r="Q87" s="675"/>
      <c r="R87" s="675"/>
      <c r="S87" s="675"/>
      <c r="T87" s="675"/>
      <c r="U87" s="1023"/>
      <c r="V87" s="1019"/>
      <c r="W87" s="1103">
        <f t="shared" si="4"/>
        <v>13</v>
      </c>
    </row>
    <row r="88" spans="1:25" x14ac:dyDescent="0.2">
      <c r="A88" s="1098"/>
      <c r="B88" s="1100">
        <v>14</v>
      </c>
      <c r="C88" s="675">
        <v>4682</v>
      </c>
      <c r="D88" s="675">
        <v>4802</v>
      </c>
      <c r="E88" s="675">
        <v>5036</v>
      </c>
      <c r="F88" s="675">
        <v>5183</v>
      </c>
      <c r="G88" s="675">
        <v>5332</v>
      </c>
      <c r="H88" s="675">
        <v>5481</v>
      </c>
      <c r="I88" s="675">
        <v>5629</v>
      </c>
      <c r="J88" s="675">
        <v>5779</v>
      </c>
      <c r="K88" s="675">
        <v>5938</v>
      </c>
      <c r="L88" s="675">
        <v>6097</v>
      </c>
      <c r="M88" s="675">
        <v>6264</v>
      </c>
      <c r="N88" s="675"/>
      <c r="O88" s="675"/>
      <c r="P88" s="675"/>
      <c r="Q88" s="675"/>
      <c r="R88" s="675"/>
      <c r="S88" s="675"/>
      <c r="T88" s="675"/>
      <c r="U88" s="1023"/>
      <c r="V88" s="1019"/>
      <c r="W88" s="1103">
        <f t="shared" si="4"/>
        <v>11</v>
      </c>
    </row>
    <row r="89" spans="1:25" x14ac:dyDescent="0.2">
      <c r="A89" s="1098"/>
      <c r="B89" s="1100">
        <v>15</v>
      </c>
      <c r="C89" s="675">
        <v>4916</v>
      </c>
      <c r="D89" s="675">
        <v>5036</v>
      </c>
      <c r="E89" s="675">
        <v>5183</v>
      </c>
      <c r="F89" s="675">
        <v>5481</v>
      </c>
      <c r="G89" s="675">
        <v>5629</v>
      </c>
      <c r="H89" s="675">
        <v>5779</v>
      </c>
      <c r="I89" s="675">
        <v>5938</v>
      </c>
      <c r="J89" s="675">
        <v>6097</v>
      </c>
      <c r="K89" s="675">
        <v>6264</v>
      </c>
      <c r="L89" s="675">
        <v>6463</v>
      </c>
      <c r="M89" s="675">
        <v>6671</v>
      </c>
      <c r="N89" s="675">
        <v>6883</v>
      </c>
      <c r="O89" s="675"/>
      <c r="P89" s="675"/>
      <c r="Q89" s="675"/>
      <c r="R89" s="675"/>
      <c r="S89" s="675"/>
      <c r="T89" s="675"/>
      <c r="U89" s="1025"/>
      <c r="V89" s="1021"/>
      <c r="W89" s="1103">
        <f t="shared" si="4"/>
        <v>12</v>
      </c>
    </row>
    <row r="90" spans="1:25" x14ac:dyDescent="0.2">
      <c r="A90" s="1098"/>
      <c r="B90" s="1100">
        <v>16</v>
      </c>
      <c r="C90" s="675">
        <v>5332</v>
      </c>
      <c r="D90" s="675">
        <v>5481</v>
      </c>
      <c r="E90" s="675">
        <v>5629</v>
      </c>
      <c r="F90" s="675">
        <v>5938</v>
      </c>
      <c r="G90" s="675">
        <v>6097</v>
      </c>
      <c r="H90" s="675">
        <v>6264</v>
      </c>
      <c r="I90" s="675">
        <v>6463</v>
      </c>
      <c r="J90" s="675">
        <v>6671</v>
      </c>
      <c r="K90" s="675">
        <v>6883</v>
      </c>
      <c r="L90" s="675">
        <v>7104</v>
      </c>
      <c r="M90" s="675">
        <v>7327</v>
      </c>
      <c r="N90" s="675">
        <v>7561</v>
      </c>
      <c r="O90" s="675"/>
      <c r="P90" s="675"/>
      <c r="Q90" s="675"/>
      <c r="R90" s="675"/>
      <c r="S90" s="675"/>
      <c r="T90" s="675"/>
      <c r="U90" s="1025"/>
      <c r="V90" s="1021"/>
      <c r="W90" s="1103">
        <f t="shared" si="4"/>
        <v>12</v>
      </c>
    </row>
    <row r="91" spans="1:25" x14ac:dyDescent="0.2">
      <c r="A91" s="1098"/>
      <c r="B91" s="1098"/>
      <c r="C91" s="1098"/>
      <c r="D91" s="1098"/>
      <c r="E91" s="1098"/>
      <c r="F91" s="1098"/>
      <c r="G91" s="1098"/>
      <c r="H91" s="1098"/>
      <c r="I91" s="1098"/>
      <c r="J91" s="1098"/>
      <c r="K91" s="1098"/>
      <c r="L91" s="1098"/>
      <c r="M91" s="1098"/>
      <c r="N91" s="1098"/>
      <c r="O91" s="1098"/>
      <c r="P91" s="1098"/>
      <c r="Q91" s="1098"/>
      <c r="R91" s="1098"/>
      <c r="S91" s="1098"/>
      <c r="T91" s="1098"/>
      <c r="U91" s="1098"/>
      <c r="V91" s="1098"/>
      <c r="W91" s="1098"/>
    </row>
    <row r="92" spans="1:25" x14ac:dyDescent="0.2">
      <c r="A92" s="1098"/>
      <c r="B92" s="1099" t="s">
        <v>145</v>
      </c>
      <c r="C92" s="1178">
        <v>43831</v>
      </c>
      <c r="D92" s="1179"/>
      <c r="E92" s="34"/>
      <c r="F92" s="1100"/>
      <c r="G92" s="1100"/>
      <c r="H92" s="1100"/>
      <c r="I92" s="1100"/>
      <c r="J92" s="1100"/>
      <c r="K92" s="1100"/>
      <c r="L92" s="1100"/>
      <c r="M92" s="1100"/>
      <c r="N92" s="1100"/>
      <c r="O92" s="1100"/>
      <c r="P92" s="1100"/>
      <c r="Q92" s="1100"/>
      <c r="R92" s="1100"/>
      <c r="S92" s="1100"/>
      <c r="T92" s="1100"/>
      <c r="U92" s="1100"/>
      <c r="V92" s="1100"/>
      <c r="W92" s="1100"/>
    </row>
    <row r="93" spans="1:25" x14ac:dyDescent="0.2">
      <c r="A93" s="1098"/>
      <c r="B93" s="34" t="s">
        <v>146</v>
      </c>
      <c r="C93" s="1101">
        <v>1</v>
      </c>
      <c r="D93" s="1101">
        <v>2</v>
      </c>
      <c r="E93" s="1101">
        <v>3</v>
      </c>
      <c r="F93" s="1101">
        <v>4</v>
      </c>
      <c r="G93" s="1101">
        <v>5</v>
      </c>
      <c r="H93" s="1101">
        <v>6</v>
      </c>
      <c r="I93" s="1101">
        <v>7</v>
      </c>
      <c r="J93" s="1101">
        <v>8</v>
      </c>
      <c r="K93" s="1101">
        <v>9</v>
      </c>
      <c r="L93" s="1101">
        <v>10</v>
      </c>
      <c r="M93" s="1101">
        <v>11</v>
      </c>
      <c r="N93" s="1101">
        <v>12</v>
      </c>
      <c r="O93" s="1101">
        <v>13</v>
      </c>
      <c r="P93" s="1101">
        <v>14</v>
      </c>
      <c r="Q93" s="1101">
        <v>15</v>
      </c>
      <c r="R93" s="1101">
        <v>16</v>
      </c>
      <c r="S93" s="1101">
        <v>17</v>
      </c>
      <c r="T93" s="1101">
        <v>18</v>
      </c>
      <c r="U93" s="1101">
        <v>19</v>
      </c>
      <c r="V93" s="1101">
        <v>20</v>
      </c>
      <c r="W93" s="1101" t="s">
        <v>147</v>
      </c>
    </row>
    <row r="94" spans="1:25" x14ac:dyDescent="0.2">
      <c r="A94" s="1098"/>
      <c r="B94" s="1102" t="s">
        <v>130</v>
      </c>
      <c r="C94" s="675">
        <v>2648</v>
      </c>
      <c r="D94" s="675">
        <v>2766</v>
      </c>
      <c r="E94" s="675">
        <v>2895</v>
      </c>
      <c r="F94" s="675">
        <v>3036</v>
      </c>
      <c r="G94" s="675">
        <v>3157</v>
      </c>
      <c r="H94" s="675">
        <v>3282</v>
      </c>
      <c r="I94" s="675">
        <v>3397</v>
      </c>
      <c r="J94" s="675">
        <v>3514</v>
      </c>
      <c r="K94" s="675">
        <v>3639</v>
      </c>
      <c r="L94" s="675">
        <v>3755</v>
      </c>
      <c r="M94" s="675">
        <v>3867</v>
      </c>
      <c r="N94" s="675">
        <v>3982</v>
      </c>
      <c r="O94" s="675">
        <v>4176</v>
      </c>
      <c r="P94" s="675"/>
      <c r="Q94" s="675"/>
      <c r="R94" s="675"/>
      <c r="S94" s="675"/>
      <c r="T94" s="675"/>
      <c r="U94" s="675"/>
      <c r="V94" s="675"/>
      <c r="W94" s="1103">
        <f t="shared" ref="W94:W103" si="5">COUNTA(C94:V94)</f>
        <v>13</v>
      </c>
      <c r="Y94" s="1111" t="s">
        <v>568</v>
      </c>
    </row>
    <row r="95" spans="1:25" x14ac:dyDescent="0.2">
      <c r="A95" s="1098"/>
      <c r="B95" s="1102" t="s">
        <v>131</v>
      </c>
      <c r="C95" s="675">
        <v>2704</v>
      </c>
      <c r="D95" s="675">
        <v>2835</v>
      </c>
      <c r="E95" s="675">
        <v>2973</v>
      </c>
      <c r="F95" s="675">
        <v>3098</v>
      </c>
      <c r="G95" s="675">
        <v>3220</v>
      </c>
      <c r="H95" s="675">
        <v>3338</v>
      </c>
      <c r="I95" s="675">
        <v>3453</v>
      </c>
      <c r="J95" s="675">
        <v>3580</v>
      </c>
      <c r="K95" s="675">
        <v>3694</v>
      </c>
      <c r="L95" s="675">
        <v>3808</v>
      </c>
      <c r="M95" s="675">
        <v>3923</v>
      </c>
      <c r="N95" s="675">
        <v>4048</v>
      </c>
      <c r="O95" s="675">
        <v>4176</v>
      </c>
      <c r="P95" s="675">
        <v>4297</v>
      </c>
      <c r="Q95" s="675">
        <v>4416</v>
      </c>
      <c r="R95" s="675">
        <v>4533</v>
      </c>
      <c r="S95" s="675">
        <v>4649</v>
      </c>
      <c r="T95" s="675">
        <v>4709</v>
      </c>
      <c r="U95" s="675"/>
      <c r="V95" s="675"/>
      <c r="W95" s="1103">
        <f t="shared" si="5"/>
        <v>18</v>
      </c>
    </row>
    <row r="96" spans="1:25" x14ac:dyDescent="0.2">
      <c r="A96" s="1098"/>
      <c r="B96" s="1102" t="s">
        <v>132</v>
      </c>
      <c r="C96" s="675">
        <v>2835</v>
      </c>
      <c r="D96" s="675">
        <v>2973</v>
      </c>
      <c r="E96" s="675">
        <v>3220</v>
      </c>
      <c r="F96" s="675">
        <v>3453</v>
      </c>
      <c r="G96" s="675">
        <v>3580</v>
      </c>
      <c r="H96" s="675">
        <v>3694</v>
      </c>
      <c r="I96" s="675">
        <v>3808</v>
      </c>
      <c r="J96" s="675">
        <v>3923</v>
      </c>
      <c r="K96" s="675">
        <v>4048</v>
      </c>
      <c r="L96" s="675">
        <v>4176</v>
      </c>
      <c r="M96" s="675">
        <v>4297</v>
      </c>
      <c r="N96" s="675">
        <v>4416</v>
      </c>
      <c r="O96" s="675">
        <v>4533</v>
      </c>
      <c r="P96" s="675">
        <v>4649</v>
      </c>
      <c r="Q96" s="675">
        <v>4770</v>
      </c>
      <c r="R96" s="675">
        <v>4890</v>
      </c>
      <c r="S96" s="675">
        <v>5003</v>
      </c>
      <c r="T96" s="675">
        <v>5123</v>
      </c>
      <c r="U96" s="675">
        <v>5272</v>
      </c>
      <c r="V96" s="675">
        <v>5345</v>
      </c>
      <c r="W96" s="1103">
        <f t="shared" si="5"/>
        <v>20</v>
      </c>
    </row>
    <row r="97" spans="1:23" x14ac:dyDescent="0.2">
      <c r="A97" s="1098"/>
      <c r="B97" s="1102" t="s">
        <v>135</v>
      </c>
      <c r="C97" s="675">
        <v>2973</v>
      </c>
      <c r="D97" s="675">
        <v>3220</v>
      </c>
      <c r="E97" s="675">
        <v>3453</v>
      </c>
      <c r="F97" s="675">
        <v>3694</v>
      </c>
      <c r="G97" s="675">
        <v>3923</v>
      </c>
      <c r="H97" s="675">
        <v>4176</v>
      </c>
      <c r="I97" s="675">
        <v>4297</v>
      </c>
      <c r="J97" s="675">
        <v>4416</v>
      </c>
      <c r="K97" s="675">
        <v>4533</v>
      </c>
      <c r="L97" s="675">
        <v>4649</v>
      </c>
      <c r="M97" s="675">
        <v>4770</v>
      </c>
      <c r="N97" s="675">
        <v>4890</v>
      </c>
      <c r="O97" s="675">
        <v>5003</v>
      </c>
      <c r="P97" s="675">
        <v>5123</v>
      </c>
      <c r="Q97" s="675">
        <v>5272</v>
      </c>
      <c r="R97" s="675">
        <v>5420</v>
      </c>
      <c r="S97" s="675">
        <v>5569</v>
      </c>
      <c r="T97" s="675">
        <v>5718</v>
      </c>
      <c r="U97" s="675">
        <v>5789</v>
      </c>
      <c r="V97" s="675"/>
      <c r="W97" s="1103">
        <f t="shared" si="5"/>
        <v>19</v>
      </c>
    </row>
    <row r="98" spans="1:23" x14ac:dyDescent="0.2">
      <c r="A98" s="1098"/>
      <c r="B98" s="1102" t="s">
        <v>123</v>
      </c>
      <c r="C98" s="675">
        <v>2888</v>
      </c>
      <c r="D98" s="675">
        <v>2999</v>
      </c>
      <c r="E98" s="675">
        <v>3113</v>
      </c>
      <c r="F98" s="675">
        <v>3223</v>
      </c>
      <c r="G98" s="675">
        <v>3334</v>
      </c>
      <c r="H98" s="675">
        <v>3447</v>
      </c>
      <c r="I98" s="675">
        <v>3559</v>
      </c>
      <c r="J98" s="675">
        <v>3671</v>
      </c>
      <c r="K98" s="675">
        <v>3781</v>
      </c>
      <c r="L98" s="675">
        <v>3893</v>
      </c>
      <c r="M98" s="675">
        <v>4007</v>
      </c>
      <c r="N98" s="675">
        <v>4118</v>
      </c>
      <c r="O98" s="675">
        <v>4231</v>
      </c>
      <c r="P98" s="675"/>
      <c r="Q98" s="675"/>
      <c r="R98" s="675"/>
      <c r="S98" s="675"/>
      <c r="T98" s="675"/>
      <c r="U98" s="1019"/>
      <c r="V98" s="1019"/>
      <c r="W98" s="1103">
        <f t="shared" si="5"/>
        <v>13</v>
      </c>
    </row>
    <row r="99" spans="1:23" x14ac:dyDescent="0.2">
      <c r="A99" s="1098"/>
      <c r="B99" s="1102" t="s">
        <v>124</v>
      </c>
      <c r="C99" s="675">
        <v>2999</v>
      </c>
      <c r="D99" s="675">
        <v>3223</v>
      </c>
      <c r="E99" s="675">
        <v>3447</v>
      </c>
      <c r="F99" s="675">
        <v>3559</v>
      </c>
      <c r="G99" s="675">
        <v>3671</v>
      </c>
      <c r="H99" s="675">
        <v>3781</v>
      </c>
      <c r="I99" s="675">
        <v>3893</v>
      </c>
      <c r="J99" s="675">
        <v>4007</v>
      </c>
      <c r="K99" s="675">
        <v>4118</v>
      </c>
      <c r="L99" s="675">
        <v>4231</v>
      </c>
      <c r="M99" s="675">
        <v>4344</v>
      </c>
      <c r="N99" s="675">
        <v>4454</v>
      </c>
      <c r="O99" s="675">
        <v>4566</v>
      </c>
      <c r="P99" s="675">
        <v>4676</v>
      </c>
      <c r="Q99" s="675">
        <v>4791</v>
      </c>
      <c r="R99" s="675"/>
      <c r="S99" s="675"/>
      <c r="T99" s="675"/>
      <c r="U99" s="1019"/>
      <c r="V99" s="1019"/>
      <c r="W99" s="1103">
        <f t="shared" si="5"/>
        <v>15</v>
      </c>
    </row>
    <row r="100" spans="1:23" x14ac:dyDescent="0.2">
      <c r="A100" s="1098"/>
      <c r="B100" s="1102" t="s">
        <v>148</v>
      </c>
      <c r="C100" s="675">
        <v>2999</v>
      </c>
      <c r="D100" s="675">
        <v>3223</v>
      </c>
      <c r="E100" s="675">
        <v>3447</v>
      </c>
      <c r="F100" s="675">
        <v>3559</v>
      </c>
      <c r="G100" s="675">
        <v>3671</v>
      </c>
      <c r="H100" s="675">
        <v>3781</v>
      </c>
      <c r="I100" s="675">
        <v>3893</v>
      </c>
      <c r="J100" s="675">
        <v>4007</v>
      </c>
      <c r="K100" s="675">
        <v>4118</v>
      </c>
      <c r="L100" s="675">
        <v>4231</v>
      </c>
      <c r="M100" s="675">
        <v>4344</v>
      </c>
      <c r="N100" s="675">
        <v>4454</v>
      </c>
      <c r="O100" s="675">
        <v>4566</v>
      </c>
      <c r="P100" s="675">
        <v>4676</v>
      </c>
      <c r="Q100" s="675">
        <v>4791</v>
      </c>
      <c r="R100" s="675">
        <v>4902</v>
      </c>
      <c r="S100" s="675">
        <v>5014</v>
      </c>
      <c r="T100" s="675"/>
      <c r="U100" s="1019"/>
      <c r="V100" s="1019"/>
      <c r="W100" s="1103">
        <f t="shared" si="5"/>
        <v>17</v>
      </c>
    </row>
    <row r="101" spans="1:23" x14ac:dyDescent="0.2">
      <c r="A101" s="1098"/>
      <c r="B101" s="1102" t="s">
        <v>125</v>
      </c>
      <c r="C101" s="675">
        <v>3113</v>
      </c>
      <c r="D101" s="675">
        <v>3447</v>
      </c>
      <c r="E101" s="675">
        <v>3671</v>
      </c>
      <c r="F101" s="675">
        <v>3893</v>
      </c>
      <c r="G101" s="675">
        <v>4118</v>
      </c>
      <c r="H101" s="675">
        <v>4231</v>
      </c>
      <c r="I101" s="675">
        <v>4344</v>
      </c>
      <c r="J101" s="675">
        <v>4454</v>
      </c>
      <c r="K101" s="675">
        <v>4566</v>
      </c>
      <c r="L101" s="675">
        <v>4676</v>
      </c>
      <c r="M101" s="675">
        <v>4791</v>
      </c>
      <c r="N101" s="675">
        <v>4902</v>
      </c>
      <c r="O101" s="675">
        <v>5014</v>
      </c>
      <c r="P101" s="675">
        <v>5124</v>
      </c>
      <c r="Q101" s="675">
        <v>5236</v>
      </c>
      <c r="R101" s="675">
        <v>5350</v>
      </c>
      <c r="S101" s="675"/>
      <c r="T101" s="675"/>
      <c r="U101" s="1019"/>
      <c r="V101" s="1019"/>
      <c r="W101" s="1103">
        <f t="shared" si="5"/>
        <v>16</v>
      </c>
    </row>
    <row r="102" spans="1:23" x14ac:dyDescent="0.2">
      <c r="A102" s="1098"/>
      <c r="B102" s="1102" t="s">
        <v>149</v>
      </c>
      <c r="C102" s="675">
        <v>3113</v>
      </c>
      <c r="D102" s="675">
        <v>3447</v>
      </c>
      <c r="E102" s="675">
        <v>3671</v>
      </c>
      <c r="F102" s="675">
        <v>3893</v>
      </c>
      <c r="G102" s="675">
        <v>4118</v>
      </c>
      <c r="H102" s="675">
        <v>4231</v>
      </c>
      <c r="I102" s="675">
        <v>4344</v>
      </c>
      <c r="J102" s="675">
        <v>4454</v>
      </c>
      <c r="K102" s="675">
        <v>4566</v>
      </c>
      <c r="L102" s="675">
        <v>4676</v>
      </c>
      <c r="M102" s="675">
        <v>4791</v>
      </c>
      <c r="N102" s="675">
        <v>4902</v>
      </c>
      <c r="O102" s="675">
        <v>5014</v>
      </c>
      <c r="P102" s="675">
        <v>5124</v>
      </c>
      <c r="Q102" s="675">
        <v>5236</v>
      </c>
      <c r="R102" s="675">
        <v>5350</v>
      </c>
      <c r="S102" s="675">
        <v>5461</v>
      </c>
      <c r="T102" s="675">
        <v>5572</v>
      </c>
      <c r="U102" s="1019"/>
      <c r="V102" s="1019"/>
      <c r="W102" s="1103">
        <f t="shared" si="5"/>
        <v>18</v>
      </c>
    </row>
    <row r="103" spans="1:23" x14ac:dyDescent="0.2">
      <c r="A103" s="1098"/>
      <c r="B103" s="1102" t="s">
        <v>133</v>
      </c>
      <c r="C103" s="675">
        <v>3160</v>
      </c>
      <c r="D103" s="675">
        <v>3392</v>
      </c>
      <c r="E103" s="675">
        <v>3630</v>
      </c>
      <c r="F103" s="675">
        <v>3857</v>
      </c>
      <c r="G103" s="675">
        <v>4109</v>
      </c>
      <c r="H103" s="675">
        <v>4231</v>
      </c>
      <c r="I103" s="675">
        <v>4348</v>
      </c>
      <c r="J103" s="675">
        <v>4467</v>
      </c>
      <c r="K103" s="675">
        <v>4580</v>
      </c>
      <c r="L103" s="675">
        <v>4702</v>
      </c>
      <c r="M103" s="675">
        <v>4820</v>
      </c>
      <c r="N103" s="675">
        <v>4934</v>
      </c>
      <c r="O103" s="675">
        <v>5052</v>
      </c>
      <c r="P103" s="675">
        <v>5200</v>
      </c>
      <c r="Q103" s="675">
        <v>5349</v>
      </c>
      <c r="R103" s="675">
        <v>5496</v>
      </c>
      <c r="S103" s="675">
        <v>5644</v>
      </c>
      <c r="T103" s="675">
        <v>5715</v>
      </c>
      <c r="U103" s="1019"/>
      <c r="V103" s="1019"/>
      <c r="W103" s="1103">
        <f t="shared" si="5"/>
        <v>18</v>
      </c>
    </row>
    <row r="104" spans="1:23" x14ac:dyDescent="0.2">
      <c r="A104" s="1098"/>
      <c r="B104" s="1102" t="s">
        <v>134</v>
      </c>
      <c r="C104" s="675">
        <v>3276</v>
      </c>
      <c r="D104" s="675">
        <v>3517</v>
      </c>
      <c r="E104" s="675">
        <v>3744</v>
      </c>
      <c r="F104" s="675">
        <v>3983</v>
      </c>
      <c r="G104" s="675">
        <v>4231</v>
      </c>
      <c r="H104" s="675">
        <v>4467</v>
      </c>
      <c r="I104" s="675">
        <v>4702</v>
      </c>
      <c r="J104" s="675">
        <v>4820</v>
      </c>
      <c r="K104" s="675">
        <v>4934</v>
      </c>
      <c r="L104" s="675">
        <v>5052</v>
      </c>
      <c r="M104" s="675">
        <v>5200</v>
      </c>
      <c r="N104" s="675">
        <v>5349</v>
      </c>
      <c r="O104" s="675">
        <v>5496</v>
      </c>
      <c r="P104" s="675">
        <v>5644</v>
      </c>
      <c r="Q104" s="675">
        <v>5794</v>
      </c>
      <c r="R104" s="675">
        <v>5951</v>
      </c>
      <c r="S104" s="675">
        <v>6111</v>
      </c>
      <c r="T104" s="675">
        <v>6276</v>
      </c>
      <c r="U104" s="1019"/>
      <c r="V104" s="1019"/>
      <c r="W104" s="1103">
        <f>COUNTA(C104:V104)</f>
        <v>18</v>
      </c>
    </row>
    <row r="105" spans="1:23" x14ac:dyDescent="0.2">
      <c r="A105" s="1098"/>
      <c r="B105" s="2" t="s">
        <v>152</v>
      </c>
      <c r="C105" s="1019">
        <v>1615.8</v>
      </c>
      <c r="D105" s="1019">
        <v>1615.8</v>
      </c>
      <c r="E105" s="1019">
        <v>1677</v>
      </c>
      <c r="F105" s="1019">
        <v>1707</v>
      </c>
      <c r="G105" s="1019">
        <v>1742</v>
      </c>
      <c r="H105" s="1019">
        <v>1778</v>
      </c>
      <c r="I105" s="1019">
        <v>1825</v>
      </c>
      <c r="J105" s="1019"/>
      <c r="K105" s="1023"/>
      <c r="L105" s="1023"/>
      <c r="M105" s="1023"/>
      <c r="N105" s="1023"/>
      <c r="O105" s="1023"/>
      <c r="P105" s="1023"/>
      <c r="Q105" s="1023"/>
      <c r="R105" s="1023"/>
      <c r="S105" s="1023"/>
      <c r="T105" s="1023"/>
      <c r="U105" s="1023"/>
      <c r="V105" s="1019"/>
      <c r="W105" s="1103">
        <f t="shared" ref="W105:W112" si="6">COUNTA(C105:V105)</f>
        <v>7</v>
      </c>
    </row>
    <row r="106" spans="1:23" x14ac:dyDescent="0.2">
      <c r="A106" s="1098"/>
      <c r="B106" s="1100" t="s">
        <v>162</v>
      </c>
      <c r="C106" s="1019">
        <v>1615.8</v>
      </c>
      <c r="D106" s="1019">
        <v>1644</v>
      </c>
      <c r="E106" s="1019">
        <v>1707</v>
      </c>
      <c r="F106" s="1019">
        <v>1778</v>
      </c>
      <c r="G106" s="1019">
        <v>1825</v>
      </c>
      <c r="H106" s="1019">
        <v>1878</v>
      </c>
      <c r="I106" s="1019">
        <v>1944</v>
      </c>
      <c r="J106" s="1019">
        <v>2006</v>
      </c>
      <c r="K106" s="1023"/>
      <c r="L106" s="1023"/>
      <c r="M106" s="1023"/>
      <c r="N106" s="1023"/>
      <c r="O106" s="1023"/>
      <c r="P106" s="1023"/>
      <c r="Q106" s="1023"/>
      <c r="R106" s="1023"/>
      <c r="S106" s="1023"/>
      <c r="T106" s="1023"/>
      <c r="U106" s="1023"/>
      <c r="V106" s="1019"/>
      <c r="W106" s="1103">
        <f t="shared" si="6"/>
        <v>8</v>
      </c>
    </row>
    <row r="107" spans="1:23" x14ac:dyDescent="0.2">
      <c r="A107" s="1098"/>
      <c r="B107" s="1100" t="s">
        <v>153</v>
      </c>
      <c r="C107" s="1019">
        <v>1615.8</v>
      </c>
      <c r="D107" s="1019">
        <v>1707</v>
      </c>
      <c r="E107" s="1019">
        <v>1778</v>
      </c>
      <c r="F107" s="1019">
        <v>1878</v>
      </c>
      <c r="G107" s="1019">
        <v>1944</v>
      </c>
      <c r="H107" s="1019">
        <v>2006</v>
      </c>
      <c r="I107" s="1019">
        <v>2067</v>
      </c>
      <c r="J107" s="1019"/>
      <c r="K107" s="1023"/>
      <c r="L107" s="1023"/>
      <c r="M107" s="1023"/>
      <c r="N107" s="1023"/>
      <c r="O107" s="1023"/>
      <c r="P107" s="1023"/>
      <c r="Q107" s="1023"/>
      <c r="R107" s="1023"/>
      <c r="S107" s="1023"/>
      <c r="T107" s="1023"/>
      <c r="U107" s="1023"/>
      <c r="V107" s="1019"/>
      <c r="W107" s="1103">
        <f t="shared" si="6"/>
        <v>7</v>
      </c>
    </row>
    <row r="108" spans="1:23" x14ac:dyDescent="0.2">
      <c r="A108" s="1098"/>
      <c r="B108" s="1102" t="s">
        <v>550</v>
      </c>
      <c r="C108" s="675">
        <v>2563</v>
      </c>
      <c r="D108" s="675">
        <v>2640</v>
      </c>
      <c r="E108" s="675">
        <v>2719</v>
      </c>
      <c r="F108" s="675">
        <v>2802</v>
      </c>
      <c r="G108" s="675">
        <v>2886</v>
      </c>
      <c r="H108" s="675">
        <v>2974</v>
      </c>
      <c r="I108" s="675">
        <v>3064</v>
      </c>
      <c r="J108" s="675">
        <v>3156</v>
      </c>
      <c r="K108" s="675">
        <v>3251</v>
      </c>
      <c r="L108" s="675">
        <v>3350</v>
      </c>
      <c r="M108" s="675">
        <v>3451</v>
      </c>
      <c r="N108" s="675">
        <v>3555</v>
      </c>
      <c r="O108" s="675">
        <v>3662</v>
      </c>
      <c r="P108" s="675">
        <v>3773</v>
      </c>
      <c r="Q108" s="675">
        <v>3910</v>
      </c>
      <c r="R108" s="1023"/>
      <c r="S108" s="1023"/>
      <c r="T108" s="1023"/>
      <c r="U108" s="1023"/>
      <c r="V108" s="1019"/>
      <c r="W108" s="1103">
        <f t="shared" si="6"/>
        <v>15</v>
      </c>
    </row>
    <row r="109" spans="1:23" x14ac:dyDescent="0.2">
      <c r="A109" s="1098"/>
      <c r="B109" s="1102" t="s">
        <v>551</v>
      </c>
      <c r="C109" s="675">
        <v>2639</v>
      </c>
      <c r="D109" s="675">
        <v>2729</v>
      </c>
      <c r="E109" s="675">
        <v>2821</v>
      </c>
      <c r="F109" s="675">
        <v>2916</v>
      </c>
      <c r="G109" s="675">
        <v>3015</v>
      </c>
      <c r="H109" s="675">
        <v>3117</v>
      </c>
      <c r="I109" s="675">
        <v>3222</v>
      </c>
      <c r="J109" s="675">
        <v>3331</v>
      </c>
      <c r="K109" s="675">
        <v>3443</v>
      </c>
      <c r="L109" s="675">
        <v>3560</v>
      </c>
      <c r="M109" s="675">
        <v>3680</v>
      </c>
      <c r="N109" s="675">
        <v>3805</v>
      </c>
      <c r="O109" s="675">
        <v>3933</v>
      </c>
      <c r="P109" s="675">
        <v>4066</v>
      </c>
      <c r="Q109" s="675">
        <v>4228</v>
      </c>
      <c r="R109" s="1023"/>
      <c r="S109" s="1023"/>
      <c r="T109" s="1023"/>
      <c r="U109" s="1023"/>
      <c r="V109" s="1019"/>
      <c r="W109" s="1103">
        <f t="shared" si="6"/>
        <v>15</v>
      </c>
    </row>
    <row r="110" spans="1:23" x14ac:dyDescent="0.2">
      <c r="A110" s="1098"/>
      <c r="B110" s="1102" t="s">
        <v>552</v>
      </c>
      <c r="C110" s="675">
        <v>2691</v>
      </c>
      <c r="D110" s="675">
        <v>2806</v>
      </c>
      <c r="E110" s="675">
        <v>2927</v>
      </c>
      <c r="F110" s="675">
        <v>3052</v>
      </c>
      <c r="G110" s="675">
        <v>3184</v>
      </c>
      <c r="H110" s="675">
        <v>3321</v>
      </c>
      <c r="I110" s="675">
        <v>3463</v>
      </c>
      <c r="J110" s="675">
        <v>3613</v>
      </c>
      <c r="K110" s="675">
        <v>3768</v>
      </c>
      <c r="L110" s="675">
        <v>3930</v>
      </c>
      <c r="M110" s="675">
        <v>4099</v>
      </c>
      <c r="N110" s="675">
        <v>4275</v>
      </c>
      <c r="O110" s="675">
        <v>4460</v>
      </c>
      <c r="P110" s="675">
        <v>4651</v>
      </c>
      <c r="Q110" s="675">
        <v>4851</v>
      </c>
      <c r="R110" s="1023"/>
      <c r="S110" s="1023"/>
      <c r="T110" s="1023"/>
      <c r="U110" s="1023"/>
      <c r="V110" s="1019"/>
      <c r="W110" s="1103">
        <f t="shared" si="6"/>
        <v>15</v>
      </c>
    </row>
    <row r="111" spans="1:23" x14ac:dyDescent="0.2">
      <c r="A111" s="1098"/>
      <c r="B111" s="1102" t="s">
        <v>553</v>
      </c>
      <c r="C111" s="675">
        <v>2691</v>
      </c>
      <c r="D111" s="675">
        <v>2806</v>
      </c>
      <c r="E111" s="675">
        <v>2961</v>
      </c>
      <c r="F111" s="675">
        <v>3124</v>
      </c>
      <c r="G111" s="675">
        <v>3288</v>
      </c>
      <c r="H111" s="675">
        <v>3459</v>
      </c>
      <c r="I111" s="675">
        <v>3637</v>
      </c>
      <c r="J111" s="675">
        <v>3817</v>
      </c>
      <c r="K111" s="675">
        <v>4007</v>
      </c>
      <c r="L111" s="675">
        <v>4204</v>
      </c>
      <c r="M111" s="675">
        <v>4406</v>
      </c>
      <c r="N111" s="675">
        <v>4616</v>
      </c>
      <c r="O111" s="675">
        <v>4833</v>
      </c>
      <c r="P111" s="675">
        <v>5055</v>
      </c>
      <c r="Q111" s="675">
        <v>5294</v>
      </c>
      <c r="R111" s="1023"/>
      <c r="S111" s="1023"/>
      <c r="T111" s="1023"/>
      <c r="U111" s="1023"/>
      <c r="V111" s="1019"/>
      <c r="W111" s="1103">
        <f t="shared" si="6"/>
        <v>15</v>
      </c>
    </row>
    <row r="112" spans="1:23" x14ac:dyDescent="0.2">
      <c r="A112" s="1098"/>
      <c r="B112" s="1102" t="s">
        <v>554</v>
      </c>
      <c r="C112" s="675">
        <v>3392</v>
      </c>
      <c r="D112" s="675">
        <v>3519</v>
      </c>
      <c r="E112" s="675">
        <v>3633</v>
      </c>
      <c r="F112" s="675">
        <v>3861</v>
      </c>
      <c r="G112" s="675">
        <v>4114</v>
      </c>
      <c r="H112" s="675">
        <v>4273</v>
      </c>
      <c r="I112" s="675">
        <v>4435</v>
      </c>
      <c r="J112" s="675">
        <v>4596</v>
      </c>
      <c r="K112" s="675">
        <v>4758</v>
      </c>
      <c r="L112" s="675">
        <v>4918</v>
      </c>
      <c r="M112" s="675">
        <v>5081</v>
      </c>
      <c r="N112" s="675">
        <v>5243</v>
      </c>
      <c r="O112" s="675">
        <v>5405</v>
      </c>
      <c r="P112" s="675">
        <v>5566</v>
      </c>
      <c r="Q112" s="675">
        <v>5732</v>
      </c>
      <c r="R112" s="1023"/>
      <c r="S112" s="1023"/>
      <c r="T112" s="1023"/>
      <c r="U112" s="1023"/>
      <c r="V112" s="1019"/>
      <c r="W112" s="1103">
        <f t="shared" si="6"/>
        <v>15</v>
      </c>
    </row>
    <row r="113" spans="1:23" x14ac:dyDescent="0.2">
      <c r="A113" s="1098"/>
      <c r="B113" s="1100" t="s">
        <v>150</v>
      </c>
      <c r="C113" s="1019">
        <f>0.5*C108</f>
        <v>1281.5</v>
      </c>
      <c r="D113" s="1020"/>
      <c r="E113" s="1020"/>
      <c r="F113" s="1020"/>
      <c r="G113" s="1020"/>
      <c r="H113" s="1020"/>
      <c r="I113" s="1020"/>
      <c r="J113" s="1020"/>
      <c r="K113" s="1020"/>
      <c r="L113" s="1020"/>
      <c r="M113" s="1020"/>
      <c r="N113" s="1020"/>
      <c r="O113" s="1020"/>
      <c r="P113" s="1020"/>
      <c r="Q113" s="1020"/>
      <c r="R113" s="1023"/>
      <c r="S113" s="1024"/>
      <c r="T113" s="1024"/>
      <c r="U113" s="1024"/>
      <c r="V113" s="1020"/>
      <c r="W113" s="1103">
        <f t="shared" ref="W113:W135" si="7">COUNTA(C113:V113)</f>
        <v>1</v>
      </c>
    </row>
    <row r="114" spans="1:23" x14ac:dyDescent="0.2">
      <c r="A114" s="1098"/>
      <c r="B114" s="1100" t="s">
        <v>151</v>
      </c>
      <c r="C114" s="1019">
        <f>0.5*C109</f>
        <v>1319.5</v>
      </c>
      <c r="D114" s="1020"/>
      <c r="E114" s="1020"/>
      <c r="F114" s="1020"/>
      <c r="G114" s="1020"/>
      <c r="H114" s="1020"/>
      <c r="I114" s="1020"/>
      <c r="J114" s="1020"/>
      <c r="K114" s="1020"/>
      <c r="L114" s="1020"/>
      <c r="M114" s="1020"/>
      <c r="N114" s="1020"/>
      <c r="O114" s="1020"/>
      <c r="P114" s="1020"/>
      <c r="Q114" s="1020"/>
      <c r="R114" s="1023"/>
      <c r="S114" s="1024"/>
      <c r="T114" s="1024"/>
      <c r="U114" s="1024"/>
      <c r="V114" s="1020"/>
      <c r="W114" s="1103">
        <f t="shared" si="7"/>
        <v>1</v>
      </c>
    </row>
    <row r="115" spans="1:23" x14ac:dyDescent="0.2">
      <c r="A115" s="1098"/>
      <c r="B115" s="1104" t="s">
        <v>335</v>
      </c>
      <c r="C115" s="675">
        <v>2888</v>
      </c>
      <c r="D115" s="675">
        <v>2999</v>
      </c>
      <c r="E115" s="675">
        <v>3113</v>
      </c>
      <c r="F115" s="675">
        <v>3223</v>
      </c>
      <c r="G115" s="675">
        <v>3334</v>
      </c>
      <c r="H115" s="675">
        <v>3447</v>
      </c>
      <c r="I115" s="675">
        <v>3559</v>
      </c>
      <c r="J115" s="675">
        <v>3671</v>
      </c>
      <c r="K115" s="675">
        <v>3781</v>
      </c>
      <c r="L115" s="675">
        <v>3893</v>
      </c>
      <c r="M115" s="675">
        <v>4007</v>
      </c>
      <c r="N115" s="675"/>
      <c r="O115" s="675"/>
      <c r="P115" s="675"/>
      <c r="Q115" s="675"/>
      <c r="R115" s="1023"/>
      <c r="S115" s="1023"/>
      <c r="T115" s="1023"/>
      <c r="U115" s="1023"/>
      <c r="V115" s="1019"/>
      <c r="W115" s="1103">
        <f t="shared" si="7"/>
        <v>11</v>
      </c>
    </row>
    <row r="116" spans="1:23" x14ac:dyDescent="0.2">
      <c r="A116" s="1098"/>
      <c r="B116" s="1104" t="s">
        <v>329</v>
      </c>
      <c r="C116" s="675">
        <v>2999</v>
      </c>
      <c r="D116" s="675">
        <v>3223</v>
      </c>
      <c r="E116" s="675">
        <v>3447</v>
      </c>
      <c r="F116" s="675">
        <v>3559</v>
      </c>
      <c r="G116" s="675">
        <v>3671</v>
      </c>
      <c r="H116" s="675">
        <v>3781</v>
      </c>
      <c r="I116" s="675">
        <v>3893</v>
      </c>
      <c r="J116" s="675">
        <v>4007</v>
      </c>
      <c r="K116" s="675">
        <v>4118</v>
      </c>
      <c r="L116" s="675">
        <v>4231</v>
      </c>
      <c r="M116" s="675"/>
      <c r="N116" s="675"/>
      <c r="O116" s="675"/>
      <c r="P116" s="675"/>
      <c r="Q116" s="675"/>
      <c r="R116" s="1023"/>
      <c r="S116" s="1023"/>
      <c r="T116" s="1023"/>
      <c r="U116" s="1023"/>
      <c r="V116" s="1019"/>
      <c r="W116" s="1103">
        <f t="shared" si="7"/>
        <v>10</v>
      </c>
    </row>
    <row r="117" spans="1:23" x14ac:dyDescent="0.2">
      <c r="A117" s="1098"/>
      <c r="B117" s="1104" t="s">
        <v>330</v>
      </c>
      <c r="C117" s="675">
        <v>2999</v>
      </c>
      <c r="D117" s="675">
        <v>3223</v>
      </c>
      <c r="E117" s="675">
        <v>3447</v>
      </c>
      <c r="F117" s="675">
        <v>3559</v>
      </c>
      <c r="G117" s="675">
        <v>3671</v>
      </c>
      <c r="H117" s="675">
        <v>3781</v>
      </c>
      <c r="I117" s="675">
        <v>3893</v>
      </c>
      <c r="J117" s="675">
        <v>4007</v>
      </c>
      <c r="K117" s="675">
        <v>4118</v>
      </c>
      <c r="L117" s="675">
        <v>4231</v>
      </c>
      <c r="M117" s="675">
        <v>4344</v>
      </c>
      <c r="N117" s="675"/>
      <c r="O117" s="675"/>
      <c r="P117" s="675"/>
      <c r="Q117" s="675"/>
      <c r="R117" s="1023"/>
      <c r="S117" s="1023"/>
      <c r="T117" s="1023"/>
      <c r="U117" s="1023"/>
      <c r="V117" s="1019"/>
      <c r="W117" s="1103">
        <f t="shared" si="7"/>
        <v>11</v>
      </c>
    </row>
    <row r="118" spans="1:23" x14ac:dyDescent="0.2">
      <c r="A118" s="1098"/>
      <c r="B118" s="1104" t="s">
        <v>555</v>
      </c>
      <c r="C118" s="675">
        <v>3113</v>
      </c>
      <c r="D118" s="675">
        <v>3447</v>
      </c>
      <c r="E118" s="675">
        <v>3671</v>
      </c>
      <c r="F118" s="675">
        <v>3893</v>
      </c>
      <c r="G118" s="675">
        <v>4118</v>
      </c>
      <c r="H118" s="675">
        <v>4231</v>
      </c>
      <c r="I118" s="675">
        <v>4344</v>
      </c>
      <c r="J118" s="675">
        <v>4454</v>
      </c>
      <c r="K118" s="675">
        <v>4566</v>
      </c>
      <c r="L118" s="675">
        <v>4676</v>
      </c>
      <c r="M118" s="675">
        <v>4791</v>
      </c>
      <c r="N118" s="675">
        <v>4902</v>
      </c>
      <c r="O118" s="675">
        <v>5014</v>
      </c>
      <c r="P118" s="675"/>
      <c r="Q118" s="675"/>
      <c r="R118" s="1023"/>
      <c r="S118" s="1023"/>
      <c r="T118" s="1023"/>
      <c r="U118" s="1023"/>
      <c r="V118" s="1019"/>
      <c r="W118" s="1103">
        <f t="shared" si="7"/>
        <v>13</v>
      </c>
    </row>
    <row r="119" spans="1:23" x14ac:dyDescent="0.2">
      <c r="A119" s="1098"/>
      <c r="B119" s="1104" t="s">
        <v>331</v>
      </c>
      <c r="C119" s="675">
        <v>3113</v>
      </c>
      <c r="D119" s="675">
        <v>3447</v>
      </c>
      <c r="E119" s="675">
        <v>3671</v>
      </c>
      <c r="F119" s="675">
        <v>3893</v>
      </c>
      <c r="G119" s="675">
        <v>4118</v>
      </c>
      <c r="H119" s="675">
        <v>4231</v>
      </c>
      <c r="I119" s="675">
        <v>4344</v>
      </c>
      <c r="J119" s="675">
        <v>4454</v>
      </c>
      <c r="K119" s="675">
        <v>4566</v>
      </c>
      <c r="L119" s="675">
        <v>4676</v>
      </c>
      <c r="M119" s="675">
        <v>4791</v>
      </c>
      <c r="N119" s="675">
        <v>4902</v>
      </c>
      <c r="O119" s="675">
        <v>5014</v>
      </c>
      <c r="P119" s="675">
        <v>5124</v>
      </c>
      <c r="Q119" s="675">
        <v>5236</v>
      </c>
      <c r="R119" s="1023"/>
      <c r="S119" s="1023"/>
      <c r="T119" s="1023"/>
      <c r="U119" s="1023"/>
      <c r="V119" s="1019"/>
      <c r="W119" s="1103">
        <f t="shared" si="7"/>
        <v>15</v>
      </c>
    </row>
    <row r="120" spans="1:23" x14ac:dyDescent="0.2">
      <c r="A120" s="1098"/>
      <c r="B120" s="1100">
        <v>1</v>
      </c>
      <c r="C120" s="1019">
        <v>1615.8</v>
      </c>
      <c r="D120" s="1019">
        <v>1615.8</v>
      </c>
      <c r="E120" s="675">
        <v>1677</v>
      </c>
      <c r="F120" s="675">
        <v>1707</v>
      </c>
      <c r="G120" s="675">
        <v>1742</v>
      </c>
      <c r="H120" s="675">
        <v>1778</v>
      </c>
      <c r="I120" s="675">
        <v>1825</v>
      </c>
      <c r="J120" s="675"/>
      <c r="K120" s="675"/>
      <c r="L120" s="675"/>
      <c r="M120" s="675"/>
      <c r="N120" s="675"/>
      <c r="O120" s="675"/>
      <c r="P120" s="675"/>
      <c r="Q120" s="675"/>
      <c r="R120" s="675"/>
      <c r="S120" s="675"/>
      <c r="T120" s="675"/>
      <c r="U120" s="1023"/>
      <c r="V120" s="1019"/>
      <c r="W120" s="1103">
        <f t="shared" si="7"/>
        <v>7</v>
      </c>
    </row>
    <row r="121" spans="1:23" x14ac:dyDescent="0.2">
      <c r="A121" s="1098"/>
      <c r="B121" s="1100">
        <v>2</v>
      </c>
      <c r="C121" s="1019">
        <v>1615.8</v>
      </c>
      <c r="D121" s="675">
        <v>1644</v>
      </c>
      <c r="E121" s="675">
        <v>1707</v>
      </c>
      <c r="F121" s="675">
        <v>1778</v>
      </c>
      <c r="G121" s="675">
        <v>1825</v>
      </c>
      <c r="H121" s="675">
        <v>1878</v>
      </c>
      <c r="I121" s="675">
        <v>1944</v>
      </c>
      <c r="J121" s="675">
        <v>2006</v>
      </c>
      <c r="K121" s="675"/>
      <c r="L121" s="675"/>
      <c r="M121" s="675"/>
      <c r="N121" s="675"/>
      <c r="O121" s="675"/>
      <c r="P121" s="675"/>
      <c r="Q121" s="675"/>
      <c r="R121" s="675"/>
      <c r="S121" s="675"/>
      <c r="T121" s="675"/>
      <c r="U121" s="1023"/>
      <c r="V121" s="1019"/>
      <c r="W121" s="1103">
        <f t="shared" si="7"/>
        <v>8</v>
      </c>
    </row>
    <row r="122" spans="1:23" x14ac:dyDescent="0.2">
      <c r="A122" s="1098"/>
      <c r="B122" s="1100">
        <v>3</v>
      </c>
      <c r="C122" s="1019">
        <v>1615.8</v>
      </c>
      <c r="D122" s="675">
        <v>1707</v>
      </c>
      <c r="E122" s="675">
        <v>1778</v>
      </c>
      <c r="F122" s="675">
        <v>1878</v>
      </c>
      <c r="G122" s="675">
        <v>1944</v>
      </c>
      <c r="H122" s="675">
        <v>2006</v>
      </c>
      <c r="I122" s="675">
        <v>2067</v>
      </c>
      <c r="J122" s="675">
        <v>2126</v>
      </c>
      <c r="K122" s="675">
        <v>2185</v>
      </c>
      <c r="L122" s="675"/>
      <c r="M122" s="675"/>
      <c r="N122" s="675"/>
      <c r="O122" s="675"/>
      <c r="P122" s="675"/>
      <c r="Q122" s="675"/>
      <c r="R122" s="675"/>
      <c r="S122" s="675"/>
      <c r="T122" s="675"/>
      <c r="U122" s="1023"/>
      <c r="V122" s="1019"/>
      <c r="W122" s="1103">
        <f t="shared" si="7"/>
        <v>9</v>
      </c>
    </row>
    <row r="123" spans="1:23" x14ac:dyDescent="0.2">
      <c r="A123" s="1098"/>
      <c r="B123" s="1100">
        <v>4</v>
      </c>
      <c r="C123" s="1019">
        <v>1615.8</v>
      </c>
      <c r="D123" s="675">
        <v>1677</v>
      </c>
      <c r="E123" s="675">
        <v>1742</v>
      </c>
      <c r="F123" s="675">
        <v>1825</v>
      </c>
      <c r="G123" s="675">
        <v>1944</v>
      </c>
      <c r="H123" s="675">
        <v>2006</v>
      </c>
      <c r="I123" s="675">
        <v>2067</v>
      </c>
      <c r="J123" s="675">
        <v>2126</v>
      </c>
      <c r="K123" s="675">
        <v>2185</v>
      </c>
      <c r="L123" s="675">
        <v>2241</v>
      </c>
      <c r="M123" s="675">
        <v>2298</v>
      </c>
      <c r="N123" s="675"/>
      <c r="O123" s="675"/>
      <c r="P123" s="675"/>
      <c r="Q123" s="675"/>
      <c r="R123" s="675"/>
      <c r="S123" s="675"/>
      <c r="T123" s="675"/>
      <c r="U123" s="1023"/>
      <c r="V123" s="1019"/>
      <c r="W123" s="1103">
        <f t="shared" si="7"/>
        <v>11</v>
      </c>
    </row>
    <row r="124" spans="1:23" x14ac:dyDescent="0.2">
      <c r="A124" s="1098"/>
      <c r="B124" s="1100">
        <v>5</v>
      </c>
      <c r="C124" s="675">
        <v>1644</v>
      </c>
      <c r="D124" s="675">
        <v>1677</v>
      </c>
      <c r="E124" s="675">
        <v>1778</v>
      </c>
      <c r="F124" s="675">
        <v>1878</v>
      </c>
      <c r="G124" s="675">
        <v>2006</v>
      </c>
      <c r="H124" s="675">
        <v>2067</v>
      </c>
      <c r="I124" s="675">
        <v>2126</v>
      </c>
      <c r="J124" s="675">
        <v>2185</v>
      </c>
      <c r="K124" s="675">
        <v>2241</v>
      </c>
      <c r="L124" s="675">
        <v>2298</v>
      </c>
      <c r="M124" s="675">
        <v>2353</v>
      </c>
      <c r="N124" s="675">
        <v>2416</v>
      </c>
      <c r="O124" s="675"/>
      <c r="P124" s="675"/>
      <c r="Q124" s="675"/>
      <c r="R124" s="675"/>
      <c r="S124" s="675"/>
      <c r="T124" s="675"/>
      <c r="U124" s="1023"/>
      <c r="V124" s="1019"/>
      <c r="W124" s="1103">
        <f t="shared" si="7"/>
        <v>12</v>
      </c>
    </row>
    <row r="125" spans="1:23" x14ac:dyDescent="0.2">
      <c r="A125" s="1098"/>
      <c r="B125" s="1100">
        <v>6</v>
      </c>
      <c r="C125" s="675">
        <v>1707</v>
      </c>
      <c r="D125" s="675">
        <v>1778</v>
      </c>
      <c r="E125" s="675">
        <v>2006</v>
      </c>
      <c r="F125" s="675">
        <v>2126</v>
      </c>
      <c r="G125" s="675">
        <v>2185</v>
      </c>
      <c r="H125" s="675">
        <v>2241</v>
      </c>
      <c r="I125" s="675">
        <v>2298</v>
      </c>
      <c r="J125" s="675">
        <v>2353</v>
      </c>
      <c r="K125" s="675">
        <v>2416</v>
      </c>
      <c r="L125" s="675">
        <v>2475</v>
      </c>
      <c r="M125" s="675">
        <v>2531</v>
      </c>
      <c r="N125" s="675"/>
      <c r="O125" s="675"/>
      <c r="P125" s="675"/>
      <c r="Q125" s="675"/>
      <c r="R125" s="675"/>
      <c r="S125" s="675"/>
      <c r="T125" s="675"/>
      <c r="U125" s="1023"/>
      <c r="V125" s="1019"/>
      <c r="W125" s="1103">
        <f t="shared" si="7"/>
        <v>11</v>
      </c>
    </row>
    <row r="126" spans="1:23" x14ac:dyDescent="0.2">
      <c r="A126" s="1098"/>
      <c r="B126" s="1100">
        <v>7</v>
      </c>
      <c r="C126" s="675">
        <v>1825</v>
      </c>
      <c r="D126" s="675">
        <v>1878</v>
      </c>
      <c r="E126" s="675">
        <v>2006</v>
      </c>
      <c r="F126" s="675">
        <v>2241</v>
      </c>
      <c r="G126" s="675">
        <v>2353</v>
      </c>
      <c r="H126" s="675">
        <v>2416</v>
      </c>
      <c r="I126" s="675">
        <v>2475</v>
      </c>
      <c r="J126" s="675">
        <v>2531</v>
      </c>
      <c r="K126" s="675">
        <v>2590</v>
      </c>
      <c r="L126" s="675">
        <v>2653</v>
      </c>
      <c r="M126" s="675">
        <v>2719</v>
      </c>
      <c r="N126" s="675">
        <v>2791</v>
      </c>
      <c r="O126" s="675"/>
      <c r="P126" s="675"/>
      <c r="Q126" s="675"/>
      <c r="R126" s="675"/>
      <c r="S126" s="675"/>
      <c r="T126" s="675"/>
      <c r="U126" s="1023"/>
      <c r="V126" s="1019"/>
      <c r="W126" s="1103">
        <f t="shared" si="7"/>
        <v>12</v>
      </c>
    </row>
    <row r="127" spans="1:23" x14ac:dyDescent="0.2">
      <c r="A127" s="1098"/>
      <c r="B127" s="1100">
        <v>8</v>
      </c>
      <c r="C127" s="675">
        <v>2067</v>
      </c>
      <c r="D127" s="675">
        <v>2126</v>
      </c>
      <c r="E127" s="675">
        <v>2241</v>
      </c>
      <c r="F127" s="675">
        <v>2475</v>
      </c>
      <c r="G127" s="675">
        <v>2590</v>
      </c>
      <c r="H127" s="675">
        <v>2719</v>
      </c>
      <c r="I127" s="675">
        <v>2791</v>
      </c>
      <c r="J127" s="675">
        <v>2857</v>
      </c>
      <c r="K127" s="675">
        <v>2916</v>
      </c>
      <c r="L127" s="675">
        <v>2979</v>
      </c>
      <c r="M127" s="675">
        <v>3043</v>
      </c>
      <c r="N127" s="675">
        <v>3102</v>
      </c>
      <c r="O127" s="675">
        <v>3157</v>
      </c>
      <c r="P127" s="675"/>
      <c r="Q127" s="675"/>
      <c r="R127" s="675"/>
      <c r="S127" s="675"/>
      <c r="T127" s="675"/>
      <c r="U127" s="1023"/>
      <c r="V127" s="1019"/>
      <c r="W127" s="1103">
        <f t="shared" si="7"/>
        <v>13</v>
      </c>
    </row>
    <row r="128" spans="1:23" x14ac:dyDescent="0.2">
      <c r="A128" s="1098"/>
      <c r="B128" s="1100">
        <v>9</v>
      </c>
      <c r="C128" s="675">
        <v>2394</v>
      </c>
      <c r="D128" s="675">
        <v>2516</v>
      </c>
      <c r="E128" s="675">
        <v>2762</v>
      </c>
      <c r="F128" s="675">
        <v>2903</v>
      </c>
      <c r="G128" s="675">
        <v>3025</v>
      </c>
      <c r="H128" s="675">
        <v>3149</v>
      </c>
      <c r="I128" s="675">
        <v>3266</v>
      </c>
      <c r="J128" s="675">
        <v>3383</v>
      </c>
      <c r="K128" s="675">
        <v>3510</v>
      </c>
      <c r="L128" s="675">
        <v>3622</v>
      </c>
      <c r="M128" s="675"/>
      <c r="N128" s="675"/>
      <c r="O128" s="675"/>
      <c r="P128" s="675"/>
      <c r="Q128" s="675"/>
      <c r="R128" s="675"/>
      <c r="S128" s="675"/>
      <c r="T128" s="675"/>
      <c r="U128" s="1023"/>
      <c r="V128" s="1019"/>
      <c r="W128" s="1103">
        <f t="shared" si="7"/>
        <v>10</v>
      </c>
    </row>
    <row r="129" spans="1:23" x14ac:dyDescent="0.2">
      <c r="A129" s="1098"/>
      <c r="B129" s="1100">
        <v>10</v>
      </c>
      <c r="C129" s="675">
        <v>2377</v>
      </c>
      <c r="D129" s="675">
        <v>2616</v>
      </c>
      <c r="E129" s="675">
        <v>2745</v>
      </c>
      <c r="F129" s="675">
        <v>2886</v>
      </c>
      <c r="G129" s="675">
        <v>3008</v>
      </c>
      <c r="H129" s="675">
        <v>3232</v>
      </c>
      <c r="I129" s="675">
        <v>3249</v>
      </c>
      <c r="J129" s="675">
        <v>3365</v>
      </c>
      <c r="K129" s="675">
        <v>3493</v>
      </c>
      <c r="L129" s="675">
        <v>3604</v>
      </c>
      <c r="M129" s="675">
        <v>3721</v>
      </c>
      <c r="N129" s="675">
        <v>3833</v>
      </c>
      <c r="O129" s="675">
        <v>3961</v>
      </c>
      <c r="P129" s="675"/>
      <c r="Q129" s="675"/>
      <c r="R129" s="675"/>
      <c r="S129" s="675"/>
      <c r="T129" s="675"/>
      <c r="U129" s="1023"/>
      <c r="V129" s="1019"/>
      <c r="W129" s="1103">
        <f t="shared" si="7"/>
        <v>13</v>
      </c>
    </row>
    <row r="130" spans="1:23" x14ac:dyDescent="0.2">
      <c r="A130" s="1098"/>
      <c r="B130" s="1100">
        <v>11</v>
      </c>
      <c r="C130" s="675">
        <v>2499</v>
      </c>
      <c r="D130" s="675">
        <v>2616</v>
      </c>
      <c r="E130" s="675">
        <v>2745</v>
      </c>
      <c r="F130" s="675">
        <v>2886</v>
      </c>
      <c r="G130" s="675">
        <v>3008</v>
      </c>
      <c r="H130" s="675">
        <v>3132</v>
      </c>
      <c r="I130" s="675">
        <v>3249</v>
      </c>
      <c r="J130" s="675">
        <v>3493</v>
      </c>
      <c r="K130" s="675">
        <v>3604</v>
      </c>
      <c r="L130" s="675">
        <v>3721</v>
      </c>
      <c r="M130" s="675">
        <v>3833</v>
      </c>
      <c r="N130" s="675">
        <v>3961</v>
      </c>
      <c r="O130" s="675">
        <v>4086</v>
      </c>
      <c r="P130" s="675">
        <v>4209</v>
      </c>
      <c r="Q130" s="675">
        <v>4326</v>
      </c>
      <c r="R130" s="675">
        <v>4446</v>
      </c>
      <c r="S130" s="675">
        <v>4559</v>
      </c>
      <c r="T130" s="675">
        <v>4621</v>
      </c>
      <c r="U130" s="1023"/>
      <c r="V130" s="1019"/>
      <c r="W130" s="1103">
        <f t="shared" si="7"/>
        <v>18</v>
      </c>
    </row>
    <row r="131" spans="1:23" x14ac:dyDescent="0.2">
      <c r="A131" s="1098"/>
      <c r="B131" s="1100">
        <v>12</v>
      </c>
      <c r="C131" s="675">
        <v>3365</v>
      </c>
      <c r="D131" s="675">
        <v>3493</v>
      </c>
      <c r="E131" s="675">
        <v>3604</v>
      </c>
      <c r="F131" s="675">
        <v>3721</v>
      </c>
      <c r="G131" s="675">
        <v>3833</v>
      </c>
      <c r="H131" s="675">
        <v>3961</v>
      </c>
      <c r="I131" s="675">
        <v>4209</v>
      </c>
      <c r="J131" s="675">
        <v>4326</v>
      </c>
      <c r="K131" s="675">
        <v>4446</v>
      </c>
      <c r="L131" s="675">
        <v>4559</v>
      </c>
      <c r="M131" s="675">
        <v>4682</v>
      </c>
      <c r="N131" s="675">
        <v>4802</v>
      </c>
      <c r="O131" s="675">
        <v>4916</v>
      </c>
      <c r="P131" s="675">
        <v>5036</v>
      </c>
      <c r="Q131" s="675">
        <v>5183</v>
      </c>
      <c r="R131" s="675">
        <v>5258</v>
      </c>
      <c r="S131" s="675"/>
      <c r="T131" s="675"/>
      <c r="U131" s="1023"/>
      <c r="V131" s="1019"/>
      <c r="W131" s="1103">
        <f t="shared" si="7"/>
        <v>16</v>
      </c>
    </row>
    <row r="132" spans="1:23" x14ac:dyDescent="0.2">
      <c r="A132" s="1098"/>
      <c r="B132" s="1100">
        <v>13</v>
      </c>
      <c r="C132" s="675">
        <v>4086</v>
      </c>
      <c r="D132" s="675">
        <v>4209</v>
      </c>
      <c r="E132" s="675">
        <v>4326</v>
      </c>
      <c r="F132" s="675">
        <v>4446</v>
      </c>
      <c r="G132" s="675">
        <v>4559</v>
      </c>
      <c r="H132" s="675">
        <v>4802</v>
      </c>
      <c r="I132" s="675">
        <v>4916</v>
      </c>
      <c r="J132" s="675">
        <v>5036</v>
      </c>
      <c r="K132" s="675">
        <v>5183</v>
      </c>
      <c r="L132" s="675">
        <v>5332</v>
      </c>
      <c r="M132" s="675">
        <v>5481</v>
      </c>
      <c r="N132" s="675">
        <v>5629</v>
      </c>
      <c r="O132" s="675">
        <v>5702</v>
      </c>
      <c r="P132" s="675"/>
      <c r="Q132" s="675"/>
      <c r="R132" s="675"/>
      <c r="S132" s="675"/>
      <c r="T132" s="675"/>
      <c r="U132" s="1023"/>
      <c r="V132" s="1019"/>
      <c r="W132" s="1103">
        <f t="shared" si="7"/>
        <v>13</v>
      </c>
    </row>
    <row r="133" spans="1:23" x14ac:dyDescent="0.2">
      <c r="A133" s="1098"/>
      <c r="B133" s="1100">
        <v>14</v>
      </c>
      <c r="C133" s="675">
        <v>4682</v>
      </c>
      <c r="D133" s="675">
        <v>4802</v>
      </c>
      <c r="E133" s="675">
        <v>5036</v>
      </c>
      <c r="F133" s="675">
        <v>5183</v>
      </c>
      <c r="G133" s="675">
        <v>5332</v>
      </c>
      <c r="H133" s="675">
        <v>5481</v>
      </c>
      <c r="I133" s="675">
        <v>5629</v>
      </c>
      <c r="J133" s="675">
        <v>5779</v>
      </c>
      <c r="K133" s="675">
        <v>5938</v>
      </c>
      <c r="L133" s="675">
        <v>6097</v>
      </c>
      <c r="M133" s="675">
        <v>6264</v>
      </c>
      <c r="N133" s="675"/>
      <c r="O133" s="675"/>
      <c r="P133" s="675"/>
      <c r="Q133" s="675"/>
      <c r="R133" s="675"/>
      <c r="S133" s="675"/>
      <c r="T133" s="675"/>
      <c r="U133" s="1023"/>
      <c r="V133" s="1019"/>
      <c r="W133" s="1103">
        <f t="shared" si="7"/>
        <v>11</v>
      </c>
    </row>
    <row r="134" spans="1:23" x14ac:dyDescent="0.2">
      <c r="A134" s="1098"/>
      <c r="B134" s="1100">
        <v>15</v>
      </c>
      <c r="C134" s="675">
        <v>4916</v>
      </c>
      <c r="D134" s="675">
        <v>5036</v>
      </c>
      <c r="E134" s="675">
        <v>5183</v>
      </c>
      <c r="F134" s="675">
        <v>5481</v>
      </c>
      <c r="G134" s="675">
        <v>5629</v>
      </c>
      <c r="H134" s="675">
        <v>5779</v>
      </c>
      <c r="I134" s="675">
        <v>5938</v>
      </c>
      <c r="J134" s="675">
        <v>6097</v>
      </c>
      <c r="K134" s="675">
        <v>6264</v>
      </c>
      <c r="L134" s="675">
        <v>6463</v>
      </c>
      <c r="M134" s="675">
        <v>6671</v>
      </c>
      <c r="N134" s="675">
        <v>6883</v>
      </c>
      <c r="O134" s="675"/>
      <c r="P134" s="675"/>
      <c r="Q134" s="675"/>
      <c r="R134" s="675"/>
      <c r="S134" s="675"/>
      <c r="T134" s="675"/>
      <c r="U134" s="1025"/>
      <c r="V134" s="1021"/>
      <c r="W134" s="1103">
        <f t="shared" si="7"/>
        <v>12</v>
      </c>
    </row>
    <row r="135" spans="1:23" x14ac:dyDescent="0.2">
      <c r="A135" s="1098"/>
      <c r="B135" s="1100">
        <v>16</v>
      </c>
      <c r="C135" s="675">
        <v>5332</v>
      </c>
      <c r="D135" s="675">
        <v>5481</v>
      </c>
      <c r="E135" s="675">
        <v>5629</v>
      </c>
      <c r="F135" s="675">
        <v>5938</v>
      </c>
      <c r="G135" s="675">
        <v>6097</v>
      </c>
      <c r="H135" s="675">
        <v>6264</v>
      </c>
      <c r="I135" s="675">
        <v>6463</v>
      </c>
      <c r="J135" s="675">
        <v>6671</v>
      </c>
      <c r="K135" s="675">
        <v>6883</v>
      </c>
      <c r="L135" s="675">
        <v>7104</v>
      </c>
      <c r="M135" s="675">
        <v>7327</v>
      </c>
      <c r="N135" s="675">
        <v>7561</v>
      </c>
      <c r="O135" s="675"/>
      <c r="P135" s="675"/>
      <c r="Q135" s="675"/>
      <c r="R135" s="675"/>
      <c r="S135" s="675"/>
      <c r="T135" s="675"/>
      <c r="U135" s="1025"/>
      <c r="V135" s="1021"/>
      <c r="W135" s="1103">
        <f t="shared" si="7"/>
        <v>12</v>
      </c>
    </row>
    <row r="136" spans="1:23" x14ac:dyDescent="0.2">
      <c r="A136" s="1098"/>
      <c r="B136" s="1098"/>
      <c r="C136" s="1098"/>
      <c r="D136" s="1098"/>
      <c r="E136" s="1098"/>
      <c r="F136" s="1098"/>
      <c r="G136" s="1098"/>
      <c r="H136" s="1098"/>
      <c r="I136" s="1098"/>
      <c r="J136" s="1098"/>
      <c r="K136" s="1098"/>
      <c r="L136" s="1098"/>
      <c r="M136" s="1098"/>
      <c r="N136" s="1098"/>
      <c r="O136" s="1098"/>
      <c r="P136" s="1098"/>
      <c r="Q136" s="1098"/>
      <c r="R136" s="1098"/>
      <c r="S136" s="1098"/>
      <c r="T136" s="1098"/>
      <c r="U136" s="1098"/>
      <c r="V136" s="1098"/>
      <c r="W136" s="1098"/>
    </row>
  </sheetData>
  <sheetProtection algorithmName="SHA-512" hashValue="66MWRjuh5jNB2J5VAfKQKLyQO6FMFzZY8/iIPY9dVv3pJQEA1WqD81KOLYC8GG4iMY26brHLmlGSqeGqGa4DHA==" saltValue="Opzn2K1kJEvFlkL02rGGIQ==" spinCount="100000" sheet="1" objects="1" scenarios="1"/>
  <mergeCells count="3">
    <mergeCell ref="C2:D2"/>
    <mergeCell ref="C47:D47"/>
    <mergeCell ref="C92:D92"/>
  </mergeCells>
  <pageMargins left="0.7" right="0.7" top="0.75" bottom="0.75" header="0.3" footer="0.3"/>
  <pageSetup paperSize="9" scale="42" orientation="portrait" r:id="rId1"/>
  <rowBreaks count="1" manualBreakCount="1">
    <brk id="45" min="1" max="2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6"/>
  <dimension ref="A1:T61"/>
  <sheetViews>
    <sheetView showGridLines="0" tabSelected="1" zoomScale="85" zoomScaleNormal="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42" customWidth="1"/>
    <col min="2" max="3" width="2.5703125" style="42" customWidth="1"/>
    <col min="4" max="4" width="22.85546875" style="42" customWidth="1"/>
    <col min="5" max="5" width="23.7109375" style="42" customWidth="1"/>
    <col min="6" max="6" width="2.7109375" style="42" customWidth="1"/>
    <col min="7" max="12" width="16.85546875" style="42" customWidth="1"/>
    <col min="13" max="14" width="2.5703125" style="42" customWidth="1"/>
    <col min="15" max="15" width="14.7109375" style="42" customWidth="1"/>
    <col min="16" max="16384" width="9.140625" style="42"/>
  </cols>
  <sheetData>
    <row r="1" spans="1:15" ht="12.75" customHeight="1" x14ac:dyDescent="0.2"/>
    <row r="2" spans="1:15" ht="12" customHeight="1" x14ac:dyDescent="0.2">
      <c r="B2" s="43"/>
      <c r="C2" s="44"/>
      <c r="D2" s="45"/>
      <c r="E2" s="45"/>
      <c r="F2" s="45"/>
      <c r="G2" s="46"/>
      <c r="H2" s="46"/>
      <c r="I2" s="46"/>
      <c r="J2" s="46"/>
      <c r="K2" s="46"/>
      <c r="L2" s="46"/>
      <c r="M2" s="44"/>
      <c r="N2" s="47"/>
      <c r="O2" s="48"/>
    </row>
    <row r="3" spans="1:15" x14ac:dyDescent="0.2">
      <c r="B3" s="49"/>
      <c r="C3" s="50"/>
      <c r="D3" s="51"/>
      <c r="E3" s="51"/>
      <c r="F3" s="51"/>
      <c r="G3" s="52"/>
      <c r="H3" s="52"/>
      <c r="I3" s="52"/>
      <c r="J3" s="52"/>
      <c r="K3" s="52"/>
      <c r="L3" s="52"/>
      <c r="M3" s="50"/>
      <c r="N3" s="53"/>
      <c r="O3" s="48"/>
    </row>
    <row r="4" spans="1:15" s="54" customFormat="1" ht="18.75" x14ac:dyDescent="0.3">
      <c r="B4" s="55"/>
      <c r="C4" s="673" t="s">
        <v>75</v>
      </c>
      <c r="D4" s="57"/>
      <c r="E4" s="57"/>
      <c r="F4" s="57"/>
      <c r="G4" s="57"/>
      <c r="H4" s="57"/>
      <c r="I4" s="57"/>
      <c r="J4" s="57"/>
      <c r="K4" s="57"/>
      <c r="L4" s="57"/>
      <c r="M4" s="673"/>
      <c r="N4" s="58"/>
    </row>
    <row r="5" spans="1:15" ht="18.75" x14ac:dyDescent="0.3">
      <c r="A5" s="59"/>
      <c r="B5" s="60"/>
      <c r="C5" s="61" t="str">
        <f>G12</f>
        <v>voorbeeld Basisschool</v>
      </c>
      <c r="D5" s="62"/>
      <c r="E5" s="62"/>
      <c r="F5" s="62"/>
      <c r="G5" s="62"/>
      <c r="H5" s="62"/>
      <c r="I5" s="62"/>
      <c r="J5" s="62"/>
      <c r="K5" s="62"/>
      <c r="L5" s="62"/>
      <c r="M5" s="61"/>
      <c r="N5" s="53"/>
    </row>
    <row r="6" spans="1:15" x14ac:dyDescent="0.2">
      <c r="A6" s="59"/>
      <c r="B6" s="63"/>
      <c r="C6" s="62"/>
      <c r="D6" s="64"/>
      <c r="E6" s="64"/>
      <c r="F6" s="64"/>
      <c r="G6" s="65"/>
      <c r="H6" s="65"/>
      <c r="I6" s="64"/>
      <c r="J6" s="62"/>
      <c r="K6" s="62"/>
      <c r="L6" s="62"/>
      <c r="M6" s="62"/>
      <c r="N6" s="53"/>
    </row>
    <row r="7" spans="1:15" x14ac:dyDescent="0.2">
      <c r="A7" s="59"/>
      <c r="B7" s="63"/>
      <c r="C7" s="62"/>
      <c r="D7" s="64"/>
      <c r="E7" s="64"/>
      <c r="F7" s="64"/>
      <c r="G7" s="65"/>
      <c r="H7" s="65"/>
      <c r="I7" s="64"/>
      <c r="J7" s="62"/>
      <c r="K7" s="62"/>
      <c r="L7" s="62"/>
      <c r="M7" s="62"/>
      <c r="N7" s="53"/>
    </row>
    <row r="8" spans="1:15" x14ac:dyDescent="0.2">
      <c r="A8" s="59"/>
      <c r="B8" s="63"/>
      <c r="C8" s="62"/>
      <c r="D8" s="64"/>
      <c r="E8" s="64"/>
      <c r="F8" s="64"/>
      <c r="G8" s="65"/>
      <c r="H8" s="65"/>
      <c r="I8" s="64"/>
      <c r="J8" s="62"/>
      <c r="K8" s="62"/>
      <c r="L8" s="62"/>
      <c r="M8" s="62"/>
      <c r="N8" s="53"/>
    </row>
    <row r="9" spans="1:15" x14ac:dyDescent="0.2">
      <c r="A9" s="59"/>
      <c r="B9" s="63"/>
      <c r="C9" s="62"/>
      <c r="D9" s="64"/>
      <c r="E9" s="64"/>
      <c r="F9" s="64"/>
      <c r="G9" s="65"/>
      <c r="H9" s="65"/>
      <c r="I9" s="64"/>
      <c r="J9" s="62"/>
      <c r="K9" s="62"/>
      <c r="L9" s="62"/>
      <c r="M9" s="62"/>
      <c r="N9" s="53"/>
    </row>
    <row r="10" spans="1:15" x14ac:dyDescent="0.2">
      <c r="B10" s="49"/>
      <c r="C10" s="50"/>
      <c r="D10" s="51"/>
      <c r="E10" s="51"/>
      <c r="F10" s="51"/>
      <c r="G10" s="52"/>
      <c r="H10" s="52"/>
      <c r="I10" s="52"/>
      <c r="J10" s="52"/>
      <c r="K10" s="52"/>
      <c r="L10" s="52"/>
      <c r="M10" s="50"/>
      <c r="N10" s="53"/>
    </row>
    <row r="11" spans="1:15" x14ac:dyDescent="0.2">
      <c r="B11" s="49"/>
      <c r="C11" s="66"/>
      <c r="D11" s="67"/>
      <c r="E11" s="67"/>
      <c r="F11" s="67"/>
      <c r="G11" s="68"/>
      <c r="H11" s="68"/>
      <c r="I11" s="68"/>
      <c r="J11" s="68"/>
      <c r="K11" s="68"/>
      <c r="L11" s="68"/>
      <c r="M11" s="66"/>
      <c r="N11" s="53"/>
    </row>
    <row r="12" spans="1:15" x14ac:dyDescent="0.2">
      <c r="B12" s="49"/>
      <c r="C12" s="69"/>
      <c r="D12" s="70" t="s">
        <v>3</v>
      </c>
      <c r="E12" s="70"/>
      <c r="F12" s="71"/>
      <c r="G12" s="72" t="s">
        <v>7016</v>
      </c>
      <c r="H12" s="48"/>
      <c r="I12" s="73"/>
      <c r="J12" s="73"/>
      <c r="K12" s="74"/>
      <c r="L12" s="74"/>
      <c r="M12" s="69"/>
      <c r="N12" s="53"/>
    </row>
    <row r="13" spans="1:15" x14ac:dyDescent="0.2">
      <c r="B13" s="49"/>
      <c r="C13" s="69"/>
      <c r="D13" s="70" t="s">
        <v>4</v>
      </c>
      <c r="E13" s="70"/>
      <c r="F13" s="71"/>
      <c r="G13" s="75" t="s">
        <v>4735</v>
      </c>
      <c r="H13" s="48"/>
      <c r="I13" s="73"/>
      <c r="J13" s="73"/>
      <c r="K13" s="74"/>
      <c r="L13" s="74"/>
      <c r="M13" s="69"/>
      <c r="N13" s="53"/>
    </row>
    <row r="14" spans="1:15" x14ac:dyDescent="0.2">
      <c r="B14" s="49"/>
      <c r="C14" s="69"/>
      <c r="D14" s="70" t="s">
        <v>264</v>
      </c>
      <c r="E14" s="70"/>
      <c r="F14" s="71"/>
      <c r="G14" s="75">
        <v>3813</v>
      </c>
      <c r="H14" s="48"/>
      <c r="I14" s="73"/>
      <c r="J14" s="73"/>
      <c r="K14" s="74"/>
      <c r="L14" s="74"/>
      <c r="M14" s="69"/>
      <c r="N14" s="53"/>
    </row>
    <row r="15" spans="1:15" x14ac:dyDescent="0.2">
      <c r="B15" s="49"/>
      <c r="C15" s="76"/>
      <c r="D15" s="77"/>
      <c r="E15" s="77"/>
      <c r="F15" s="77"/>
      <c r="G15" s="78"/>
      <c r="H15" s="78"/>
      <c r="I15" s="78"/>
      <c r="J15" s="78"/>
      <c r="K15" s="78"/>
      <c r="L15" s="78"/>
      <c r="M15" s="76"/>
      <c r="N15" s="53"/>
    </row>
    <row r="16" spans="1:15" x14ac:dyDescent="0.2">
      <c r="B16" s="49"/>
      <c r="C16" s="50"/>
      <c r="D16" s="50"/>
      <c r="E16" s="50"/>
      <c r="F16" s="50"/>
      <c r="G16" s="52"/>
      <c r="H16" s="52"/>
      <c r="I16" s="52"/>
      <c r="J16" s="52"/>
      <c r="K16" s="52"/>
      <c r="L16" s="52"/>
      <c r="M16" s="50"/>
      <c r="N16" s="53"/>
    </row>
    <row r="17" spans="2:20" x14ac:dyDescent="0.2">
      <c r="B17" s="49"/>
      <c r="C17" s="50"/>
      <c r="D17" s="50"/>
      <c r="E17" s="50"/>
      <c r="F17" s="50"/>
      <c r="G17" s="52"/>
      <c r="H17" s="52"/>
      <c r="I17" s="52"/>
      <c r="J17" s="52"/>
      <c r="K17" s="52"/>
      <c r="L17" s="52"/>
      <c r="M17" s="50"/>
      <c r="N17" s="53"/>
    </row>
    <row r="18" spans="2:20" x14ac:dyDescent="0.2">
      <c r="B18" s="49"/>
      <c r="C18" s="50"/>
      <c r="D18" s="687"/>
      <c r="E18" s="687"/>
      <c r="F18" s="687"/>
      <c r="G18" s="688"/>
      <c r="H18" s="688"/>
      <c r="I18" s="688"/>
      <c r="J18" s="688"/>
      <c r="K18" s="688"/>
      <c r="L18" s="688"/>
      <c r="M18" s="50"/>
      <c r="N18" s="53"/>
    </row>
    <row r="19" spans="2:20" s="54" customFormat="1" x14ac:dyDescent="0.2">
      <c r="B19" s="79"/>
      <c r="C19" s="57"/>
      <c r="D19" s="687"/>
      <c r="E19" s="1131" t="s">
        <v>165</v>
      </c>
      <c r="F19" s="1131"/>
      <c r="G19" s="688" t="str">
        <f>tab!E2</f>
        <v>2019/20</v>
      </c>
      <c r="H19" s="688" t="str">
        <f>tab!F2</f>
        <v>2020/21</v>
      </c>
      <c r="I19" s="688" t="str">
        <f>tab!G2</f>
        <v>2021/22</v>
      </c>
      <c r="J19" s="688" t="str">
        <f>tab!H2</f>
        <v>2022/23</v>
      </c>
      <c r="K19" s="688" t="str">
        <f>tab!I2</f>
        <v>2023/24</v>
      </c>
      <c r="L19" s="688" t="str">
        <f>tab!J2</f>
        <v>2024/25</v>
      </c>
      <c r="M19" s="57"/>
      <c r="N19" s="58"/>
    </row>
    <row r="20" spans="2:20" s="54" customFormat="1" x14ac:dyDescent="0.2">
      <c r="B20" s="79"/>
      <c r="C20" s="57"/>
      <c r="D20" s="687"/>
      <c r="E20" s="1131" t="s">
        <v>177</v>
      </c>
      <c r="F20" s="1131"/>
      <c r="G20" s="688">
        <f>tab!D4</f>
        <v>2018</v>
      </c>
      <c r="H20" s="688">
        <f>tab!E4</f>
        <v>2019</v>
      </c>
      <c r="I20" s="688">
        <f>tab!F4</f>
        <v>2020</v>
      </c>
      <c r="J20" s="688">
        <f>tab!G4</f>
        <v>2021</v>
      </c>
      <c r="K20" s="688">
        <f>tab!H4</f>
        <v>2022</v>
      </c>
      <c r="L20" s="688">
        <f>tab!I4</f>
        <v>2023</v>
      </c>
      <c r="M20" s="57"/>
      <c r="N20" s="58"/>
      <c r="O20" s="81"/>
      <c r="P20" s="81"/>
      <c r="Q20" s="81"/>
      <c r="R20" s="81"/>
      <c r="S20" s="81"/>
      <c r="T20" s="81"/>
    </row>
    <row r="21" spans="2:20" x14ac:dyDescent="0.2">
      <c r="B21" s="49"/>
      <c r="C21" s="50"/>
      <c r="D21" s="50"/>
      <c r="E21" s="50"/>
      <c r="F21" s="50"/>
      <c r="G21" s="52"/>
      <c r="H21" s="52"/>
      <c r="I21" s="52"/>
      <c r="J21" s="52"/>
      <c r="K21" s="52"/>
      <c r="L21" s="52"/>
      <c r="M21" s="50"/>
      <c r="N21" s="53"/>
    </row>
    <row r="22" spans="2:20" x14ac:dyDescent="0.2">
      <c r="B22" s="49"/>
      <c r="C22" s="66"/>
      <c r="D22" s="67"/>
      <c r="E22" s="67"/>
      <c r="F22" s="67"/>
      <c r="G22" s="68"/>
      <c r="H22" s="68"/>
      <c r="I22" s="68"/>
      <c r="J22" s="68"/>
      <c r="K22" s="68"/>
      <c r="L22" s="68"/>
      <c r="M22" s="66"/>
      <c r="N22" s="53"/>
    </row>
    <row r="23" spans="2:20" s="59" customFormat="1" x14ac:dyDescent="0.2">
      <c r="B23" s="63"/>
      <c r="C23" s="82"/>
      <c r="D23" s="690" t="s">
        <v>419</v>
      </c>
      <c r="E23" s="83"/>
      <c r="F23" s="84"/>
      <c r="G23" s="85"/>
      <c r="H23" s="85"/>
      <c r="I23" s="85"/>
      <c r="J23" s="85"/>
      <c r="K23" s="85"/>
      <c r="L23" s="85"/>
      <c r="M23" s="82"/>
      <c r="N23" s="86"/>
    </row>
    <row r="24" spans="2:20" x14ac:dyDescent="0.2">
      <c r="B24" s="49"/>
      <c r="C24" s="69"/>
      <c r="D24" s="71"/>
      <c r="E24" s="71"/>
      <c r="F24" s="71"/>
      <c r="G24" s="87"/>
      <c r="H24" s="87"/>
      <c r="I24" s="87"/>
      <c r="J24" s="87"/>
      <c r="K24" s="87"/>
      <c r="L24" s="87"/>
      <c r="M24" s="69"/>
      <c r="N24" s="53"/>
    </row>
    <row r="25" spans="2:20" x14ac:dyDescent="0.2">
      <c r="B25" s="49"/>
      <c r="C25" s="69"/>
      <c r="D25" s="70" t="s">
        <v>139</v>
      </c>
      <c r="E25" s="70"/>
      <c r="F25" s="70"/>
      <c r="G25" s="88">
        <v>146</v>
      </c>
      <c r="H25" s="88">
        <f t="shared" ref="H25:L26" si="0">G25</f>
        <v>146</v>
      </c>
      <c r="I25" s="88">
        <f t="shared" si="0"/>
        <v>146</v>
      </c>
      <c r="J25" s="88">
        <f t="shared" si="0"/>
        <v>146</v>
      </c>
      <c r="K25" s="88">
        <f t="shared" si="0"/>
        <v>146</v>
      </c>
      <c r="L25" s="88">
        <f t="shared" si="0"/>
        <v>146</v>
      </c>
      <c r="M25" s="69"/>
      <c r="N25" s="53"/>
    </row>
    <row r="26" spans="2:20" x14ac:dyDescent="0.2">
      <c r="B26" s="49"/>
      <c r="C26" s="69"/>
      <c r="D26" s="70" t="s">
        <v>140</v>
      </c>
      <c r="E26" s="70"/>
      <c r="F26" s="70"/>
      <c r="G26" s="88">
        <v>176</v>
      </c>
      <c r="H26" s="88">
        <f t="shared" si="0"/>
        <v>176</v>
      </c>
      <c r="I26" s="88">
        <f t="shared" si="0"/>
        <v>176</v>
      </c>
      <c r="J26" s="88">
        <f t="shared" si="0"/>
        <v>176</v>
      </c>
      <c r="K26" s="88">
        <f t="shared" si="0"/>
        <v>176</v>
      </c>
      <c r="L26" s="88">
        <f t="shared" si="0"/>
        <v>176</v>
      </c>
      <c r="M26" s="69"/>
      <c r="N26" s="53"/>
    </row>
    <row r="27" spans="2:20" x14ac:dyDescent="0.2">
      <c r="B27" s="49"/>
      <c r="C27" s="69"/>
      <c r="D27" s="89" t="s">
        <v>163</v>
      </c>
      <c r="E27" s="89"/>
      <c r="F27" s="89"/>
      <c r="G27" s="695">
        <f t="shared" ref="G27:L27" si="1">G25+G26</f>
        <v>322</v>
      </c>
      <c r="H27" s="695">
        <f t="shared" si="1"/>
        <v>322</v>
      </c>
      <c r="I27" s="695">
        <f t="shared" si="1"/>
        <v>322</v>
      </c>
      <c r="J27" s="695">
        <f t="shared" si="1"/>
        <v>322</v>
      </c>
      <c r="K27" s="695">
        <f t="shared" si="1"/>
        <v>322</v>
      </c>
      <c r="L27" s="695">
        <f t="shared" si="1"/>
        <v>322</v>
      </c>
      <c r="M27" s="69"/>
      <c r="N27" s="53"/>
    </row>
    <row r="28" spans="2:20" x14ac:dyDescent="0.2">
      <c r="B28" s="49"/>
      <c r="C28" s="69"/>
      <c r="D28" s="71" t="s">
        <v>391</v>
      </c>
      <c r="E28" s="90">
        <v>0.3</v>
      </c>
      <c r="F28" s="91"/>
      <c r="G28" s="88">
        <v>51</v>
      </c>
      <c r="H28" s="73"/>
      <c r="I28" s="73"/>
      <c r="J28" s="73"/>
      <c r="K28" s="73"/>
      <c r="L28" s="73"/>
      <c r="M28" s="69"/>
      <c r="N28" s="53"/>
    </row>
    <row r="29" spans="2:20" x14ac:dyDescent="0.2">
      <c r="B29" s="49"/>
      <c r="C29" s="69"/>
      <c r="D29" s="71" t="s">
        <v>391</v>
      </c>
      <c r="E29" s="90">
        <v>1.2</v>
      </c>
      <c r="F29" s="91"/>
      <c r="G29" s="88">
        <v>61</v>
      </c>
      <c r="H29" s="73"/>
      <c r="I29" s="73"/>
      <c r="J29" s="73"/>
      <c r="K29" s="73"/>
      <c r="L29" s="73"/>
      <c r="M29" s="69"/>
      <c r="N29" s="53"/>
    </row>
    <row r="30" spans="2:20" x14ac:dyDescent="0.2">
      <c r="B30" s="49"/>
      <c r="C30" s="69"/>
      <c r="D30" s="70" t="s">
        <v>6927</v>
      </c>
      <c r="E30" s="70"/>
      <c r="F30" s="70"/>
      <c r="G30" s="1132">
        <f>ROUND(IF(ROUND(($E$28*G28+$E$29*G29)-G27*tab!$E$27,0)&lt;0,0,$E$28*G28+$E$29*G29-G27*tab!$E$27),0)</f>
        <v>69</v>
      </c>
      <c r="H30" s="1161"/>
      <c r="I30" s="1161"/>
      <c r="J30" s="1161"/>
      <c r="K30" s="1161"/>
      <c r="L30" s="1161"/>
      <c r="M30" s="69"/>
      <c r="N30" s="53"/>
    </row>
    <row r="31" spans="2:20" hidden="1" x14ac:dyDescent="0.2">
      <c r="B31" s="49"/>
      <c r="C31" s="69"/>
      <c r="D31" s="70"/>
      <c r="E31" s="70"/>
      <c r="F31" s="70"/>
      <c r="G31" s="696"/>
      <c r="H31" s="93"/>
      <c r="I31" s="93"/>
      <c r="J31" s="93"/>
      <c r="K31" s="93"/>
      <c r="L31" s="93"/>
      <c r="M31" s="69"/>
      <c r="N31" s="53"/>
    </row>
    <row r="32" spans="2:20" x14ac:dyDescent="0.2">
      <c r="B32" s="49"/>
      <c r="C32" s="69"/>
      <c r="D32" s="92" t="s">
        <v>44</v>
      </c>
      <c r="E32" s="92"/>
      <c r="F32" s="92"/>
      <c r="G32" s="1133">
        <f>ROUND(IF(G30&gt;G27*0.8,G27*0.8,G30),0)</f>
        <v>69</v>
      </c>
      <c r="H32" s="1133"/>
      <c r="I32" s="1133"/>
      <c r="J32" s="1133"/>
      <c r="K32" s="1133"/>
      <c r="L32" s="1133"/>
      <c r="M32" s="69"/>
      <c r="N32" s="53"/>
    </row>
    <row r="33" spans="2:14" x14ac:dyDescent="0.2">
      <c r="B33" s="49"/>
      <c r="C33" s="69"/>
      <c r="D33" s="70" t="s">
        <v>79</v>
      </c>
      <c r="E33" s="70"/>
      <c r="F33" s="70"/>
      <c r="G33" s="684" t="str">
        <f>IF(G14=LOOKUP(G14,Postcode_gebieden),"ja","nee")</f>
        <v>ja</v>
      </c>
      <c r="H33" s="1162"/>
      <c r="I33" s="1162"/>
      <c r="J33" s="1162"/>
      <c r="K33" s="1162"/>
      <c r="L33" s="1162"/>
      <c r="M33" s="69"/>
      <c r="N33" s="53"/>
    </row>
    <row r="34" spans="2:14" x14ac:dyDescent="0.2">
      <c r="B34" s="49"/>
      <c r="C34" s="69"/>
      <c r="D34" s="70" t="s">
        <v>263</v>
      </c>
      <c r="E34" s="70"/>
      <c r="F34" s="70"/>
      <c r="G34" s="684">
        <f>SUM(G28:G29)</f>
        <v>112</v>
      </c>
      <c r="H34" s="93"/>
      <c r="I34" s="93"/>
      <c r="J34" s="93"/>
      <c r="K34" s="93"/>
      <c r="L34" s="93"/>
      <c r="M34" s="69"/>
      <c r="N34" s="53"/>
    </row>
    <row r="35" spans="2:14" x14ac:dyDescent="0.2">
      <c r="B35" s="49"/>
      <c r="C35" s="69"/>
      <c r="D35" s="70" t="s">
        <v>6922</v>
      </c>
      <c r="E35" s="1134"/>
      <c r="F35" s="70"/>
      <c r="G35" s="1159">
        <f>IF(G27=0,0,VLOOKUP(G13,Achterstandsscore,3,FALSE))</f>
        <v>675.08</v>
      </c>
      <c r="H35" s="1159">
        <f>G35</f>
        <v>675.08</v>
      </c>
      <c r="I35" s="1159">
        <f>H35</f>
        <v>675.08</v>
      </c>
      <c r="J35" s="1159">
        <f>I35</f>
        <v>675.08</v>
      </c>
      <c r="K35" s="1159">
        <f>J35</f>
        <v>675.08</v>
      </c>
      <c r="L35" s="1159">
        <f>K35</f>
        <v>675.08</v>
      </c>
      <c r="M35" s="69"/>
      <c r="N35" s="53"/>
    </row>
    <row r="36" spans="2:14" x14ac:dyDescent="0.2">
      <c r="B36" s="49"/>
      <c r="C36" s="69"/>
      <c r="D36" s="70"/>
      <c r="E36" s="70"/>
      <c r="F36" s="70"/>
      <c r="G36" s="93"/>
      <c r="H36" s="93"/>
      <c r="I36" s="93"/>
      <c r="J36" s="93"/>
      <c r="K36" s="93"/>
      <c r="L36" s="93"/>
      <c r="M36" s="69"/>
      <c r="N36" s="53"/>
    </row>
    <row r="37" spans="2:14" x14ac:dyDescent="0.2">
      <c r="B37" s="94"/>
      <c r="C37" s="95"/>
      <c r="D37" s="71" t="s">
        <v>138</v>
      </c>
      <c r="E37" s="71"/>
      <c r="F37" s="71"/>
      <c r="G37" s="683">
        <f t="shared" ref="G37:L37" si="2">FLOOR(G27*1.03,1)</f>
        <v>331</v>
      </c>
      <c r="H37" s="683">
        <f t="shared" si="2"/>
        <v>331</v>
      </c>
      <c r="I37" s="683">
        <f t="shared" si="2"/>
        <v>331</v>
      </c>
      <c r="J37" s="683">
        <f t="shared" si="2"/>
        <v>331</v>
      </c>
      <c r="K37" s="683">
        <f t="shared" si="2"/>
        <v>331</v>
      </c>
      <c r="L37" s="683">
        <f t="shared" si="2"/>
        <v>331</v>
      </c>
      <c r="M37" s="95"/>
      <c r="N37" s="97"/>
    </row>
    <row r="38" spans="2:14" x14ac:dyDescent="0.2">
      <c r="B38" s="49"/>
      <c r="C38" s="76"/>
      <c r="D38" s="77"/>
      <c r="E38" s="77"/>
      <c r="F38" s="77"/>
      <c r="G38" s="77"/>
      <c r="H38" s="77"/>
      <c r="I38" s="77"/>
      <c r="J38" s="77"/>
      <c r="K38" s="77"/>
      <c r="L38" s="77"/>
      <c r="M38" s="76"/>
      <c r="N38" s="53"/>
    </row>
    <row r="39" spans="2:14" x14ac:dyDescent="0.2">
      <c r="B39" s="49"/>
      <c r="C39" s="48"/>
      <c r="D39" s="48" t="s">
        <v>6936</v>
      </c>
      <c r="E39" s="48"/>
      <c r="F39" s="48"/>
      <c r="G39" s="1168">
        <v>0</v>
      </c>
      <c r="H39" s="1168">
        <f>G39</f>
        <v>0</v>
      </c>
      <c r="I39" s="1168">
        <f>H39</f>
        <v>0</v>
      </c>
      <c r="J39" s="1168">
        <f>I39</f>
        <v>0</v>
      </c>
      <c r="K39" s="1168">
        <f>J39</f>
        <v>0</v>
      </c>
      <c r="L39" s="1168">
        <f>K39</f>
        <v>0</v>
      </c>
      <c r="M39" s="48"/>
      <c r="N39" s="53"/>
    </row>
    <row r="40" spans="2:14" x14ac:dyDescent="0.2">
      <c r="B40" s="49"/>
      <c r="C40" s="48"/>
      <c r="D40" s="48"/>
      <c r="E40" s="48"/>
      <c r="F40" s="48"/>
      <c r="G40" s="127"/>
      <c r="H40" s="127"/>
      <c r="I40" s="127"/>
      <c r="J40" s="127"/>
      <c r="K40" s="127"/>
      <c r="L40" s="127"/>
      <c r="M40" s="48"/>
      <c r="N40" s="53"/>
    </row>
    <row r="41" spans="2:14" x14ac:dyDescent="0.2">
      <c r="B41" s="49"/>
      <c r="C41" s="57"/>
      <c r="D41" s="57"/>
      <c r="E41" s="57"/>
      <c r="F41" s="57"/>
      <c r="G41" s="57"/>
      <c r="H41" s="57"/>
      <c r="I41" s="57"/>
      <c r="J41" s="57"/>
      <c r="K41" s="57"/>
      <c r="L41" s="57"/>
      <c r="M41" s="57"/>
      <c r="N41" s="53"/>
    </row>
    <row r="42" spans="2:14" x14ac:dyDescent="0.2">
      <c r="B42" s="49"/>
      <c r="C42" s="57"/>
      <c r="D42" s="101"/>
      <c r="E42" s="101"/>
      <c r="F42" s="101"/>
      <c r="G42" s="101"/>
      <c r="H42" s="101"/>
      <c r="I42" s="101"/>
      <c r="J42" s="101"/>
      <c r="K42" s="101"/>
      <c r="L42" s="101"/>
      <c r="M42" s="57"/>
      <c r="N42" s="53"/>
    </row>
    <row r="43" spans="2:14" s="59" customFormat="1" x14ac:dyDescent="0.2">
      <c r="B43" s="63"/>
      <c r="C43" s="57"/>
      <c r="D43" s="62"/>
      <c r="E43" s="1131" t="s">
        <v>246</v>
      </c>
      <c r="F43" s="691"/>
      <c r="G43" s="688">
        <f>tab!E4</f>
        <v>2019</v>
      </c>
      <c r="H43" s="688">
        <f>tab!F4</f>
        <v>2020</v>
      </c>
      <c r="I43" s="688">
        <f>tab!G4</f>
        <v>2021</v>
      </c>
      <c r="J43" s="688">
        <f>tab!H4</f>
        <v>2022</v>
      </c>
      <c r="K43" s="688">
        <f>tab!I4</f>
        <v>2023</v>
      </c>
      <c r="L43" s="688">
        <f>tab!J4</f>
        <v>2024</v>
      </c>
      <c r="M43" s="57"/>
      <c r="N43" s="86"/>
    </row>
    <row r="44" spans="2:14" s="59" customFormat="1" x14ac:dyDescent="0.2">
      <c r="B44" s="63"/>
      <c r="C44" s="57"/>
      <c r="D44" s="687"/>
      <c r="E44" s="1131" t="s">
        <v>177</v>
      </c>
      <c r="F44" s="691"/>
      <c r="G44" s="688">
        <f t="shared" ref="G44:L44" si="3">G20</f>
        <v>2018</v>
      </c>
      <c r="H44" s="688">
        <f t="shared" si="3"/>
        <v>2019</v>
      </c>
      <c r="I44" s="688">
        <f t="shared" si="3"/>
        <v>2020</v>
      </c>
      <c r="J44" s="688">
        <f t="shared" si="3"/>
        <v>2021</v>
      </c>
      <c r="K44" s="688">
        <f t="shared" si="3"/>
        <v>2022</v>
      </c>
      <c r="L44" s="688">
        <f t="shared" si="3"/>
        <v>2023</v>
      </c>
      <c r="M44" s="57"/>
      <c r="N44" s="86"/>
    </row>
    <row r="45" spans="2:14" s="59" customFormat="1" x14ac:dyDescent="0.2">
      <c r="B45" s="63"/>
      <c r="C45" s="57"/>
      <c r="D45" s="687"/>
      <c r="E45" s="1131"/>
      <c r="F45" s="691"/>
      <c r="G45" s="688"/>
      <c r="H45" s="688"/>
      <c r="I45" s="688"/>
      <c r="J45" s="688"/>
      <c r="K45" s="688"/>
      <c r="L45" s="688"/>
      <c r="M45" s="57"/>
      <c r="N45" s="86"/>
    </row>
    <row r="46" spans="2:14" x14ac:dyDescent="0.2">
      <c r="B46" s="49"/>
      <c r="C46" s="57"/>
      <c r="D46" s="80"/>
      <c r="E46" s="80"/>
      <c r="F46" s="101"/>
      <c r="G46" s="101"/>
      <c r="H46" s="101"/>
      <c r="I46" s="101"/>
      <c r="J46" s="101"/>
      <c r="K46" s="101"/>
      <c r="L46" s="101"/>
      <c r="M46" s="57"/>
      <c r="N46" s="53"/>
    </row>
    <row r="47" spans="2:14" x14ac:dyDescent="0.2">
      <c r="B47" s="49"/>
      <c r="C47" s="66"/>
      <c r="D47" s="102"/>
      <c r="E47" s="102"/>
      <c r="F47" s="103"/>
      <c r="G47" s="103"/>
      <c r="H47" s="103"/>
      <c r="I47" s="103"/>
      <c r="J47" s="103"/>
      <c r="K47" s="103"/>
      <c r="L47" s="103"/>
      <c r="M47" s="66"/>
      <c r="N47" s="53"/>
    </row>
    <row r="48" spans="2:14" x14ac:dyDescent="0.2">
      <c r="B48" s="49"/>
      <c r="C48" s="69"/>
      <c r="D48" s="105"/>
      <c r="E48" s="105"/>
      <c r="F48" s="70"/>
      <c r="G48" s="70"/>
      <c r="H48" s="70"/>
      <c r="I48" s="70"/>
      <c r="J48" s="70"/>
      <c r="K48" s="70"/>
      <c r="L48" s="70"/>
      <c r="M48" s="69"/>
      <c r="N48" s="53"/>
    </row>
    <row r="49" spans="2:14" x14ac:dyDescent="0.2">
      <c r="B49" s="49"/>
      <c r="C49" s="69"/>
      <c r="D49" s="837" t="s">
        <v>6983</v>
      </c>
      <c r="E49" s="70"/>
      <c r="F49" s="70"/>
      <c r="G49" s="88">
        <v>151</v>
      </c>
      <c r="H49" s="88">
        <f>G49</f>
        <v>151</v>
      </c>
      <c r="I49" s="88">
        <f>H49</f>
        <v>151</v>
      </c>
      <c r="J49" s="88">
        <f>I49</f>
        <v>151</v>
      </c>
      <c r="K49" s="88">
        <f>J49</f>
        <v>151</v>
      </c>
      <c r="L49" s="88">
        <f>K49</f>
        <v>151</v>
      </c>
      <c r="M49" s="69"/>
      <c r="N49" s="53"/>
    </row>
    <row r="50" spans="2:14" x14ac:dyDescent="0.2">
      <c r="B50" s="94"/>
      <c r="C50" s="95"/>
      <c r="D50" s="837" t="s">
        <v>380</v>
      </c>
      <c r="E50" s="70"/>
      <c r="F50" s="96"/>
      <c r="G50" s="698">
        <f t="shared" ref="G50:L50" si="4">FLOOR(+G49*1.03,1)</f>
        <v>155</v>
      </c>
      <c r="H50" s="698">
        <f t="shared" si="4"/>
        <v>155</v>
      </c>
      <c r="I50" s="698">
        <f t="shared" si="4"/>
        <v>155</v>
      </c>
      <c r="J50" s="698">
        <f t="shared" si="4"/>
        <v>155</v>
      </c>
      <c r="K50" s="698">
        <f t="shared" si="4"/>
        <v>155</v>
      </c>
      <c r="L50" s="698">
        <f t="shared" si="4"/>
        <v>155</v>
      </c>
      <c r="M50" s="95"/>
      <c r="N50" s="97"/>
    </row>
    <row r="51" spans="2:14" x14ac:dyDescent="0.2">
      <c r="B51" s="94"/>
      <c r="C51" s="95"/>
      <c r="D51" s="837"/>
      <c r="E51" s="70"/>
      <c r="F51" s="96"/>
      <c r="G51" s="1135"/>
      <c r="H51" s="1135"/>
      <c r="I51" s="1135"/>
      <c r="J51" s="1135"/>
      <c r="K51" s="1135"/>
      <c r="L51" s="1135"/>
      <c r="M51" s="95"/>
      <c r="N51" s="97"/>
    </row>
    <row r="52" spans="2:14" x14ac:dyDescent="0.2">
      <c r="B52" s="49"/>
      <c r="C52" s="69"/>
      <c r="D52" s="864" t="s">
        <v>69</v>
      </c>
      <c r="E52" s="104"/>
      <c r="F52" s="70"/>
      <c r="G52" s="70"/>
      <c r="H52" s="70"/>
      <c r="I52" s="70"/>
      <c r="J52" s="70"/>
      <c r="K52" s="70"/>
      <c r="L52" s="70"/>
      <c r="M52" s="69"/>
      <c r="N52" s="53"/>
    </row>
    <row r="53" spans="2:14" x14ac:dyDescent="0.2">
      <c r="B53" s="49"/>
      <c r="C53" s="69"/>
      <c r="D53" s="837" t="s">
        <v>6997</v>
      </c>
      <c r="E53" s="71"/>
      <c r="F53" s="70"/>
      <c r="G53" s="684">
        <f>ROUND(((tab!$I$74*G25)+(tab!$I$75*G26)+(IF(tab!$I$77-(G27*tab!$I$78)&lt;0,0,(tab!$I$77-(G27*tab!$I$78))))+(tab!$I$76*G32)),0)</f>
        <v>15</v>
      </c>
      <c r="H53" s="684">
        <f>ROUND(((tab!$I$74*H25)+(tab!$I$75*H26)+(IF(tab!$I$77-(H27*tab!$I$78)&lt;0,0,(tab!$I$77-(H27*tab!$I$78))))+(tab!$I$76*H31)),0)</f>
        <v>13</v>
      </c>
      <c r="I53" s="684">
        <f>ROUND(((tab!$I$74*I25)+(tab!$I$75*I26)+(IF(tab!$I$77-(I27*tab!$I$78)&lt;0,0,(tab!$I$77-(I27*tab!$I$78))))+(tab!$I$76*I31)),0)</f>
        <v>13</v>
      </c>
      <c r="J53" s="684">
        <f>ROUND(((tab!$I$74*J25)+(tab!$I$75*J26)+(IF(tab!$I$77-(J27*tab!$I$78)&lt;0,0,(tab!$I$77-(J27*tab!$I$78))))+(tab!$I$76*J31)),0)</f>
        <v>13</v>
      </c>
      <c r="K53" s="684">
        <f>ROUND(((tab!$I$74*K25)+(tab!$I$75*K26)+(IF(tab!$I$77-(K27*tab!$I$78)&lt;0,0,(tab!$I$77-(K27*tab!$I$78))))+(tab!$I$76*K31)),0)</f>
        <v>13</v>
      </c>
      <c r="L53" s="684">
        <f>ROUND(((tab!$I$74*L25)+(tab!$I$75*L26)+(IF(tab!$I$77-(L27*tab!$I$78)&lt;0,0,(tab!$I$77-(L27*tab!$I$78))))+(tab!$I$76*L31)),0)</f>
        <v>13</v>
      </c>
      <c r="M53" s="69"/>
      <c r="N53" s="53"/>
    </row>
    <row r="54" spans="2:14" x14ac:dyDescent="0.2">
      <c r="B54" s="49"/>
      <c r="C54" s="69"/>
      <c r="D54" s="837" t="s">
        <v>197</v>
      </c>
      <c r="E54" s="70"/>
      <c r="F54" s="70"/>
      <c r="G54" s="697">
        <f t="shared" ref="G54:L54" si="5">LOOKUP(G53,groepenleerlingennu,vloeroppervlaknu)</f>
        <v>1860</v>
      </c>
      <c r="H54" s="697">
        <f t="shared" si="5"/>
        <v>1610</v>
      </c>
      <c r="I54" s="697">
        <f t="shared" si="5"/>
        <v>1610</v>
      </c>
      <c r="J54" s="697">
        <f t="shared" si="5"/>
        <v>1610</v>
      </c>
      <c r="K54" s="697">
        <f t="shared" si="5"/>
        <v>1610</v>
      </c>
      <c r="L54" s="697">
        <f t="shared" si="5"/>
        <v>1610</v>
      </c>
      <c r="M54" s="69"/>
      <c r="N54" s="53"/>
    </row>
    <row r="55" spans="2:14" x14ac:dyDescent="0.2">
      <c r="B55" s="49"/>
      <c r="C55" s="66"/>
      <c r="D55" s="102"/>
      <c r="E55" s="102"/>
      <c r="F55" s="103"/>
      <c r="G55" s="103"/>
      <c r="H55" s="103"/>
      <c r="I55" s="103"/>
      <c r="J55" s="103"/>
      <c r="K55" s="103"/>
      <c r="L55" s="103"/>
      <c r="M55" s="66"/>
      <c r="N55" s="53"/>
    </row>
    <row r="56" spans="2:14" x14ac:dyDescent="0.2">
      <c r="B56" s="49"/>
      <c r="C56" s="69"/>
      <c r="D56" s="864" t="s">
        <v>6926</v>
      </c>
      <c r="E56" s="104"/>
      <c r="F56" s="70"/>
      <c r="G56" s="70"/>
      <c r="H56" s="70"/>
      <c r="I56" s="70"/>
      <c r="J56" s="70"/>
      <c r="K56" s="70"/>
      <c r="L56" s="70"/>
      <c r="M56" s="69"/>
      <c r="N56" s="53"/>
    </row>
    <row r="57" spans="2:14" x14ac:dyDescent="0.2">
      <c r="B57" s="49"/>
      <c r="C57" s="69"/>
      <c r="D57" s="837" t="s">
        <v>6998</v>
      </c>
      <c r="E57" s="71"/>
      <c r="F57" s="70"/>
      <c r="G57" s="684">
        <f>ROUND((tab!$I$74*G25+tab!$I$75*G26+IF(tab!$I$77-(G27*tab!$I$78)&lt;0,0,tab!$I$77-(G27*tab!$I$78))),0)</f>
        <v>13</v>
      </c>
      <c r="H57" s="93"/>
      <c r="I57" s="93"/>
      <c r="J57" s="93"/>
      <c r="K57" s="93"/>
      <c r="L57" s="93"/>
      <c r="M57" s="69"/>
      <c r="N57" s="53"/>
    </row>
    <row r="58" spans="2:14" x14ac:dyDescent="0.2">
      <c r="B58" s="49"/>
      <c r="C58" s="69"/>
      <c r="D58" s="837" t="s">
        <v>197</v>
      </c>
      <c r="E58" s="70"/>
      <c r="F58" s="70"/>
      <c r="G58" s="697">
        <f>LOOKUP(G57,groepenleerlingennu,vloeroppervlaknu)</f>
        <v>1610</v>
      </c>
      <c r="H58" s="292"/>
      <c r="I58" s="292"/>
      <c r="J58" s="292"/>
      <c r="K58" s="292"/>
      <c r="L58" s="292"/>
      <c r="M58" s="69"/>
      <c r="N58" s="53"/>
    </row>
    <row r="59" spans="2:14" x14ac:dyDescent="0.2">
      <c r="B59" s="49"/>
      <c r="C59" s="76"/>
      <c r="D59" s="107"/>
      <c r="E59" s="107"/>
      <c r="F59" s="107"/>
      <c r="G59" s="107"/>
      <c r="H59" s="107"/>
      <c r="I59" s="107"/>
      <c r="J59" s="107"/>
      <c r="K59" s="107"/>
      <c r="L59" s="107"/>
      <c r="M59" s="76"/>
      <c r="N59" s="53"/>
    </row>
    <row r="60" spans="2:14" x14ac:dyDescent="0.2">
      <c r="B60" s="49"/>
      <c r="C60" s="50"/>
      <c r="D60" s="109"/>
      <c r="E60" s="109"/>
      <c r="F60" s="50"/>
      <c r="G60" s="50"/>
      <c r="H60" s="50"/>
      <c r="I60" s="50"/>
      <c r="J60" s="50"/>
      <c r="K60" s="50"/>
      <c r="L60" s="50"/>
      <c r="M60" s="50"/>
      <c r="N60" s="53"/>
    </row>
    <row r="61" spans="2:14" x14ac:dyDescent="0.2">
      <c r="B61" s="124"/>
      <c r="C61" s="125"/>
      <c r="D61" s="125"/>
      <c r="E61" s="125"/>
      <c r="F61" s="125"/>
      <c r="G61" s="125"/>
      <c r="H61" s="125"/>
      <c r="I61" s="125"/>
      <c r="J61" s="125"/>
      <c r="K61" s="125"/>
      <c r="L61" s="125"/>
      <c r="M61" s="125"/>
      <c r="N61" s="126"/>
    </row>
  </sheetData>
  <sheetProtection algorithmName="SHA-512" hashValue="v7k4AbIW8yDapuuALPEsSH7TTMgnB4D1TWM4c5COv0FM6gasoOcbzy1CVPuz8J9GrVRqppvuKt4RwUJgqipBHA==" saltValue="ql8ONQw3HnfhxRs+t3Cbeg==" spinCount="100000" sheet="1" objects="1" scenarios="1"/>
  <phoneticPr fontId="0" type="noConversion"/>
  <printOptions headings="1" gridLines="1"/>
  <pageMargins left="0.74803149606299213" right="0.74803149606299213" top="0.98425196850393704" bottom="0.98425196850393704" header="0.51181102362204722" footer="0.51181102362204722"/>
  <pageSetup paperSize="9" scale="53" orientation="portrait" r:id="rId1"/>
  <headerFooter alignWithMargins="0">
    <oddHeader>&amp;L&amp;"Arial,Vet"&amp;F&amp;R&amp;"Arial,Vet"&amp;A</oddHeader>
    <oddFooter>&amp;L&amp;"Arial,Vet"PO-Raad&amp;C&amp;"Arial,Vet"&amp;D&amp;R&amp;"Arial,Vet"pagina &amp;P</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40"/>
  <sheetViews>
    <sheetView workbookViewId="0"/>
  </sheetViews>
  <sheetFormatPr defaultRowHeight="12.75" x14ac:dyDescent="0.2"/>
  <cols>
    <col min="1" max="2" width="24.7109375" customWidth="1"/>
    <col min="3" max="4" width="26.140625" customWidth="1"/>
    <col min="5" max="5" width="2.140625" customWidth="1"/>
  </cols>
  <sheetData>
    <row r="1" spans="1:5" ht="15" customHeight="1" x14ac:dyDescent="0.25">
      <c r="A1" s="1119" t="s">
        <v>581</v>
      </c>
      <c r="B1" s="1119"/>
      <c r="C1" s="1120"/>
      <c r="D1" s="1120"/>
      <c r="E1" s="1120"/>
    </row>
    <row r="2" spans="1:5" x14ac:dyDescent="0.2">
      <c r="A2" s="1121" t="s">
        <v>582</v>
      </c>
      <c r="B2" s="1121"/>
      <c r="C2" s="1122"/>
      <c r="D2" s="1122"/>
      <c r="E2" s="1123"/>
    </row>
    <row r="3" spans="1:5" ht="15" customHeight="1" x14ac:dyDescent="0.25">
      <c r="A3" s="1119"/>
      <c r="B3" s="1119"/>
      <c r="C3" s="1124"/>
      <c r="D3" s="1124"/>
      <c r="E3" s="1120"/>
    </row>
    <row r="4" spans="1:5" x14ac:dyDescent="0.2">
      <c r="A4" s="1125" t="s">
        <v>583</v>
      </c>
      <c r="B4" s="1125" t="s">
        <v>584</v>
      </c>
      <c r="C4" s="1125" t="s">
        <v>585</v>
      </c>
      <c r="D4" s="1125" t="s">
        <v>586</v>
      </c>
      <c r="E4" s="1123"/>
    </row>
    <row r="6" spans="1:5" x14ac:dyDescent="0.2">
      <c r="A6" s="1126" t="s">
        <v>587</v>
      </c>
      <c r="B6" s="1127">
        <v>97</v>
      </c>
      <c r="C6" s="1128">
        <v>6.05</v>
      </c>
      <c r="D6" s="1128">
        <v>72.73</v>
      </c>
      <c r="E6" s="1126"/>
    </row>
    <row r="7" spans="1:5" x14ac:dyDescent="0.2">
      <c r="A7" s="1126" t="s">
        <v>588</v>
      </c>
      <c r="B7" s="1127">
        <v>143</v>
      </c>
      <c r="C7" s="1128">
        <v>0</v>
      </c>
      <c r="D7" s="1128">
        <v>22.09</v>
      </c>
      <c r="E7" s="1126"/>
    </row>
    <row r="8" spans="1:5" x14ac:dyDescent="0.2">
      <c r="A8" s="1126" t="s">
        <v>589</v>
      </c>
      <c r="B8" s="1127">
        <v>66</v>
      </c>
      <c r="C8" s="1128">
        <v>24.29</v>
      </c>
      <c r="D8" s="1128">
        <v>69.66</v>
      </c>
      <c r="E8" s="1126"/>
    </row>
    <row r="9" spans="1:5" x14ac:dyDescent="0.2">
      <c r="A9" s="1126" t="s">
        <v>590</v>
      </c>
      <c r="B9" s="1127">
        <v>98</v>
      </c>
      <c r="C9" s="1128">
        <v>48.17</v>
      </c>
      <c r="D9" s="1128">
        <v>115.53</v>
      </c>
      <c r="E9" s="1126"/>
    </row>
    <row r="10" spans="1:5" x14ac:dyDescent="0.2">
      <c r="A10" s="1126" t="s">
        <v>591</v>
      </c>
      <c r="B10" s="1127">
        <v>82</v>
      </c>
      <c r="C10" s="1128">
        <v>56.98</v>
      </c>
      <c r="D10" s="1128">
        <v>113.34</v>
      </c>
      <c r="E10" s="1126"/>
    </row>
    <row r="11" spans="1:5" x14ac:dyDescent="0.2">
      <c r="A11" s="1126" t="s">
        <v>592</v>
      </c>
      <c r="B11" s="1127">
        <v>77</v>
      </c>
      <c r="C11" s="1128">
        <v>6.44</v>
      </c>
      <c r="D11" s="1128">
        <v>59.37</v>
      </c>
      <c r="E11" s="1126"/>
    </row>
    <row r="12" spans="1:5" x14ac:dyDescent="0.2">
      <c r="A12" s="1126" t="s">
        <v>593</v>
      </c>
      <c r="B12" s="1127">
        <v>117</v>
      </c>
      <c r="C12" s="1128">
        <v>0</v>
      </c>
      <c r="D12" s="1128">
        <v>31.77</v>
      </c>
      <c r="E12" s="1126"/>
    </row>
    <row r="13" spans="1:5" x14ac:dyDescent="0.2">
      <c r="A13" s="1126" t="s">
        <v>594</v>
      </c>
      <c r="B13" s="1127">
        <v>118</v>
      </c>
      <c r="C13" s="1128">
        <v>0</v>
      </c>
      <c r="D13" s="1128">
        <v>60.2</v>
      </c>
      <c r="E13" s="1126"/>
    </row>
    <row r="14" spans="1:5" x14ac:dyDescent="0.2">
      <c r="A14" s="1126" t="s">
        <v>595</v>
      </c>
      <c r="B14" s="1127">
        <v>157</v>
      </c>
      <c r="C14" s="1128">
        <v>37.119999999999997</v>
      </c>
      <c r="D14" s="1128">
        <v>145.03</v>
      </c>
      <c r="E14" s="1126"/>
    </row>
    <row r="15" spans="1:5" x14ac:dyDescent="0.2">
      <c r="A15" s="1126" t="s">
        <v>596</v>
      </c>
      <c r="B15" s="1127">
        <v>411</v>
      </c>
      <c r="C15" s="1128">
        <v>94.05</v>
      </c>
      <c r="D15" s="1128">
        <v>376.56</v>
      </c>
      <c r="E15" s="1126"/>
    </row>
    <row r="16" spans="1:5" x14ac:dyDescent="0.2">
      <c r="A16" s="1126" t="s">
        <v>597</v>
      </c>
      <c r="B16" s="1127">
        <v>76</v>
      </c>
      <c r="C16" s="1128">
        <v>0</v>
      </c>
      <c r="D16" s="1128">
        <v>32.950000000000003</v>
      </c>
      <c r="E16" s="1126"/>
    </row>
    <row r="17" spans="1:5" x14ac:dyDescent="0.2">
      <c r="A17" s="1126" t="s">
        <v>598</v>
      </c>
      <c r="B17" s="1127">
        <v>78</v>
      </c>
      <c r="C17" s="1128">
        <v>0</v>
      </c>
      <c r="D17" s="1128">
        <v>5.73</v>
      </c>
      <c r="E17" s="1126"/>
    </row>
    <row r="18" spans="1:5" x14ac:dyDescent="0.2">
      <c r="A18" s="1126" t="s">
        <v>599</v>
      </c>
      <c r="B18" s="1127">
        <v>53</v>
      </c>
      <c r="C18" s="1128">
        <v>1.57</v>
      </c>
      <c r="D18" s="1128">
        <v>38</v>
      </c>
      <c r="E18" s="1126"/>
    </row>
    <row r="19" spans="1:5" x14ac:dyDescent="0.2">
      <c r="A19" s="1126" t="s">
        <v>600</v>
      </c>
      <c r="B19" s="1127">
        <v>61</v>
      </c>
      <c r="C19" s="1128">
        <v>9.35</v>
      </c>
      <c r="D19" s="1128">
        <v>51.28</v>
      </c>
      <c r="E19" s="1126"/>
    </row>
    <row r="20" spans="1:5" x14ac:dyDescent="0.2">
      <c r="A20" s="1126" t="s">
        <v>601</v>
      </c>
      <c r="B20" s="1127">
        <v>248</v>
      </c>
      <c r="C20" s="1128">
        <v>19.57</v>
      </c>
      <c r="D20" s="1128">
        <v>190.04</v>
      </c>
      <c r="E20" s="1126"/>
    </row>
    <row r="21" spans="1:5" x14ac:dyDescent="0.2">
      <c r="A21" s="1126" t="s">
        <v>602</v>
      </c>
      <c r="B21" s="1127">
        <v>122</v>
      </c>
      <c r="C21" s="1128">
        <v>0</v>
      </c>
      <c r="D21" s="1128">
        <v>43.98</v>
      </c>
      <c r="E21" s="1126"/>
    </row>
    <row r="22" spans="1:5" x14ac:dyDescent="0.2">
      <c r="A22" s="1126" t="s">
        <v>603</v>
      </c>
      <c r="B22" s="1127">
        <v>135</v>
      </c>
      <c r="C22" s="1128">
        <v>0</v>
      </c>
      <c r="D22" s="1128">
        <v>13.64</v>
      </c>
      <c r="E22" s="1126"/>
    </row>
    <row r="23" spans="1:5" x14ac:dyDescent="0.2">
      <c r="A23" s="1126" t="s">
        <v>604</v>
      </c>
      <c r="B23" s="1127">
        <v>145</v>
      </c>
      <c r="C23" s="1128">
        <v>49.93</v>
      </c>
      <c r="D23" s="1128">
        <v>149.6</v>
      </c>
      <c r="E23" s="1126"/>
    </row>
    <row r="24" spans="1:5" x14ac:dyDescent="0.2">
      <c r="A24" s="1126" t="s">
        <v>605</v>
      </c>
      <c r="B24" s="1127">
        <v>123</v>
      </c>
      <c r="C24" s="1128">
        <v>0</v>
      </c>
      <c r="D24" s="1128">
        <v>35.82</v>
      </c>
      <c r="E24" s="1126"/>
    </row>
    <row r="25" spans="1:5" x14ac:dyDescent="0.2">
      <c r="A25" s="1126" t="s">
        <v>606</v>
      </c>
      <c r="B25" s="1127">
        <v>189</v>
      </c>
      <c r="C25" s="1128">
        <v>0</v>
      </c>
      <c r="D25" s="1128">
        <v>16.239999999999998</v>
      </c>
      <c r="E25" s="1126"/>
    </row>
    <row r="26" spans="1:5" x14ac:dyDescent="0.2">
      <c r="A26" s="1126" t="s">
        <v>607</v>
      </c>
      <c r="B26" s="1127">
        <v>125</v>
      </c>
      <c r="C26" s="1128">
        <v>0</v>
      </c>
      <c r="D26" s="1128">
        <v>50.85</v>
      </c>
      <c r="E26" s="1126"/>
    </row>
    <row r="27" spans="1:5" x14ac:dyDescent="0.2">
      <c r="A27" s="1126" t="s">
        <v>608</v>
      </c>
      <c r="B27" s="1127">
        <v>162</v>
      </c>
      <c r="C27" s="1128">
        <v>0</v>
      </c>
      <c r="D27" s="1128">
        <v>40.21</v>
      </c>
      <c r="E27" s="1126"/>
    </row>
    <row r="28" spans="1:5" x14ac:dyDescent="0.2">
      <c r="A28" s="1126" t="s">
        <v>609</v>
      </c>
      <c r="B28" s="1127">
        <v>173</v>
      </c>
      <c r="C28" s="1128">
        <v>0</v>
      </c>
      <c r="D28" s="1128">
        <v>27.82</v>
      </c>
      <c r="E28" s="1126"/>
    </row>
    <row r="29" spans="1:5" x14ac:dyDescent="0.2">
      <c r="A29" s="1126" t="s">
        <v>610</v>
      </c>
      <c r="B29" s="1127">
        <v>149</v>
      </c>
      <c r="C29" s="1128">
        <v>0</v>
      </c>
      <c r="D29" s="1128">
        <v>60.89</v>
      </c>
      <c r="E29" s="1126"/>
    </row>
    <row r="30" spans="1:5" x14ac:dyDescent="0.2">
      <c r="A30" s="1126" t="s">
        <v>611</v>
      </c>
      <c r="B30" s="1127">
        <v>75</v>
      </c>
      <c r="C30" s="1128">
        <v>0</v>
      </c>
      <c r="D30" s="1128">
        <v>31.5</v>
      </c>
      <c r="E30" s="1126"/>
    </row>
    <row r="31" spans="1:5" x14ac:dyDescent="0.2">
      <c r="A31" s="1126" t="s">
        <v>612</v>
      </c>
      <c r="B31" s="1127">
        <v>91</v>
      </c>
      <c r="C31" s="1128">
        <v>36.69</v>
      </c>
      <c r="D31" s="1128">
        <v>99.24</v>
      </c>
      <c r="E31" s="1126"/>
    </row>
    <row r="32" spans="1:5" x14ac:dyDescent="0.2">
      <c r="A32" s="1126" t="s">
        <v>613</v>
      </c>
      <c r="B32" s="1127">
        <v>219</v>
      </c>
      <c r="C32" s="1128">
        <v>0</v>
      </c>
      <c r="D32" s="1128">
        <v>131.94999999999999</v>
      </c>
      <c r="E32" s="1126"/>
    </row>
    <row r="33" spans="1:5" x14ac:dyDescent="0.2">
      <c r="A33" s="1126" t="s">
        <v>614</v>
      </c>
      <c r="B33" s="1127">
        <v>68</v>
      </c>
      <c r="C33" s="1128">
        <v>0</v>
      </c>
      <c r="D33" s="1128">
        <v>5.73</v>
      </c>
      <c r="E33" s="1126"/>
    </row>
    <row r="34" spans="1:5" x14ac:dyDescent="0.2">
      <c r="A34" s="1126" t="s">
        <v>615</v>
      </c>
      <c r="B34" s="1127">
        <v>126</v>
      </c>
      <c r="C34" s="1128">
        <v>0</v>
      </c>
      <c r="D34" s="1128">
        <v>19.77</v>
      </c>
      <c r="E34" s="1126"/>
    </row>
    <row r="35" spans="1:5" x14ac:dyDescent="0.2">
      <c r="A35" s="1126" t="s">
        <v>616</v>
      </c>
      <c r="B35" s="1127">
        <v>115</v>
      </c>
      <c r="C35" s="1128">
        <v>0</v>
      </c>
      <c r="D35" s="1128">
        <v>34.799999999999997</v>
      </c>
      <c r="E35" s="1126"/>
    </row>
    <row r="36" spans="1:5" x14ac:dyDescent="0.2">
      <c r="A36" s="1126" t="s">
        <v>617</v>
      </c>
      <c r="B36" s="1127">
        <v>135</v>
      </c>
      <c r="C36" s="1128">
        <v>0</v>
      </c>
      <c r="D36" s="1128">
        <v>11.67</v>
      </c>
      <c r="E36" s="1126"/>
    </row>
    <row r="37" spans="1:5" x14ac:dyDescent="0.2">
      <c r="A37" s="1126" t="s">
        <v>618</v>
      </c>
      <c r="B37" s="1127">
        <v>102</v>
      </c>
      <c r="C37" s="1128">
        <v>1.45</v>
      </c>
      <c r="D37" s="1128">
        <v>71.56</v>
      </c>
      <c r="E37" s="1126"/>
    </row>
    <row r="38" spans="1:5" x14ac:dyDescent="0.2">
      <c r="A38" s="1126" t="s">
        <v>619</v>
      </c>
      <c r="B38" s="1127">
        <v>55</v>
      </c>
      <c r="C38" s="1128">
        <v>37.76</v>
      </c>
      <c r="D38" s="1128">
        <v>75.569999999999993</v>
      </c>
      <c r="E38" s="1126"/>
    </row>
    <row r="39" spans="1:5" x14ac:dyDescent="0.2">
      <c r="A39" s="1126" t="s">
        <v>620</v>
      </c>
      <c r="B39" s="1127">
        <v>222</v>
      </c>
      <c r="C39" s="1128">
        <v>0</v>
      </c>
      <c r="D39" s="1128">
        <v>55.57</v>
      </c>
      <c r="E39" s="1126"/>
    </row>
    <row r="40" spans="1:5" x14ac:dyDescent="0.2">
      <c r="A40" s="1126" t="s">
        <v>621</v>
      </c>
      <c r="B40" s="1127">
        <v>77</v>
      </c>
      <c r="C40" s="1128">
        <v>0</v>
      </c>
      <c r="D40" s="1128">
        <v>24.03</v>
      </c>
      <c r="E40" s="1126"/>
    </row>
    <row r="41" spans="1:5" x14ac:dyDescent="0.2">
      <c r="A41" s="1126" t="s">
        <v>622</v>
      </c>
      <c r="B41" s="1127">
        <v>193</v>
      </c>
      <c r="C41" s="1128">
        <v>0</v>
      </c>
      <c r="D41" s="1128">
        <v>88.57</v>
      </c>
      <c r="E41" s="1126"/>
    </row>
    <row r="42" spans="1:5" x14ac:dyDescent="0.2">
      <c r="A42" s="1126" t="s">
        <v>623</v>
      </c>
      <c r="B42" s="1127">
        <v>73</v>
      </c>
      <c r="C42" s="1128">
        <v>0</v>
      </c>
      <c r="D42" s="1128">
        <v>14.73</v>
      </c>
      <c r="E42" s="1126"/>
    </row>
    <row r="43" spans="1:5" x14ac:dyDescent="0.2">
      <c r="A43" s="1126" t="s">
        <v>624</v>
      </c>
      <c r="B43" s="1127">
        <v>192</v>
      </c>
      <c r="C43" s="1128">
        <v>0</v>
      </c>
      <c r="D43" s="1128">
        <v>39.93</v>
      </c>
      <c r="E43" s="1126"/>
    </row>
    <row r="44" spans="1:5" x14ac:dyDescent="0.2">
      <c r="A44" s="1126" t="s">
        <v>625</v>
      </c>
      <c r="B44" s="1127">
        <v>124</v>
      </c>
      <c r="C44" s="1128">
        <v>0</v>
      </c>
      <c r="D44" s="1128">
        <v>58.46</v>
      </c>
      <c r="E44" s="1126"/>
    </row>
    <row r="45" spans="1:5" x14ac:dyDescent="0.2">
      <c r="A45" s="1126" t="s">
        <v>626</v>
      </c>
      <c r="B45" s="1127">
        <v>108</v>
      </c>
      <c r="C45" s="1128">
        <v>0</v>
      </c>
      <c r="D45" s="1128">
        <v>22.41</v>
      </c>
      <c r="E45" s="1126"/>
    </row>
    <row r="46" spans="1:5" x14ac:dyDescent="0.2">
      <c r="A46" s="1126" t="s">
        <v>627</v>
      </c>
      <c r="B46" s="1127">
        <v>129</v>
      </c>
      <c r="C46" s="1128">
        <v>0</v>
      </c>
      <c r="D46" s="1128">
        <v>87.17</v>
      </c>
      <c r="E46" s="1126"/>
    </row>
    <row r="47" spans="1:5" x14ac:dyDescent="0.2">
      <c r="A47" s="1126" t="s">
        <v>628</v>
      </c>
      <c r="B47" s="1127">
        <v>263</v>
      </c>
      <c r="C47" s="1128">
        <v>0</v>
      </c>
      <c r="D47" s="1128">
        <v>11.25</v>
      </c>
      <c r="E47" s="1126"/>
    </row>
    <row r="48" spans="1:5" x14ac:dyDescent="0.2">
      <c r="A48" s="1126" t="s">
        <v>629</v>
      </c>
      <c r="B48" s="1127">
        <v>205</v>
      </c>
      <c r="C48" s="1128">
        <v>82.61</v>
      </c>
      <c r="D48" s="1128">
        <v>223.51</v>
      </c>
      <c r="E48" s="1126"/>
    </row>
    <row r="49" spans="1:5" x14ac:dyDescent="0.2">
      <c r="A49" s="1126" t="s">
        <v>630</v>
      </c>
      <c r="B49" s="1127">
        <v>469</v>
      </c>
      <c r="C49" s="1128">
        <v>0</v>
      </c>
      <c r="D49" s="1128">
        <v>132.9</v>
      </c>
      <c r="E49" s="1126"/>
    </row>
    <row r="50" spans="1:5" x14ac:dyDescent="0.2">
      <c r="A50" s="1126" t="s">
        <v>631</v>
      </c>
      <c r="B50" s="1127">
        <v>229</v>
      </c>
      <c r="C50" s="1128">
        <v>0</v>
      </c>
      <c r="D50" s="1128">
        <v>71.03</v>
      </c>
      <c r="E50" s="1126"/>
    </row>
    <row r="51" spans="1:5" x14ac:dyDescent="0.2">
      <c r="A51" s="1126" t="s">
        <v>632</v>
      </c>
      <c r="B51" s="1127">
        <v>252</v>
      </c>
      <c r="C51" s="1128">
        <v>0</v>
      </c>
      <c r="D51" s="1128">
        <v>153.35</v>
      </c>
      <c r="E51" s="1126"/>
    </row>
    <row r="52" spans="1:5" x14ac:dyDescent="0.2">
      <c r="A52" s="1126" t="s">
        <v>633</v>
      </c>
      <c r="B52" s="1127">
        <v>139</v>
      </c>
      <c r="C52" s="1128">
        <v>0</v>
      </c>
      <c r="D52" s="1128">
        <v>81.180000000000007</v>
      </c>
      <c r="E52" s="1126"/>
    </row>
    <row r="53" spans="1:5" x14ac:dyDescent="0.2">
      <c r="A53" s="1126" t="s">
        <v>634</v>
      </c>
      <c r="B53" s="1127">
        <v>501</v>
      </c>
      <c r="C53" s="1128">
        <v>0</v>
      </c>
      <c r="D53" s="1128">
        <v>86.84</v>
      </c>
      <c r="E53" s="1126"/>
    </row>
    <row r="54" spans="1:5" x14ac:dyDescent="0.2">
      <c r="A54" s="1126" t="s">
        <v>635</v>
      </c>
      <c r="B54" s="1127">
        <v>125</v>
      </c>
      <c r="C54" s="1128">
        <v>0</v>
      </c>
      <c r="D54" s="1128">
        <v>74.64</v>
      </c>
      <c r="E54" s="1126"/>
    </row>
    <row r="55" spans="1:5" x14ac:dyDescent="0.2">
      <c r="A55" s="1126" t="s">
        <v>636</v>
      </c>
      <c r="B55" s="1127">
        <v>415</v>
      </c>
      <c r="C55" s="1128">
        <v>0</v>
      </c>
      <c r="D55" s="1128">
        <v>10.78</v>
      </c>
      <c r="E55" s="1126"/>
    </row>
    <row r="56" spans="1:5" x14ac:dyDescent="0.2">
      <c r="A56" s="1126" t="s">
        <v>637</v>
      </c>
      <c r="B56" s="1127">
        <v>72</v>
      </c>
      <c r="C56" s="1128">
        <v>0</v>
      </c>
      <c r="D56" s="1128">
        <v>33.26</v>
      </c>
      <c r="E56" s="1126"/>
    </row>
    <row r="57" spans="1:5" x14ac:dyDescent="0.2">
      <c r="A57" s="1126" t="s">
        <v>638</v>
      </c>
      <c r="B57" s="1127">
        <v>212</v>
      </c>
      <c r="C57" s="1128">
        <v>0</v>
      </c>
      <c r="D57" s="1128">
        <v>22</v>
      </c>
      <c r="E57" s="1126"/>
    </row>
    <row r="58" spans="1:5" x14ac:dyDescent="0.2">
      <c r="A58" s="1126" t="s">
        <v>639</v>
      </c>
      <c r="B58" s="1127">
        <v>204</v>
      </c>
      <c r="C58" s="1128">
        <v>0</v>
      </c>
      <c r="D58" s="1128">
        <v>37.24</v>
      </c>
      <c r="E58" s="1126"/>
    </row>
    <row r="59" spans="1:5" x14ac:dyDescent="0.2">
      <c r="A59" s="1126" t="s">
        <v>640</v>
      </c>
      <c r="B59" s="1127">
        <v>211</v>
      </c>
      <c r="C59" s="1128">
        <v>0</v>
      </c>
      <c r="D59" s="1128">
        <v>29.88</v>
      </c>
      <c r="E59" s="1126"/>
    </row>
    <row r="60" spans="1:5" x14ac:dyDescent="0.2">
      <c r="A60" s="1126" t="s">
        <v>641</v>
      </c>
      <c r="B60" s="1127">
        <v>134</v>
      </c>
      <c r="C60" s="1128">
        <v>75.87</v>
      </c>
      <c r="D60" s="1128">
        <v>167.98</v>
      </c>
      <c r="E60" s="1126"/>
    </row>
    <row r="61" spans="1:5" x14ac:dyDescent="0.2">
      <c r="A61" s="1126" t="s">
        <v>642</v>
      </c>
      <c r="B61" s="1127">
        <v>93</v>
      </c>
      <c r="C61" s="1128">
        <v>0</v>
      </c>
      <c r="D61" s="1128">
        <v>18.97</v>
      </c>
      <c r="E61" s="1126"/>
    </row>
    <row r="62" spans="1:5" x14ac:dyDescent="0.2">
      <c r="A62" s="1126" t="s">
        <v>643</v>
      </c>
      <c r="B62" s="1127">
        <v>67</v>
      </c>
      <c r="C62" s="1128">
        <v>0</v>
      </c>
      <c r="D62" s="1128">
        <v>19.75</v>
      </c>
      <c r="E62" s="1126"/>
    </row>
    <row r="63" spans="1:5" x14ac:dyDescent="0.2">
      <c r="A63" s="1126" t="s">
        <v>644</v>
      </c>
      <c r="B63" s="1127">
        <v>104</v>
      </c>
      <c r="C63" s="1128">
        <v>69.36</v>
      </c>
      <c r="D63" s="1128">
        <v>140.85</v>
      </c>
      <c r="E63" s="1126"/>
    </row>
    <row r="64" spans="1:5" x14ac:dyDescent="0.2">
      <c r="A64" s="1126" t="s">
        <v>645</v>
      </c>
      <c r="B64" s="1127">
        <v>137</v>
      </c>
      <c r="C64" s="1128">
        <v>0</v>
      </c>
      <c r="D64" s="1128">
        <v>26.69</v>
      </c>
      <c r="E64" s="1126"/>
    </row>
    <row r="65" spans="1:5" x14ac:dyDescent="0.2">
      <c r="A65" s="1126" t="s">
        <v>646</v>
      </c>
      <c r="B65" s="1127">
        <v>68</v>
      </c>
      <c r="C65" s="1128">
        <v>0</v>
      </c>
      <c r="D65" s="1128">
        <v>0</v>
      </c>
      <c r="E65" s="1126"/>
    </row>
    <row r="66" spans="1:5" x14ac:dyDescent="0.2">
      <c r="A66" s="1126" t="s">
        <v>647</v>
      </c>
      <c r="B66" s="1127">
        <v>120</v>
      </c>
      <c r="C66" s="1128">
        <v>0</v>
      </c>
      <c r="D66" s="1128">
        <v>64.92</v>
      </c>
      <c r="E66" s="1126"/>
    </row>
    <row r="67" spans="1:5" x14ac:dyDescent="0.2">
      <c r="A67" s="1126" t="s">
        <v>648</v>
      </c>
      <c r="B67" s="1127">
        <v>164</v>
      </c>
      <c r="C67" s="1128">
        <v>0</v>
      </c>
      <c r="D67" s="1128">
        <v>100.34</v>
      </c>
      <c r="E67" s="1126"/>
    </row>
    <row r="68" spans="1:5" x14ac:dyDescent="0.2">
      <c r="A68" s="1126" t="s">
        <v>649</v>
      </c>
      <c r="B68" s="1127">
        <v>68</v>
      </c>
      <c r="C68" s="1128">
        <v>5.65</v>
      </c>
      <c r="D68" s="1128">
        <v>52.39</v>
      </c>
      <c r="E68" s="1126"/>
    </row>
    <row r="69" spans="1:5" x14ac:dyDescent="0.2">
      <c r="A69" s="1126" t="s">
        <v>650</v>
      </c>
      <c r="B69" s="1127">
        <v>106</v>
      </c>
      <c r="C69" s="1128">
        <v>120.26</v>
      </c>
      <c r="D69" s="1128">
        <v>193.12</v>
      </c>
      <c r="E69" s="1126"/>
    </row>
    <row r="70" spans="1:5" x14ac:dyDescent="0.2">
      <c r="A70" s="1126" t="s">
        <v>651</v>
      </c>
      <c r="B70" s="1127">
        <v>163</v>
      </c>
      <c r="C70" s="1128">
        <v>0</v>
      </c>
      <c r="D70" s="1128">
        <v>47.42</v>
      </c>
      <c r="E70" s="1126"/>
    </row>
    <row r="71" spans="1:5" x14ac:dyDescent="0.2">
      <c r="A71" s="1126" t="s">
        <v>652</v>
      </c>
      <c r="B71" s="1127">
        <v>181</v>
      </c>
      <c r="C71" s="1128">
        <v>0</v>
      </c>
      <c r="D71" s="1128">
        <v>69.430000000000007</v>
      </c>
      <c r="E71" s="1126"/>
    </row>
    <row r="72" spans="1:5" x14ac:dyDescent="0.2">
      <c r="A72" s="1126" t="s">
        <v>653</v>
      </c>
      <c r="B72" s="1127">
        <v>231</v>
      </c>
      <c r="C72" s="1128">
        <v>30.41</v>
      </c>
      <c r="D72" s="1128">
        <v>189.2</v>
      </c>
      <c r="E72" s="1126"/>
    </row>
    <row r="73" spans="1:5" x14ac:dyDescent="0.2">
      <c r="A73" s="1126" t="s">
        <v>654</v>
      </c>
      <c r="B73" s="1127">
        <v>133</v>
      </c>
      <c r="C73" s="1128">
        <v>0.27</v>
      </c>
      <c r="D73" s="1128">
        <v>91.69</v>
      </c>
      <c r="E73" s="1126"/>
    </row>
    <row r="74" spans="1:5" x14ac:dyDescent="0.2">
      <c r="A74" s="1126" t="s">
        <v>655</v>
      </c>
      <c r="B74" s="1127">
        <v>64</v>
      </c>
      <c r="C74" s="1128">
        <v>8.3800000000000008</v>
      </c>
      <c r="D74" s="1128">
        <v>52.37</v>
      </c>
      <c r="E74" s="1126"/>
    </row>
    <row r="75" spans="1:5" x14ac:dyDescent="0.2">
      <c r="A75" s="1126" t="s">
        <v>656</v>
      </c>
      <c r="B75" s="1127">
        <v>69</v>
      </c>
      <c r="C75" s="1128">
        <v>0</v>
      </c>
      <c r="D75" s="1128">
        <v>10.84</v>
      </c>
      <c r="E75" s="1126"/>
    </row>
    <row r="76" spans="1:5" x14ac:dyDescent="0.2">
      <c r="A76" s="1126" t="s">
        <v>657</v>
      </c>
      <c r="B76" s="1127">
        <v>132</v>
      </c>
      <c r="C76" s="1128">
        <v>0</v>
      </c>
      <c r="D76" s="1128">
        <v>32.65</v>
      </c>
      <c r="E76" s="1126"/>
    </row>
    <row r="77" spans="1:5" x14ac:dyDescent="0.2">
      <c r="A77" s="1126" t="s">
        <v>658</v>
      </c>
      <c r="B77" s="1127">
        <v>70</v>
      </c>
      <c r="C77" s="1128">
        <v>0</v>
      </c>
      <c r="D77" s="1128">
        <v>32.65</v>
      </c>
      <c r="E77" s="1126"/>
    </row>
    <row r="78" spans="1:5" x14ac:dyDescent="0.2">
      <c r="A78" s="1126" t="s">
        <v>659</v>
      </c>
      <c r="B78" s="1127">
        <v>61</v>
      </c>
      <c r="C78" s="1128">
        <v>0</v>
      </c>
      <c r="D78" s="1128">
        <v>0</v>
      </c>
      <c r="E78" s="1126"/>
    </row>
    <row r="79" spans="1:5" x14ac:dyDescent="0.2">
      <c r="A79" s="1126" t="s">
        <v>660</v>
      </c>
      <c r="B79" s="1127">
        <v>43</v>
      </c>
      <c r="C79" s="1128">
        <v>0</v>
      </c>
      <c r="D79" s="1128">
        <v>15.01</v>
      </c>
      <c r="E79" s="1126"/>
    </row>
    <row r="80" spans="1:5" x14ac:dyDescent="0.2">
      <c r="A80" s="1126" t="s">
        <v>661</v>
      </c>
      <c r="B80" s="1127">
        <v>163</v>
      </c>
      <c r="C80" s="1128">
        <v>0</v>
      </c>
      <c r="D80" s="1128">
        <v>78.650000000000006</v>
      </c>
      <c r="E80" s="1126"/>
    </row>
    <row r="81" spans="1:5" x14ac:dyDescent="0.2">
      <c r="A81" s="1126" t="s">
        <v>662</v>
      </c>
      <c r="B81" s="1127">
        <v>56</v>
      </c>
      <c r="C81" s="1128">
        <v>19.420000000000002</v>
      </c>
      <c r="D81" s="1128">
        <v>57.91</v>
      </c>
      <c r="E81" s="1126"/>
    </row>
    <row r="82" spans="1:5" x14ac:dyDescent="0.2">
      <c r="A82" s="1126" t="s">
        <v>663</v>
      </c>
      <c r="B82" s="1127">
        <v>105</v>
      </c>
      <c r="C82" s="1128">
        <v>0</v>
      </c>
      <c r="D82" s="1128">
        <v>37.770000000000003</v>
      </c>
      <c r="E82" s="1126"/>
    </row>
    <row r="83" spans="1:5" x14ac:dyDescent="0.2">
      <c r="A83" s="1126" t="s">
        <v>664</v>
      </c>
      <c r="B83" s="1127">
        <v>179</v>
      </c>
      <c r="C83" s="1128">
        <v>35.92</v>
      </c>
      <c r="D83" s="1128">
        <v>158.96</v>
      </c>
      <c r="E83" s="1126"/>
    </row>
    <row r="84" spans="1:5" x14ac:dyDescent="0.2">
      <c r="A84" s="1126" t="s">
        <v>665</v>
      </c>
      <c r="B84" s="1127">
        <v>88</v>
      </c>
      <c r="C84" s="1128">
        <v>77.94</v>
      </c>
      <c r="D84" s="1128">
        <v>138.43</v>
      </c>
      <c r="E84" s="1126"/>
    </row>
    <row r="85" spans="1:5" x14ac:dyDescent="0.2">
      <c r="A85" s="1126" t="s">
        <v>666</v>
      </c>
      <c r="B85" s="1127">
        <v>395</v>
      </c>
      <c r="C85" s="1128">
        <v>190.12</v>
      </c>
      <c r="D85" s="1128">
        <v>461.63</v>
      </c>
      <c r="E85" s="1126"/>
    </row>
    <row r="86" spans="1:5" x14ac:dyDescent="0.2">
      <c r="A86" s="1126" t="s">
        <v>667</v>
      </c>
      <c r="B86" s="1127">
        <v>157</v>
      </c>
      <c r="C86" s="1128">
        <v>0</v>
      </c>
      <c r="D86" s="1128">
        <v>99.77</v>
      </c>
      <c r="E86" s="1126"/>
    </row>
    <row r="87" spans="1:5" x14ac:dyDescent="0.2">
      <c r="A87" s="1126" t="s">
        <v>668</v>
      </c>
      <c r="B87" s="1127">
        <v>39</v>
      </c>
      <c r="C87" s="1128">
        <v>39.04</v>
      </c>
      <c r="D87" s="1128">
        <v>65.849999999999994</v>
      </c>
      <c r="E87" s="1126" t="s">
        <v>669</v>
      </c>
    </row>
    <row r="88" spans="1:5" x14ac:dyDescent="0.2">
      <c r="A88" s="1126" t="s">
        <v>670</v>
      </c>
      <c r="B88" s="1127">
        <v>75</v>
      </c>
      <c r="C88" s="1128">
        <v>0</v>
      </c>
      <c r="D88" s="1128">
        <v>34.15</v>
      </c>
      <c r="E88" s="1126"/>
    </row>
    <row r="89" spans="1:5" x14ac:dyDescent="0.2">
      <c r="A89" s="1126" t="s">
        <v>671</v>
      </c>
      <c r="B89" s="1127">
        <v>57</v>
      </c>
      <c r="C89" s="1128">
        <v>231.99</v>
      </c>
      <c r="D89" s="1128">
        <v>271.17</v>
      </c>
      <c r="E89" s="1126"/>
    </row>
    <row r="90" spans="1:5" x14ac:dyDescent="0.2">
      <c r="A90" s="1126" t="s">
        <v>672</v>
      </c>
      <c r="B90" s="1127">
        <v>103</v>
      </c>
      <c r="C90" s="1128">
        <v>0</v>
      </c>
      <c r="D90" s="1128">
        <v>45.57</v>
      </c>
      <c r="E90" s="1126"/>
    </row>
    <row r="91" spans="1:5" x14ac:dyDescent="0.2">
      <c r="A91" s="1126" t="s">
        <v>673</v>
      </c>
      <c r="B91" s="1127">
        <v>78</v>
      </c>
      <c r="C91" s="1128">
        <v>46.39</v>
      </c>
      <c r="D91" s="1128">
        <v>100</v>
      </c>
      <c r="E91" s="1126"/>
    </row>
    <row r="92" spans="1:5" x14ac:dyDescent="0.2">
      <c r="A92" s="1126" t="s">
        <v>674</v>
      </c>
      <c r="B92" s="1127">
        <v>296</v>
      </c>
      <c r="C92" s="1128">
        <v>41.73</v>
      </c>
      <c r="D92" s="1128">
        <v>245.19</v>
      </c>
      <c r="E92" s="1126"/>
    </row>
    <row r="93" spans="1:5" x14ac:dyDescent="0.2">
      <c r="A93" s="1126" t="s">
        <v>675</v>
      </c>
      <c r="B93" s="1127">
        <v>232</v>
      </c>
      <c r="C93" s="1128">
        <v>0</v>
      </c>
      <c r="D93" s="1128">
        <v>124.01</v>
      </c>
      <c r="E93" s="1126"/>
    </row>
    <row r="94" spans="1:5" x14ac:dyDescent="0.2">
      <c r="A94" s="1126" t="s">
        <v>676</v>
      </c>
      <c r="B94" s="1127">
        <v>112</v>
      </c>
      <c r="C94" s="1128">
        <v>18.309999999999999</v>
      </c>
      <c r="D94" s="1128">
        <v>95.29</v>
      </c>
      <c r="E94" s="1126"/>
    </row>
    <row r="95" spans="1:5" x14ac:dyDescent="0.2">
      <c r="A95" s="1126" t="s">
        <v>677</v>
      </c>
      <c r="B95" s="1127">
        <v>248</v>
      </c>
      <c r="C95" s="1128">
        <v>0</v>
      </c>
      <c r="D95" s="1128">
        <v>136.25</v>
      </c>
      <c r="E95" s="1126"/>
    </row>
    <row r="96" spans="1:5" x14ac:dyDescent="0.2">
      <c r="A96" s="1126" t="s">
        <v>678</v>
      </c>
      <c r="B96" s="1127">
        <v>169</v>
      </c>
      <c r="C96" s="1128">
        <v>0</v>
      </c>
      <c r="D96" s="1128">
        <v>62.3</v>
      </c>
      <c r="E96" s="1126"/>
    </row>
    <row r="97" spans="1:5" x14ac:dyDescent="0.2">
      <c r="A97" s="1126" t="s">
        <v>679</v>
      </c>
      <c r="B97" s="1127">
        <v>366</v>
      </c>
      <c r="C97" s="1128">
        <v>0</v>
      </c>
      <c r="D97" s="1128">
        <v>88</v>
      </c>
      <c r="E97" s="1126"/>
    </row>
    <row r="98" spans="1:5" x14ac:dyDescent="0.2">
      <c r="A98" s="1126" t="s">
        <v>680</v>
      </c>
      <c r="B98" s="1127">
        <v>196</v>
      </c>
      <c r="C98" s="1128">
        <v>139.84</v>
      </c>
      <c r="D98" s="1128">
        <v>274.56</v>
      </c>
      <c r="E98" s="1126"/>
    </row>
    <row r="99" spans="1:5" x14ac:dyDescent="0.2">
      <c r="A99" s="1126" t="s">
        <v>681</v>
      </c>
      <c r="B99" s="1127">
        <v>158</v>
      </c>
      <c r="C99" s="1128">
        <v>0</v>
      </c>
      <c r="D99" s="1128">
        <v>29.84</v>
      </c>
      <c r="E99" s="1126"/>
    </row>
    <row r="100" spans="1:5" x14ac:dyDescent="0.2">
      <c r="A100" s="1126" t="s">
        <v>682</v>
      </c>
      <c r="B100" s="1127">
        <v>349</v>
      </c>
      <c r="C100" s="1128">
        <v>781.88</v>
      </c>
      <c r="D100" s="1128">
        <v>1021.77</v>
      </c>
      <c r="E100" s="1126"/>
    </row>
    <row r="101" spans="1:5" x14ac:dyDescent="0.2">
      <c r="A101" s="1126" t="s">
        <v>683</v>
      </c>
      <c r="B101" s="1127">
        <v>70</v>
      </c>
      <c r="C101" s="1128">
        <v>0</v>
      </c>
      <c r="D101" s="1128">
        <v>41.85</v>
      </c>
      <c r="E101" s="1126"/>
    </row>
    <row r="102" spans="1:5" x14ac:dyDescent="0.2">
      <c r="A102" s="1126" t="s">
        <v>684</v>
      </c>
      <c r="B102" s="1127">
        <v>58</v>
      </c>
      <c r="C102" s="1128">
        <v>6.61</v>
      </c>
      <c r="D102" s="1128">
        <v>46.47</v>
      </c>
      <c r="E102" s="1126"/>
    </row>
    <row r="103" spans="1:5" x14ac:dyDescent="0.2">
      <c r="A103" s="1126" t="s">
        <v>685</v>
      </c>
      <c r="B103" s="1127">
        <v>37</v>
      </c>
      <c r="C103" s="1128">
        <v>0</v>
      </c>
      <c r="D103" s="1128">
        <v>15.7</v>
      </c>
      <c r="E103" s="1126" t="s">
        <v>669</v>
      </c>
    </row>
    <row r="104" spans="1:5" x14ac:dyDescent="0.2">
      <c r="A104" s="1126" t="s">
        <v>686</v>
      </c>
      <c r="B104" s="1127">
        <v>254</v>
      </c>
      <c r="C104" s="1128">
        <v>0</v>
      </c>
      <c r="D104" s="1128">
        <v>72.14</v>
      </c>
      <c r="E104" s="1126"/>
    </row>
    <row r="105" spans="1:5" x14ac:dyDescent="0.2">
      <c r="A105" s="1126" t="s">
        <v>687</v>
      </c>
      <c r="B105" s="1127">
        <v>55</v>
      </c>
      <c r="C105" s="1128">
        <v>0</v>
      </c>
      <c r="D105" s="1128">
        <v>33.369999999999997</v>
      </c>
      <c r="E105" s="1126"/>
    </row>
    <row r="106" spans="1:5" x14ac:dyDescent="0.2">
      <c r="A106" s="1126" t="s">
        <v>688</v>
      </c>
      <c r="B106" s="1127">
        <v>91</v>
      </c>
      <c r="C106" s="1128">
        <v>0</v>
      </c>
      <c r="D106" s="1128">
        <v>34.869999999999997</v>
      </c>
      <c r="E106" s="1126"/>
    </row>
    <row r="107" spans="1:5" x14ac:dyDescent="0.2">
      <c r="A107" s="1126" t="s">
        <v>689</v>
      </c>
      <c r="B107" s="1127">
        <v>111</v>
      </c>
      <c r="C107" s="1128">
        <v>28.86</v>
      </c>
      <c r="D107" s="1128">
        <v>105.16</v>
      </c>
      <c r="E107" s="1126"/>
    </row>
    <row r="108" spans="1:5" x14ac:dyDescent="0.2">
      <c r="A108" s="1126" t="s">
        <v>690</v>
      </c>
      <c r="B108" s="1127">
        <v>40</v>
      </c>
      <c r="C108" s="1128">
        <v>79.58</v>
      </c>
      <c r="D108" s="1128">
        <v>107.08</v>
      </c>
      <c r="E108" s="1126" t="s">
        <v>669</v>
      </c>
    </row>
    <row r="109" spans="1:5" x14ac:dyDescent="0.2">
      <c r="A109" s="1126" t="s">
        <v>691</v>
      </c>
      <c r="B109" s="1127">
        <v>525</v>
      </c>
      <c r="C109" s="1128">
        <v>0</v>
      </c>
      <c r="D109" s="1128">
        <v>223.45</v>
      </c>
      <c r="E109" s="1126"/>
    </row>
    <row r="110" spans="1:5" x14ac:dyDescent="0.2">
      <c r="A110" s="1126" t="s">
        <v>692</v>
      </c>
      <c r="B110" s="1127">
        <v>203</v>
      </c>
      <c r="C110" s="1128">
        <v>0</v>
      </c>
      <c r="D110" s="1128">
        <v>63.72</v>
      </c>
      <c r="E110" s="1126"/>
    </row>
    <row r="111" spans="1:5" x14ac:dyDescent="0.2">
      <c r="A111" s="1126" t="s">
        <v>693</v>
      </c>
      <c r="B111" s="1127">
        <v>64</v>
      </c>
      <c r="C111" s="1128">
        <v>10.82</v>
      </c>
      <c r="D111" s="1128">
        <v>54.81</v>
      </c>
      <c r="E111" s="1126"/>
    </row>
    <row r="112" spans="1:5" x14ac:dyDescent="0.2">
      <c r="A112" s="1126" t="s">
        <v>694</v>
      </c>
      <c r="B112" s="1127">
        <v>168</v>
      </c>
      <c r="C112" s="1128">
        <v>0</v>
      </c>
      <c r="D112" s="1128">
        <v>92.74</v>
      </c>
      <c r="E112" s="1126"/>
    </row>
    <row r="113" spans="1:5" x14ac:dyDescent="0.2">
      <c r="A113" s="1126" t="s">
        <v>695</v>
      </c>
      <c r="B113" s="1127">
        <v>265</v>
      </c>
      <c r="C113" s="1128">
        <v>0</v>
      </c>
      <c r="D113" s="1128">
        <v>154.38</v>
      </c>
      <c r="E113" s="1126"/>
    </row>
    <row r="114" spans="1:5" x14ac:dyDescent="0.2">
      <c r="A114" s="1126" t="s">
        <v>696</v>
      </c>
      <c r="B114" s="1127">
        <v>248</v>
      </c>
      <c r="C114" s="1128">
        <v>86.55</v>
      </c>
      <c r="D114" s="1128">
        <v>257.02</v>
      </c>
      <c r="E114" s="1126"/>
    </row>
    <row r="115" spans="1:5" x14ac:dyDescent="0.2">
      <c r="A115" s="1126" t="s">
        <v>697</v>
      </c>
      <c r="B115" s="1127">
        <v>102</v>
      </c>
      <c r="C115" s="1128">
        <v>158.54</v>
      </c>
      <c r="D115" s="1128">
        <v>228.65</v>
      </c>
      <c r="E115" s="1126"/>
    </row>
    <row r="116" spans="1:5" x14ac:dyDescent="0.2">
      <c r="A116" s="1126" t="s">
        <v>698</v>
      </c>
      <c r="B116" s="1127">
        <v>148</v>
      </c>
      <c r="C116" s="1128">
        <v>0</v>
      </c>
      <c r="D116" s="1128">
        <v>19.77</v>
      </c>
      <c r="E116" s="1126"/>
    </row>
    <row r="117" spans="1:5" x14ac:dyDescent="0.2">
      <c r="A117" s="1126" t="s">
        <v>699</v>
      </c>
      <c r="B117" s="1127">
        <v>77</v>
      </c>
      <c r="C117" s="1128">
        <v>0</v>
      </c>
      <c r="D117" s="1128">
        <v>48.75</v>
      </c>
      <c r="E117" s="1126"/>
    </row>
    <row r="118" spans="1:5" x14ac:dyDescent="0.2">
      <c r="A118" s="1126" t="s">
        <v>700</v>
      </c>
      <c r="B118" s="1127">
        <v>229</v>
      </c>
      <c r="C118" s="1128">
        <v>0</v>
      </c>
      <c r="D118" s="1128">
        <v>19.239999999999998</v>
      </c>
      <c r="E118" s="1126"/>
    </row>
    <row r="119" spans="1:5" x14ac:dyDescent="0.2">
      <c r="A119" s="1126" t="s">
        <v>701</v>
      </c>
      <c r="B119" s="1127">
        <v>273</v>
      </c>
      <c r="C119" s="1128">
        <v>0</v>
      </c>
      <c r="D119" s="1128">
        <v>119.56</v>
      </c>
      <c r="E119" s="1126"/>
    </row>
    <row r="120" spans="1:5" x14ac:dyDescent="0.2">
      <c r="A120" s="1126" t="s">
        <v>702</v>
      </c>
      <c r="B120" s="1127">
        <v>125</v>
      </c>
      <c r="C120" s="1128">
        <v>0</v>
      </c>
      <c r="D120" s="1128">
        <v>4.47</v>
      </c>
      <c r="E120" s="1126"/>
    </row>
    <row r="121" spans="1:5" x14ac:dyDescent="0.2">
      <c r="A121" s="1126" t="s">
        <v>703</v>
      </c>
      <c r="B121" s="1127">
        <v>73</v>
      </c>
      <c r="C121" s="1128">
        <v>0</v>
      </c>
      <c r="D121" s="1128">
        <v>0</v>
      </c>
      <c r="E121" s="1126"/>
    </row>
    <row r="122" spans="1:5" x14ac:dyDescent="0.2">
      <c r="A122" s="1126" t="s">
        <v>704</v>
      </c>
      <c r="B122" s="1127">
        <v>237</v>
      </c>
      <c r="C122" s="1128">
        <v>0</v>
      </c>
      <c r="D122" s="1128">
        <v>72.290000000000006</v>
      </c>
      <c r="E122" s="1126"/>
    </row>
    <row r="123" spans="1:5" x14ac:dyDescent="0.2">
      <c r="A123" s="1126" t="s">
        <v>705</v>
      </c>
      <c r="B123" s="1127">
        <v>175</v>
      </c>
      <c r="C123" s="1128">
        <v>0</v>
      </c>
      <c r="D123" s="1128">
        <v>62.78</v>
      </c>
      <c r="E123" s="1126"/>
    </row>
    <row r="124" spans="1:5" x14ac:dyDescent="0.2">
      <c r="A124" s="1126" t="s">
        <v>706</v>
      </c>
      <c r="B124" s="1127">
        <v>191</v>
      </c>
      <c r="C124" s="1128">
        <v>0</v>
      </c>
      <c r="D124" s="1128">
        <v>15.93</v>
      </c>
      <c r="E124" s="1126"/>
    </row>
    <row r="125" spans="1:5" x14ac:dyDescent="0.2">
      <c r="A125" s="1126" t="s">
        <v>707</v>
      </c>
      <c r="B125" s="1127">
        <v>69</v>
      </c>
      <c r="C125" s="1128">
        <v>0</v>
      </c>
      <c r="D125" s="1128">
        <v>43.67</v>
      </c>
      <c r="E125" s="1126"/>
    </row>
    <row r="126" spans="1:5" x14ac:dyDescent="0.2">
      <c r="A126" s="1126" t="s">
        <v>708</v>
      </c>
      <c r="B126" s="1127">
        <v>620</v>
      </c>
      <c r="C126" s="1128">
        <v>61.79</v>
      </c>
      <c r="D126" s="1128">
        <v>487.96</v>
      </c>
      <c r="E126" s="1126"/>
    </row>
    <row r="127" spans="1:5" x14ac:dyDescent="0.2">
      <c r="A127" s="1126" t="s">
        <v>709</v>
      </c>
      <c r="B127" s="1127">
        <v>215</v>
      </c>
      <c r="C127" s="1128">
        <v>0</v>
      </c>
      <c r="D127" s="1128">
        <v>127.43</v>
      </c>
      <c r="E127" s="1126"/>
    </row>
    <row r="128" spans="1:5" x14ac:dyDescent="0.2">
      <c r="A128" s="1126" t="s">
        <v>710</v>
      </c>
      <c r="B128" s="1127">
        <v>153</v>
      </c>
      <c r="C128" s="1128">
        <v>0</v>
      </c>
      <c r="D128" s="1128">
        <v>22.89</v>
      </c>
      <c r="E128" s="1126"/>
    </row>
    <row r="129" spans="1:5" x14ac:dyDescent="0.2">
      <c r="A129" s="1126" t="s">
        <v>711</v>
      </c>
      <c r="B129" s="1127">
        <v>411</v>
      </c>
      <c r="C129" s="1128">
        <v>0</v>
      </c>
      <c r="D129" s="1128">
        <v>156.9</v>
      </c>
      <c r="E129" s="1126"/>
    </row>
    <row r="130" spans="1:5" x14ac:dyDescent="0.2">
      <c r="A130" s="1126" t="s">
        <v>712</v>
      </c>
      <c r="B130" s="1127">
        <v>44</v>
      </c>
      <c r="C130" s="1128">
        <v>0</v>
      </c>
      <c r="D130" s="1128">
        <v>9.1</v>
      </c>
      <c r="E130" s="1126"/>
    </row>
    <row r="131" spans="1:5" x14ac:dyDescent="0.2">
      <c r="A131" s="1126" t="s">
        <v>713</v>
      </c>
      <c r="B131" s="1127">
        <v>146</v>
      </c>
      <c r="C131" s="1128">
        <v>0</v>
      </c>
      <c r="D131" s="1128">
        <v>34.01</v>
      </c>
      <c r="E131" s="1126"/>
    </row>
    <row r="132" spans="1:5" x14ac:dyDescent="0.2">
      <c r="A132" s="1126" t="s">
        <v>714</v>
      </c>
      <c r="B132" s="1127">
        <v>36</v>
      </c>
      <c r="C132" s="1128">
        <v>0</v>
      </c>
      <c r="D132" s="1128">
        <v>8.94</v>
      </c>
      <c r="E132" s="1126" t="s">
        <v>669</v>
      </c>
    </row>
    <row r="133" spans="1:5" x14ac:dyDescent="0.2">
      <c r="A133" s="1126" t="s">
        <v>715</v>
      </c>
      <c r="B133" s="1127">
        <v>271</v>
      </c>
      <c r="C133" s="1128">
        <v>0</v>
      </c>
      <c r="D133" s="1128">
        <v>93.84</v>
      </c>
      <c r="E133" s="1126"/>
    </row>
    <row r="134" spans="1:5" x14ac:dyDescent="0.2">
      <c r="A134" s="1126" t="s">
        <v>716</v>
      </c>
      <c r="B134" s="1127">
        <v>324</v>
      </c>
      <c r="C134" s="1128">
        <v>0</v>
      </c>
      <c r="D134" s="1128">
        <v>4.34</v>
      </c>
      <c r="E134" s="1126"/>
    </row>
    <row r="135" spans="1:5" x14ac:dyDescent="0.2">
      <c r="A135" s="1126" t="s">
        <v>717</v>
      </c>
      <c r="B135" s="1127">
        <v>355</v>
      </c>
      <c r="C135" s="1128">
        <v>0</v>
      </c>
      <c r="D135" s="1128">
        <v>178.82</v>
      </c>
      <c r="E135" s="1126"/>
    </row>
    <row r="136" spans="1:5" x14ac:dyDescent="0.2">
      <c r="A136" s="1126" t="s">
        <v>718</v>
      </c>
      <c r="B136" s="1127">
        <v>281</v>
      </c>
      <c r="C136" s="1128">
        <v>2.75</v>
      </c>
      <c r="D136" s="1128">
        <v>195.9</v>
      </c>
      <c r="E136" s="1126"/>
    </row>
    <row r="137" spans="1:5" x14ac:dyDescent="0.2">
      <c r="A137" s="1126" t="s">
        <v>719</v>
      </c>
      <c r="B137" s="1127">
        <v>224</v>
      </c>
      <c r="C137" s="1128">
        <v>51.18</v>
      </c>
      <c r="D137" s="1128">
        <v>205.15</v>
      </c>
      <c r="E137" s="1126"/>
    </row>
    <row r="138" spans="1:5" x14ac:dyDescent="0.2">
      <c r="A138" s="1126" t="s">
        <v>720</v>
      </c>
      <c r="B138" s="1127">
        <v>105</v>
      </c>
      <c r="C138" s="1128">
        <v>269.18</v>
      </c>
      <c r="D138" s="1128">
        <v>341.35</v>
      </c>
      <c r="E138" s="1126"/>
    </row>
    <row r="139" spans="1:5" x14ac:dyDescent="0.2">
      <c r="A139" s="1126" t="s">
        <v>721</v>
      </c>
      <c r="B139" s="1127">
        <v>515</v>
      </c>
      <c r="C139" s="1128">
        <v>0</v>
      </c>
      <c r="D139" s="1128">
        <v>298.70999999999998</v>
      </c>
      <c r="E139" s="1126"/>
    </row>
    <row r="140" spans="1:5" x14ac:dyDescent="0.2">
      <c r="A140" s="1126" t="s">
        <v>722</v>
      </c>
      <c r="B140" s="1127">
        <v>164</v>
      </c>
      <c r="C140" s="1128">
        <v>0</v>
      </c>
      <c r="D140" s="1128">
        <v>63.57</v>
      </c>
      <c r="E140" s="1126"/>
    </row>
    <row r="141" spans="1:5" x14ac:dyDescent="0.2">
      <c r="A141" s="1126" t="s">
        <v>723</v>
      </c>
      <c r="B141" s="1127">
        <v>116</v>
      </c>
      <c r="C141" s="1128">
        <v>60.36</v>
      </c>
      <c r="D141" s="1128">
        <v>140.09</v>
      </c>
      <c r="E141" s="1126"/>
    </row>
    <row r="142" spans="1:5" x14ac:dyDescent="0.2">
      <c r="A142" s="1126" t="s">
        <v>724</v>
      </c>
      <c r="B142" s="1127">
        <v>359</v>
      </c>
      <c r="C142" s="1128">
        <v>688.21</v>
      </c>
      <c r="D142" s="1128">
        <v>934.97</v>
      </c>
      <c r="E142" s="1126"/>
    </row>
    <row r="143" spans="1:5" x14ac:dyDescent="0.2">
      <c r="A143" s="1126" t="s">
        <v>725</v>
      </c>
      <c r="B143" s="1127">
        <v>223</v>
      </c>
      <c r="C143" s="1128">
        <v>0</v>
      </c>
      <c r="D143" s="1128">
        <v>14.18</v>
      </c>
      <c r="E143" s="1126"/>
    </row>
    <row r="144" spans="1:5" x14ac:dyDescent="0.2">
      <c r="A144" s="1126" t="s">
        <v>726</v>
      </c>
      <c r="B144" s="1127">
        <v>125</v>
      </c>
      <c r="C144" s="1128">
        <v>39.17</v>
      </c>
      <c r="D144" s="1128">
        <v>125.09</v>
      </c>
      <c r="E144" s="1126"/>
    </row>
    <row r="145" spans="1:5" x14ac:dyDescent="0.2">
      <c r="A145" s="1126" t="s">
        <v>727</v>
      </c>
      <c r="B145" s="1127">
        <v>163</v>
      </c>
      <c r="C145" s="1128">
        <v>0</v>
      </c>
      <c r="D145" s="1128">
        <v>46.83</v>
      </c>
      <c r="E145" s="1126"/>
    </row>
    <row r="146" spans="1:5" x14ac:dyDescent="0.2">
      <c r="A146" s="1126" t="s">
        <v>728</v>
      </c>
      <c r="B146" s="1127">
        <v>579</v>
      </c>
      <c r="C146" s="1128">
        <v>81.3</v>
      </c>
      <c r="D146" s="1128">
        <v>479.28</v>
      </c>
      <c r="E146" s="1126"/>
    </row>
    <row r="147" spans="1:5" x14ac:dyDescent="0.2">
      <c r="A147" s="1126" t="s">
        <v>729</v>
      </c>
      <c r="B147" s="1127">
        <v>144</v>
      </c>
      <c r="C147" s="1128">
        <v>19.25</v>
      </c>
      <c r="D147" s="1128">
        <v>118.23</v>
      </c>
      <c r="E147" s="1126"/>
    </row>
    <row r="148" spans="1:5" x14ac:dyDescent="0.2">
      <c r="A148" s="1126" t="s">
        <v>730</v>
      </c>
      <c r="B148" s="1127">
        <v>202</v>
      </c>
      <c r="C148" s="1128">
        <v>71.63</v>
      </c>
      <c r="D148" s="1128">
        <v>210.48</v>
      </c>
      <c r="E148" s="1126"/>
    </row>
    <row r="149" spans="1:5" x14ac:dyDescent="0.2">
      <c r="A149" s="1126" t="s">
        <v>731</v>
      </c>
      <c r="B149" s="1127">
        <v>353</v>
      </c>
      <c r="C149" s="1128">
        <v>0</v>
      </c>
      <c r="D149" s="1128">
        <v>103.64</v>
      </c>
      <c r="E149" s="1126"/>
    </row>
    <row r="150" spans="1:5" x14ac:dyDescent="0.2">
      <c r="A150" s="1126" t="s">
        <v>732</v>
      </c>
      <c r="B150" s="1127">
        <v>159</v>
      </c>
      <c r="C150" s="1128">
        <v>32.83</v>
      </c>
      <c r="D150" s="1128">
        <v>142.12</v>
      </c>
      <c r="E150" s="1126"/>
    </row>
    <row r="151" spans="1:5" x14ac:dyDescent="0.2">
      <c r="A151" s="1126" t="s">
        <v>733</v>
      </c>
      <c r="B151" s="1127">
        <v>283</v>
      </c>
      <c r="C151" s="1128">
        <v>0</v>
      </c>
      <c r="D151" s="1128">
        <v>17.350000000000001</v>
      </c>
      <c r="E151" s="1126"/>
    </row>
    <row r="152" spans="1:5" x14ac:dyDescent="0.2">
      <c r="A152" s="1126" t="s">
        <v>734</v>
      </c>
      <c r="B152" s="1127">
        <v>115</v>
      </c>
      <c r="C152" s="1128">
        <v>70.23</v>
      </c>
      <c r="D152" s="1128">
        <v>149.28</v>
      </c>
      <c r="E152" s="1126"/>
    </row>
    <row r="153" spans="1:5" x14ac:dyDescent="0.2">
      <c r="A153" s="1126" t="s">
        <v>735</v>
      </c>
      <c r="B153" s="1127">
        <v>154</v>
      </c>
      <c r="C153" s="1128">
        <v>0</v>
      </c>
      <c r="D153" s="1128">
        <v>44.4</v>
      </c>
      <c r="E153" s="1126"/>
    </row>
    <row r="154" spans="1:5" x14ac:dyDescent="0.2">
      <c r="A154" s="1126" t="s">
        <v>736</v>
      </c>
      <c r="B154" s="1127">
        <v>152</v>
      </c>
      <c r="C154" s="1128">
        <v>0</v>
      </c>
      <c r="D154" s="1128">
        <v>97.13</v>
      </c>
      <c r="E154" s="1126"/>
    </row>
    <row r="155" spans="1:5" x14ac:dyDescent="0.2">
      <c r="A155" s="1126" t="s">
        <v>737</v>
      </c>
      <c r="B155" s="1127">
        <v>442</v>
      </c>
      <c r="C155" s="1128">
        <v>0</v>
      </c>
      <c r="D155" s="1128">
        <v>86.98</v>
      </c>
      <c r="E155" s="1126"/>
    </row>
    <row r="156" spans="1:5" x14ac:dyDescent="0.2">
      <c r="A156" s="1126" t="s">
        <v>738</v>
      </c>
      <c r="B156" s="1127">
        <v>153</v>
      </c>
      <c r="C156" s="1128">
        <v>0</v>
      </c>
      <c r="D156" s="1128">
        <v>88.95</v>
      </c>
      <c r="E156" s="1126"/>
    </row>
    <row r="157" spans="1:5" x14ac:dyDescent="0.2">
      <c r="A157" s="1126" t="s">
        <v>739</v>
      </c>
      <c r="B157" s="1127">
        <v>159</v>
      </c>
      <c r="C157" s="1128">
        <v>0</v>
      </c>
      <c r="D157" s="1128">
        <v>18.399999999999999</v>
      </c>
      <c r="E157" s="1126"/>
    </row>
    <row r="158" spans="1:5" x14ac:dyDescent="0.2">
      <c r="A158" s="1126" t="s">
        <v>740</v>
      </c>
      <c r="B158" s="1127">
        <v>115</v>
      </c>
      <c r="C158" s="1128">
        <v>0</v>
      </c>
      <c r="D158" s="1128">
        <v>28.35</v>
      </c>
      <c r="E158" s="1126"/>
    </row>
    <row r="159" spans="1:5" x14ac:dyDescent="0.2">
      <c r="A159" s="1126" t="s">
        <v>741</v>
      </c>
      <c r="B159" s="1127">
        <v>95</v>
      </c>
      <c r="C159" s="1128">
        <v>10.15</v>
      </c>
      <c r="D159" s="1128">
        <v>75.45</v>
      </c>
      <c r="E159" s="1126"/>
    </row>
    <row r="160" spans="1:5" x14ac:dyDescent="0.2">
      <c r="A160" s="1126" t="s">
        <v>742</v>
      </c>
      <c r="B160" s="1127">
        <v>98</v>
      </c>
      <c r="C160" s="1128">
        <v>0</v>
      </c>
      <c r="D160" s="1128">
        <v>9.2799999999999994</v>
      </c>
      <c r="E160" s="1126"/>
    </row>
    <row r="161" spans="1:5" x14ac:dyDescent="0.2">
      <c r="A161" s="1126" t="s">
        <v>743</v>
      </c>
      <c r="B161" s="1127">
        <v>176</v>
      </c>
      <c r="C161" s="1128">
        <v>0</v>
      </c>
      <c r="D161" s="1128">
        <v>102.2</v>
      </c>
      <c r="E161" s="1126"/>
    </row>
    <row r="162" spans="1:5" x14ac:dyDescent="0.2">
      <c r="A162" s="1126" t="s">
        <v>744</v>
      </c>
      <c r="B162" s="1127">
        <v>121</v>
      </c>
      <c r="C162" s="1128">
        <v>0</v>
      </c>
      <c r="D162" s="1128">
        <v>32.31</v>
      </c>
      <c r="E162" s="1126"/>
    </row>
    <row r="163" spans="1:5" x14ac:dyDescent="0.2">
      <c r="A163" s="1126" t="s">
        <v>745</v>
      </c>
      <c r="B163" s="1127">
        <v>290</v>
      </c>
      <c r="C163" s="1128">
        <v>0</v>
      </c>
      <c r="D163" s="1128">
        <v>119.93</v>
      </c>
      <c r="E163" s="1126"/>
    </row>
    <row r="164" spans="1:5" x14ac:dyDescent="0.2">
      <c r="A164" s="1126" t="s">
        <v>746</v>
      </c>
      <c r="B164" s="1127">
        <v>357</v>
      </c>
      <c r="C164" s="1128">
        <v>0</v>
      </c>
      <c r="D164" s="1128">
        <v>19.100000000000001</v>
      </c>
      <c r="E164" s="1126"/>
    </row>
    <row r="165" spans="1:5" x14ac:dyDescent="0.2">
      <c r="A165" s="1126" t="s">
        <v>747</v>
      </c>
      <c r="B165" s="1127">
        <v>167</v>
      </c>
      <c r="C165" s="1128">
        <v>101.38</v>
      </c>
      <c r="D165" s="1128">
        <v>216.17</v>
      </c>
      <c r="E165" s="1126"/>
    </row>
    <row r="166" spans="1:5" x14ac:dyDescent="0.2">
      <c r="A166" s="1126" t="s">
        <v>748</v>
      </c>
      <c r="B166" s="1127">
        <v>225</v>
      </c>
      <c r="C166" s="1128">
        <v>104.22</v>
      </c>
      <c r="D166" s="1128">
        <v>258.88</v>
      </c>
      <c r="E166" s="1126"/>
    </row>
    <row r="167" spans="1:5" x14ac:dyDescent="0.2">
      <c r="A167" s="1126" t="s">
        <v>749</v>
      </c>
      <c r="B167" s="1127">
        <v>73</v>
      </c>
      <c r="C167" s="1128">
        <v>0</v>
      </c>
      <c r="D167" s="1128">
        <v>17.600000000000001</v>
      </c>
      <c r="E167" s="1126"/>
    </row>
    <row r="168" spans="1:5" x14ac:dyDescent="0.2">
      <c r="A168" s="1126" t="s">
        <v>750</v>
      </c>
      <c r="B168" s="1127">
        <v>264</v>
      </c>
      <c r="C168" s="1128">
        <v>70.75</v>
      </c>
      <c r="D168" s="1128">
        <v>252.21</v>
      </c>
      <c r="E168" s="1126"/>
    </row>
    <row r="169" spans="1:5" x14ac:dyDescent="0.2">
      <c r="A169" s="1126" t="s">
        <v>751</v>
      </c>
      <c r="B169" s="1127">
        <v>192</v>
      </c>
      <c r="C169" s="1128">
        <v>0</v>
      </c>
      <c r="D169" s="1128">
        <v>94.8</v>
      </c>
      <c r="E169" s="1126"/>
    </row>
    <row r="170" spans="1:5" x14ac:dyDescent="0.2">
      <c r="A170" s="1126" t="s">
        <v>752</v>
      </c>
      <c r="B170" s="1127">
        <v>293</v>
      </c>
      <c r="C170" s="1128">
        <v>386.02</v>
      </c>
      <c r="D170" s="1128">
        <v>587.41999999999996</v>
      </c>
      <c r="E170" s="1126"/>
    </row>
    <row r="171" spans="1:5" x14ac:dyDescent="0.2">
      <c r="A171" s="1126" t="s">
        <v>753</v>
      </c>
      <c r="B171" s="1127">
        <v>421</v>
      </c>
      <c r="C171" s="1128">
        <v>0</v>
      </c>
      <c r="D171" s="1128">
        <v>92.01</v>
      </c>
      <c r="E171" s="1126"/>
    </row>
    <row r="172" spans="1:5" x14ac:dyDescent="0.2">
      <c r="A172" s="1126" t="s">
        <v>754</v>
      </c>
      <c r="B172" s="1127">
        <v>606</v>
      </c>
      <c r="C172" s="1128">
        <v>0</v>
      </c>
      <c r="D172" s="1128">
        <v>213.54</v>
      </c>
      <c r="E172" s="1126"/>
    </row>
    <row r="173" spans="1:5" x14ac:dyDescent="0.2">
      <c r="A173" s="1126" t="s">
        <v>755</v>
      </c>
      <c r="B173" s="1127">
        <v>76</v>
      </c>
      <c r="C173" s="1128">
        <v>0</v>
      </c>
      <c r="D173" s="1128">
        <v>23.55</v>
      </c>
      <c r="E173" s="1126"/>
    </row>
    <row r="174" spans="1:5" x14ac:dyDescent="0.2">
      <c r="A174" s="1126" t="s">
        <v>756</v>
      </c>
      <c r="B174" s="1127">
        <v>229</v>
      </c>
      <c r="C174" s="1128">
        <v>32.21</v>
      </c>
      <c r="D174" s="1128">
        <v>189.62</v>
      </c>
      <c r="E174" s="1126"/>
    </row>
    <row r="175" spans="1:5" x14ac:dyDescent="0.2">
      <c r="A175" s="1126" t="s">
        <v>757</v>
      </c>
      <c r="B175" s="1127">
        <v>288</v>
      </c>
      <c r="C175" s="1128">
        <v>0</v>
      </c>
      <c r="D175" s="1128">
        <v>43.27</v>
      </c>
      <c r="E175" s="1126"/>
    </row>
    <row r="176" spans="1:5" x14ac:dyDescent="0.2">
      <c r="A176" s="1126" t="s">
        <v>758</v>
      </c>
      <c r="B176" s="1127">
        <v>642</v>
      </c>
      <c r="C176" s="1128">
        <v>0</v>
      </c>
      <c r="D176" s="1128">
        <v>146.77000000000001</v>
      </c>
      <c r="E176" s="1126"/>
    </row>
    <row r="177" spans="1:5" x14ac:dyDescent="0.2">
      <c r="A177" s="1126" t="s">
        <v>759</v>
      </c>
      <c r="B177" s="1127">
        <v>806</v>
      </c>
      <c r="C177" s="1128">
        <v>0</v>
      </c>
      <c r="D177" s="1128">
        <v>46.52</v>
      </c>
      <c r="E177" s="1126"/>
    </row>
    <row r="178" spans="1:5" x14ac:dyDescent="0.2">
      <c r="A178" s="1126" t="s">
        <v>760</v>
      </c>
      <c r="B178" s="1127">
        <v>91</v>
      </c>
      <c r="C178" s="1128">
        <v>0</v>
      </c>
      <c r="D178" s="1128">
        <v>53.72</v>
      </c>
      <c r="E178" s="1126"/>
    </row>
    <row r="179" spans="1:5" x14ac:dyDescent="0.2">
      <c r="A179" s="1126" t="s">
        <v>761</v>
      </c>
      <c r="B179" s="1127">
        <v>282</v>
      </c>
      <c r="C179" s="1128">
        <v>0</v>
      </c>
      <c r="D179" s="1128">
        <v>136.38</v>
      </c>
      <c r="E179" s="1126"/>
    </row>
    <row r="180" spans="1:5" x14ac:dyDescent="0.2">
      <c r="A180" s="1126" t="s">
        <v>762</v>
      </c>
      <c r="B180" s="1127">
        <v>88</v>
      </c>
      <c r="C180" s="1128">
        <v>0</v>
      </c>
      <c r="D180" s="1128">
        <v>24.72</v>
      </c>
      <c r="E180" s="1126"/>
    </row>
    <row r="181" spans="1:5" x14ac:dyDescent="0.2">
      <c r="A181" s="1126" t="s">
        <v>763</v>
      </c>
      <c r="B181" s="1127">
        <v>203</v>
      </c>
      <c r="C181" s="1128">
        <v>0</v>
      </c>
      <c r="D181" s="1128">
        <v>67.41</v>
      </c>
      <c r="E181" s="1126"/>
    </row>
    <row r="182" spans="1:5" x14ac:dyDescent="0.2">
      <c r="A182" s="1126" t="s">
        <v>764</v>
      </c>
      <c r="B182" s="1127">
        <v>111</v>
      </c>
      <c r="C182" s="1128">
        <v>0</v>
      </c>
      <c r="D182" s="1128">
        <v>11.46</v>
      </c>
      <c r="E182" s="1126"/>
    </row>
    <row r="183" spans="1:5" x14ac:dyDescent="0.2">
      <c r="A183" s="1126" t="s">
        <v>765</v>
      </c>
      <c r="B183" s="1127">
        <v>405</v>
      </c>
      <c r="C183" s="1128">
        <v>0</v>
      </c>
      <c r="D183" s="1128">
        <v>23.31</v>
      </c>
      <c r="E183" s="1126"/>
    </row>
    <row r="184" spans="1:5" x14ac:dyDescent="0.2">
      <c r="A184" s="1126" t="s">
        <v>766</v>
      </c>
      <c r="B184" s="1127">
        <v>296</v>
      </c>
      <c r="C184" s="1128">
        <v>63.13</v>
      </c>
      <c r="D184" s="1128">
        <v>266.58999999999997</v>
      </c>
      <c r="E184" s="1126"/>
    </row>
    <row r="185" spans="1:5" x14ac:dyDescent="0.2">
      <c r="A185" s="1126" t="s">
        <v>767</v>
      </c>
      <c r="B185" s="1127">
        <v>128</v>
      </c>
      <c r="C185" s="1128">
        <v>0</v>
      </c>
      <c r="D185" s="1128">
        <v>33.99</v>
      </c>
      <c r="E185" s="1126"/>
    </row>
    <row r="186" spans="1:5" x14ac:dyDescent="0.2">
      <c r="A186" s="1126" t="s">
        <v>768</v>
      </c>
      <c r="B186" s="1127">
        <v>93</v>
      </c>
      <c r="C186" s="1128">
        <v>63</v>
      </c>
      <c r="D186" s="1128">
        <v>126.93</v>
      </c>
      <c r="E186" s="1126"/>
    </row>
    <row r="187" spans="1:5" x14ac:dyDescent="0.2">
      <c r="A187" s="1126" t="s">
        <v>769</v>
      </c>
      <c r="B187" s="1127">
        <v>448</v>
      </c>
      <c r="C187" s="1128">
        <v>0</v>
      </c>
      <c r="D187" s="1128">
        <v>285.04000000000002</v>
      </c>
      <c r="E187" s="1126"/>
    </row>
    <row r="188" spans="1:5" x14ac:dyDescent="0.2">
      <c r="A188" s="1126" t="s">
        <v>770</v>
      </c>
      <c r="B188" s="1127">
        <v>105</v>
      </c>
      <c r="C188" s="1128">
        <v>0</v>
      </c>
      <c r="D188" s="1128">
        <v>36.28</v>
      </c>
      <c r="E188" s="1126"/>
    </row>
    <row r="189" spans="1:5" x14ac:dyDescent="0.2">
      <c r="A189" s="1126" t="s">
        <v>771</v>
      </c>
      <c r="B189" s="1127">
        <v>101</v>
      </c>
      <c r="C189" s="1128">
        <v>134.69999999999999</v>
      </c>
      <c r="D189" s="1128">
        <v>204.13</v>
      </c>
      <c r="E189" s="1126"/>
    </row>
    <row r="190" spans="1:5" x14ac:dyDescent="0.2">
      <c r="A190" s="1126" t="s">
        <v>772</v>
      </c>
      <c r="B190" s="1127">
        <v>255</v>
      </c>
      <c r="C190" s="1128">
        <v>6.94</v>
      </c>
      <c r="D190" s="1128">
        <v>182.21</v>
      </c>
      <c r="E190" s="1126"/>
    </row>
    <row r="191" spans="1:5" x14ac:dyDescent="0.2">
      <c r="A191" s="1126" t="s">
        <v>773</v>
      </c>
      <c r="B191" s="1127">
        <v>292</v>
      </c>
      <c r="C191" s="1128">
        <v>290.20999999999998</v>
      </c>
      <c r="D191" s="1128">
        <v>490.92</v>
      </c>
      <c r="E191" s="1126"/>
    </row>
    <row r="192" spans="1:5" x14ac:dyDescent="0.2">
      <c r="A192" s="1126" t="s">
        <v>774</v>
      </c>
      <c r="B192" s="1127">
        <v>416</v>
      </c>
      <c r="C192" s="1128">
        <v>0</v>
      </c>
      <c r="D192" s="1128">
        <v>73.22</v>
      </c>
      <c r="E192" s="1126"/>
    </row>
    <row r="193" spans="1:5" x14ac:dyDescent="0.2">
      <c r="A193" s="1126" t="s">
        <v>775</v>
      </c>
      <c r="B193" s="1127">
        <v>349</v>
      </c>
      <c r="C193" s="1128">
        <v>0</v>
      </c>
      <c r="D193" s="1128">
        <v>239.37</v>
      </c>
      <c r="E193" s="1126"/>
    </row>
    <row r="194" spans="1:5" x14ac:dyDescent="0.2">
      <c r="A194" s="1126" t="s">
        <v>776</v>
      </c>
      <c r="B194" s="1127">
        <v>200</v>
      </c>
      <c r="C194" s="1128">
        <v>0</v>
      </c>
      <c r="D194" s="1128">
        <v>59.53</v>
      </c>
      <c r="E194" s="1126"/>
    </row>
    <row r="195" spans="1:5" x14ac:dyDescent="0.2">
      <c r="A195" s="1126" t="s">
        <v>777</v>
      </c>
      <c r="B195" s="1127">
        <v>33</v>
      </c>
      <c r="C195" s="1128">
        <v>64.03</v>
      </c>
      <c r="D195" s="1128">
        <v>86.72</v>
      </c>
      <c r="E195" s="1126" t="s">
        <v>669</v>
      </c>
    </row>
    <row r="196" spans="1:5" x14ac:dyDescent="0.2">
      <c r="A196" s="1126" t="s">
        <v>778</v>
      </c>
      <c r="B196" s="1127">
        <v>310</v>
      </c>
      <c r="C196" s="1128">
        <v>0</v>
      </c>
      <c r="D196" s="1128">
        <v>98.73</v>
      </c>
      <c r="E196" s="1126"/>
    </row>
    <row r="197" spans="1:5" x14ac:dyDescent="0.2">
      <c r="A197" s="1126" t="s">
        <v>779</v>
      </c>
      <c r="B197" s="1127">
        <v>222</v>
      </c>
      <c r="C197" s="1128">
        <v>0</v>
      </c>
      <c r="D197" s="1128">
        <v>24.33</v>
      </c>
      <c r="E197" s="1126"/>
    </row>
    <row r="198" spans="1:5" x14ac:dyDescent="0.2">
      <c r="A198" s="1126" t="s">
        <v>780</v>
      </c>
      <c r="B198" s="1127">
        <v>254</v>
      </c>
      <c r="C198" s="1128">
        <v>0</v>
      </c>
      <c r="D198" s="1128">
        <v>94.35</v>
      </c>
      <c r="E198" s="1126"/>
    </row>
    <row r="199" spans="1:5" x14ac:dyDescent="0.2">
      <c r="A199" s="1126" t="s">
        <v>781</v>
      </c>
      <c r="B199" s="1127">
        <v>109</v>
      </c>
      <c r="C199" s="1128">
        <v>8.3000000000000007</v>
      </c>
      <c r="D199" s="1128">
        <v>83.22</v>
      </c>
      <c r="E199" s="1126"/>
    </row>
    <row r="200" spans="1:5" x14ac:dyDescent="0.2">
      <c r="A200" s="1126" t="s">
        <v>782</v>
      </c>
      <c r="B200" s="1127">
        <v>187</v>
      </c>
      <c r="C200" s="1128">
        <v>0</v>
      </c>
      <c r="D200" s="1128">
        <v>52.65</v>
      </c>
      <c r="E200" s="1126"/>
    </row>
    <row r="201" spans="1:5" x14ac:dyDescent="0.2">
      <c r="A201" s="1126" t="s">
        <v>783</v>
      </c>
      <c r="B201" s="1127">
        <v>58</v>
      </c>
      <c r="C201" s="1128">
        <v>26.09</v>
      </c>
      <c r="D201" s="1128">
        <v>65.959999999999994</v>
      </c>
      <c r="E201" s="1126"/>
    </row>
    <row r="202" spans="1:5" x14ac:dyDescent="0.2">
      <c r="A202" s="1126" t="s">
        <v>784</v>
      </c>
      <c r="B202" s="1127">
        <v>333</v>
      </c>
      <c r="C202" s="1128">
        <v>0</v>
      </c>
      <c r="D202" s="1128">
        <v>23.69</v>
      </c>
      <c r="E202" s="1126"/>
    </row>
    <row r="203" spans="1:5" x14ac:dyDescent="0.2">
      <c r="A203" s="1126" t="s">
        <v>785</v>
      </c>
      <c r="B203" s="1127">
        <v>231</v>
      </c>
      <c r="C203" s="1128">
        <v>0</v>
      </c>
      <c r="D203" s="1128">
        <v>110.88</v>
      </c>
      <c r="E203" s="1126"/>
    </row>
    <row r="204" spans="1:5" x14ac:dyDescent="0.2">
      <c r="A204" s="1126" t="s">
        <v>786</v>
      </c>
      <c r="B204" s="1127">
        <v>725</v>
      </c>
      <c r="C204" s="1128">
        <v>0</v>
      </c>
      <c r="D204" s="1128">
        <v>82.75</v>
      </c>
      <c r="E204" s="1126"/>
    </row>
    <row r="205" spans="1:5" x14ac:dyDescent="0.2">
      <c r="A205" s="1126" t="s">
        <v>787</v>
      </c>
      <c r="B205" s="1127">
        <v>149</v>
      </c>
      <c r="C205" s="1128">
        <v>0</v>
      </c>
      <c r="D205" s="1128">
        <v>88.93</v>
      </c>
      <c r="E205" s="1126"/>
    </row>
    <row r="206" spans="1:5" x14ac:dyDescent="0.2">
      <c r="A206" s="1126" t="s">
        <v>788</v>
      </c>
      <c r="B206" s="1127">
        <v>88</v>
      </c>
      <c r="C206" s="1128">
        <v>15.06</v>
      </c>
      <c r="D206" s="1128">
        <v>75.55</v>
      </c>
      <c r="E206" s="1126"/>
    </row>
    <row r="207" spans="1:5" x14ac:dyDescent="0.2">
      <c r="A207" s="1126" t="s">
        <v>789</v>
      </c>
      <c r="B207" s="1127">
        <v>49</v>
      </c>
      <c r="C207" s="1128">
        <v>15.11</v>
      </c>
      <c r="D207" s="1128">
        <v>48.79</v>
      </c>
      <c r="E207" s="1126"/>
    </row>
    <row r="208" spans="1:5" x14ac:dyDescent="0.2">
      <c r="A208" s="1126" t="s">
        <v>790</v>
      </c>
      <c r="B208" s="1127">
        <v>179</v>
      </c>
      <c r="C208" s="1128">
        <v>0</v>
      </c>
      <c r="D208" s="1128">
        <v>34.81</v>
      </c>
      <c r="E208" s="1126"/>
    </row>
    <row r="209" spans="1:5" x14ac:dyDescent="0.2">
      <c r="A209" s="1126" t="s">
        <v>791</v>
      </c>
      <c r="B209" s="1127">
        <v>125</v>
      </c>
      <c r="C209" s="1128">
        <v>0</v>
      </c>
      <c r="D209" s="1128">
        <v>38.56</v>
      </c>
      <c r="E209" s="1126"/>
    </row>
    <row r="210" spans="1:5" x14ac:dyDescent="0.2">
      <c r="A210" s="1126" t="s">
        <v>792</v>
      </c>
      <c r="B210" s="1127">
        <v>557</v>
      </c>
      <c r="C210" s="1128">
        <v>0</v>
      </c>
      <c r="D210" s="1128">
        <v>161.94999999999999</v>
      </c>
      <c r="E210" s="1126"/>
    </row>
    <row r="211" spans="1:5" x14ac:dyDescent="0.2">
      <c r="A211" s="1126" t="s">
        <v>793</v>
      </c>
      <c r="B211" s="1127">
        <v>226</v>
      </c>
      <c r="C211" s="1128">
        <v>165.57</v>
      </c>
      <c r="D211" s="1128">
        <v>320.91000000000003</v>
      </c>
      <c r="E211" s="1126"/>
    </row>
    <row r="212" spans="1:5" x14ac:dyDescent="0.2">
      <c r="A212" s="1126" t="s">
        <v>794</v>
      </c>
      <c r="B212" s="1127">
        <v>285</v>
      </c>
      <c r="C212" s="1128">
        <v>30.41</v>
      </c>
      <c r="D212" s="1128">
        <v>226.31</v>
      </c>
      <c r="E212" s="1126"/>
    </row>
    <row r="213" spans="1:5" x14ac:dyDescent="0.2">
      <c r="A213" s="1126" t="s">
        <v>795</v>
      </c>
      <c r="B213" s="1127">
        <v>115</v>
      </c>
      <c r="C213" s="1128">
        <v>312.75</v>
      </c>
      <c r="D213" s="1128">
        <v>391.79</v>
      </c>
      <c r="E213" s="1126"/>
    </row>
    <row r="214" spans="1:5" x14ac:dyDescent="0.2">
      <c r="A214" s="1126" t="s">
        <v>796</v>
      </c>
      <c r="B214" s="1127">
        <v>167</v>
      </c>
      <c r="C214" s="1128">
        <v>393.67</v>
      </c>
      <c r="D214" s="1128">
        <v>508.46</v>
      </c>
      <c r="E214" s="1126"/>
    </row>
    <row r="215" spans="1:5" x14ac:dyDescent="0.2">
      <c r="A215" s="1126" t="s">
        <v>797</v>
      </c>
      <c r="B215" s="1127">
        <v>127</v>
      </c>
      <c r="C215" s="1128">
        <v>0</v>
      </c>
      <c r="D215" s="1128">
        <v>59.37</v>
      </c>
      <c r="E215" s="1126"/>
    </row>
    <row r="216" spans="1:5" x14ac:dyDescent="0.2">
      <c r="A216" s="1126" t="s">
        <v>798</v>
      </c>
      <c r="B216" s="1127">
        <v>318</v>
      </c>
      <c r="C216" s="1128">
        <v>298.45999999999998</v>
      </c>
      <c r="D216" s="1128">
        <v>517.04999999999995</v>
      </c>
      <c r="E216" s="1126"/>
    </row>
    <row r="217" spans="1:5" x14ac:dyDescent="0.2">
      <c r="A217" s="1126" t="s">
        <v>799</v>
      </c>
      <c r="B217" s="1127">
        <v>361</v>
      </c>
      <c r="C217" s="1128">
        <v>0</v>
      </c>
      <c r="D217" s="1128">
        <v>76.42</v>
      </c>
      <c r="E217" s="1126"/>
    </row>
    <row r="218" spans="1:5" x14ac:dyDescent="0.2">
      <c r="A218" s="1126" t="s">
        <v>800</v>
      </c>
      <c r="B218" s="1127">
        <v>223</v>
      </c>
      <c r="C218" s="1128">
        <v>114.09</v>
      </c>
      <c r="D218" s="1128">
        <v>267.38</v>
      </c>
      <c r="E218" s="1126"/>
    </row>
    <row r="219" spans="1:5" x14ac:dyDescent="0.2">
      <c r="A219" s="1126" t="s">
        <v>801</v>
      </c>
      <c r="B219" s="1127">
        <v>356</v>
      </c>
      <c r="C219" s="1128">
        <v>0</v>
      </c>
      <c r="D219" s="1128">
        <v>145.52000000000001</v>
      </c>
      <c r="E219" s="1126"/>
    </row>
    <row r="220" spans="1:5" x14ac:dyDescent="0.2">
      <c r="A220" s="1126" t="s">
        <v>802</v>
      </c>
      <c r="B220" s="1127">
        <v>326</v>
      </c>
      <c r="C220" s="1128">
        <v>0</v>
      </c>
      <c r="D220" s="1128">
        <v>195.63</v>
      </c>
      <c r="E220" s="1126"/>
    </row>
    <row r="221" spans="1:5" x14ac:dyDescent="0.2">
      <c r="A221" s="1126" t="s">
        <v>803</v>
      </c>
      <c r="B221" s="1127">
        <v>273</v>
      </c>
      <c r="C221" s="1128">
        <v>0</v>
      </c>
      <c r="D221" s="1128">
        <v>28.61</v>
      </c>
      <c r="E221" s="1126"/>
    </row>
    <row r="222" spans="1:5" x14ac:dyDescent="0.2">
      <c r="A222" s="1126" t="s">
        <v>804</v>
      </c>
      <c r="B222" s="1127">
        <v>136</v>
      </c>
      <c r="C222" s="1128">
        <v>0</v>
      </c>
      <c r="D222" s="1128">
        <v>24.57</v>
      </c>
      <c r="E222" s="1126"/>
    </row>
    <row r="223" spans="1:5" x14ac:dyDescent="0.2">
      <c r="A223" s="1126" t="s">
        <v>805</v>
      </c>
      <c r="B223" s="1127">
        <v>89</v>
      </c>
      <c r="C223" s="1128">
        <v>0</v>
      </c>
      <c r="D223" s="1128">
        <v>14.42</v>
      </c>
      <c r="E223" s="1126"/>
    </row>
    <row r="224" spans="1:5" x14ac:dyDescent="0.2">
      <c r="A224" s="1126" t="s">
        <v>806</v>
      </c>
      <c r="B224" s="1127">
        <v>74</v>
      </c>
      <c r="C224" s="1128">
        <v>0</v>
      </c>
      <c r="D224" s="1128">
        <v>17.89</v>
      </c>
      <c r="E224" s="1126"/>
    </row>
    <row r="225" spans="1:5" x14ac:dyDescent="0.2">
      <c r="A225" s="1126" t="s">
        <v>807</v>
      </c>
      <c r="B225" s="1127">
        <v>223</v>
      </c>
      <c r="C225" s="1128">
        <v>0</v>
      </c>
      <c r="D225" s="1128">
        <v>115.44</v>
      </c>
      <c r="E225" s="1126"/>
    </row>
    <row r="226" spans="1:5" x14ac:dyDescent="0.2">
      <c r="A226" s="1126" t="s">
        <v>808</v>
      </c>
      <c r="B226" s="1127">
        <v>50</v>
      </c>
      <c r="C226" s="1128">
        <v>0</v>
      </c>
      <c r="D226" s="1128">
        <v>21.33</v>
      </c>
      <c r="E226" s="1126"/>
    </row>
    <row r="227" spans="1:5" x14ac:dyDescent="0.2">
      <c r="A227" s="1126" t="s">
        <v>809</v>
      </c>
      <c r="B227" s="1127">
        <v>178</v>
      </c>
      <c r="C227" s="1128">
        <v>0</v>
      </c>
      <c r="D227" s="1128">
        <v>25.16</v>
      </c>
      <c r="E227" s="1126"/>
    </row>
    <row r="228" spans="1:5" x14ac:dyDescent="0.2">
      <c r="A228" s="1126" t="s">
        <v>810</v>
      </c>
      <c r="B228" s="1127">
        <v>288</v>
      </c>
      <c r="C228" s="1128">
        <v>94.47</v>
      </c>
      <c r="D228" s="1128">
        <v>292.43</v>
      </c>
      <c r="E228" s="1126"/>
    </row>
    <row r="229" spans="1:5" x14ac:dyDescent="0.2">
      <c r="A229" s="1126" t="s">
        <v>811</v>
      </c>
      <c r="B229" s="1127">
        <v>226</v>
      </c>
      <c r="C229" s="1128">
        <v>0</v>
      </c>
      <c r="D229" s="1128">
        <v>0</v>
      </c>
      <c r="E229" s="1126"/>
    </row>
    <row r="230" spans="1:5" x14ac:dyDescent="0.2">
      <c r="A230" s="1126" t="s">
        <v>812</v>
      </c>
      <c r="B230" s="1127">
        <v>175</v>
      </c>
      <c r="C230" s="1128">
        <v>27.91</v>
      </c>
      <c r="D230" s="1128">
        <v>148.19999999999999</v>
      </c>
      <c r="E230" s="1126"/>
    </row>
    <row r="231" spans="1:5" x14ac:dyDescent="0.2">
      <c r="A231" s="1126" t="s">
        <v>813</v>
      </c>
      <c r="B231" s="1127">
        <v>136</v>
      </c>
      <c r="C231" s="1128">
        <v>0</v>
      </c>
      <c r="D231" s="1128">
        <v>35.08</v>
      </c>
      <c r="E231" s="1126"/>
    </row>
    <row r="232" spans="1:5" x14ac:dyDescent="0.2">
      <c r="A232" s="1126" t="s">
        <v>814</v>
      </c>
      <c r="B232" s="1127">
        <v>189</v>
      </c>
      <c r="C232" s="1128">
        <v>0</v>
      </c>
      <c r="D232" s="1128">
        <v>90.46</v>
      </c>
      <c r="E232" s="1126"/>
    </row>
    <row r="233" spans="1:5" x14ac:dyDescent="0.2">
      <c r="A233" s="1126" t="s">
        <v>815</v>
      </c>
      <c r="B233" s="1127">
        <v>507</v>
      </c>
      <c r="C233" s="1128">
        <v>0</v>
      </c>
      <c r="D233" s="1128">
        <v>165.23</v>
      </c>
      <c r="E233" s="1126"/>
    </row>
    <row r="234" spans="1:5" x14ac:dyDescent="0.2">
      <c r="A234" s="1126" t="s">
        <v>816</v>
      </c>
      <c r="B234" s="1127">
        <v>306</v>
      </c>
      <c r="C234" s="1128">
        <v>0</v>
      </c>
      <c r="D234" s="1128">
        <v>210.06</v>
      </c>
      <c r="E234" s="1126"/>
    </row>
    <row r="235" spans="1:5" x14ac:dyDescent="0.2">
      <c r="A235" s="1126" t="s">
        <v>817</v>
      </c>
      <c r="B235" s="1127">
        <v>83</v>
      </c>
      <c r="C235" s="1128">
        <v>16.14</v>
      </c>
      <c r="D235" s="1128">
        <v>73.2</v>
      </c>
      <c r="E235" s="1126"/>
    </row>
    <row r="236" spans="1:5" x14ac:dyDescent="0.2">
      <c r="A236" s="1126" t="s">
        <v>818</v>
      </c>
      <c r="B236" s="1127">
        <v>72</v>
      </c>
      <c r="C236" s="1128">
        <v>0</v>
      </c>
      <c r="D236" s="1128">
        <v>9.42</v>
      </c>
      <c r="E236" s="1126"/>
    </row>
    <row r="237" spans="1:5" x14ac:dyDescent="0.2">
      <c r="A237" s="1126" t="s">
        <v>819</v>
      </c>
      <c r="B237" s="1127">
        <v>226</v>
      </c>
      <c r="C237" s="1128">
        <v>0</v>
      </c>
      <c r="D237" s="1128">
        <v>88.05</v>
      </c>
      <c r="E237" s="1126"/>
    </row>
    <row r="238" spans="1:5" x14ac:dyDescent="0.2">
      <c r="A238" s="1126" t="s">
        <v>820</v>
      </c>
      <c r="B238" s="1127">
        <v>80</v>
      </c>
      <c r="C238" s="1128">
        <v>0</v>
      </c>
      <c r="D238" s="1128">
        <v>12.99</v>
      </c>
      <c r="E238" s="1126"/>
    </row>
    <row r="239" spans="1:5" x14ac:dyDescent="0.2">
      <c r="A239" s="1126" t="s">
        <v>821</v>
      </c>
      <c r="B239" s="1127">
        <v>204</v>
      </c>
      <c r="C239" s="1128">
        <v>0</v>
      </c>
      <c r="D239" s="1128">
        <v>106.88</v>
      </c>
      <c r="E239" s="1126"/>
    </row>
    <row r="240" spans="1:5" x14ac:dyDescent="0.2">
      <c r="A240" s="1126" t="s">
        <v>822</v>
      </c>
      <c r="B240" s="1127">
        <v>167</v>
      </c>
      <c r="C240" s="1128">
        <v>0</v>
      </c>
      <c r="D240" s="1128">
        <v>41.26</v>
      </c>
      <c r="E240" s="1126"/>
    </row>
    <row r="241" spans="1:5" x14ac:dyDescent="0.2">
      <c r="A241" s="1126" t="s">
        <v>823</v>
      </c>
      <c r="B241" s="1127">
        <v>65</v>
      </c>
      <c r="C241" s="1128">
        <v>0</v>
      </c>
      <c r="D241" s="1128">
        <v>19.78</v>
      </c>
      <c r="E241" s="1126"/>
    </row>
    <row r="242" spans="1:5" x14ac:dyDescent="0.2">
      <c r="A242" s="1126" t="s">
        <v>824</v>
      </c>
      <c r="B242" s="1127">
        <v>117</v>
      </c>
      <c r="C242" s="1128">
        <v>0</v>
      </c>
      <c r="D242" s="1128">
        <v>55.89</v>
      </c>
      <c r="E242" s="1126"/>
    </row>
    <row r="243" spans="1:5" x14ac:dyDescent="0.2">
      <c r="A243" s="1126" t="s">
        <v>825</v>
      </c>
      <c r="B243" s="1127">
        <v>140</v>
      </c>
      <c r="C243" s="1128">
        <v>0</v>
      </c>
      <c r="D243" s="1128">
        <v>27.41</v>
      </c>
      <c r="E243" s="1126"/>
    </row>
    <row r="244" spans="1:5" x14ac:dyDescent="0.2">
      <c r="A244" s="1126" t="s">
        <v>826</v>
      </c>
      <c r="B244" s="1127">
        <v>150</v>
      </c>
      <c r="C244" s="1128">
        <v>10.85</v>
      </c>
      <c r="D244" s="1128">
        <v>113.95</v>
      </c>
      <c r="E244" s="1126"/>
    </row>
    <row r="245" spans="1:5" x14ac:dyDescent="0.2">
      <c r="A245" s="1126" t="s">
        <v>827</v>
      </c>
      <c r="B245" s="1127">
        <v>88</v>
      </c>
      <c r="C245" s="1128">
        <v>0</v>
      </c>
      <c r="D245" s="1128">
        <v>19.03</v>
      </c>
      <c r="E245" s="1126"/>
    </row>
    <row r="246" spans="1:5" x14ac:dyDescent="0.2">
      <c r="A246" s="1126" t="s">
        <v>828</v>
      </c>
      <c r="B246" s="1127">
        <v>219</v>
      </c>
      <c r="C246" s="1128">
        <v>274.55</v>
      </c>
      <c r="D246" s="1128">
        <v>425.08</v>
      </c>
      <c r="E246" s="1126"/>
    </row>
    <row r="247" spans="1:5" x14ac:dyDescent="0.2">
      <c r="A247" s="1126" t="s">
        <v>829</v>
      </c>
      <c r="B247" s="1127">
        <v>410</v>
      </c>
      <c r="C247" s="1128">
        <v>0</v>
      </c>
      <c r="D247" s="1128">
        <v>53.46</v>
      </c>
      <c r="E247" s="1126"/>
    </row>
    <row r="248" spans="1:5" x14ac:dyDescent="0.2">
      <c r="A248" s="1126" t="s">
        <v>830</v>
      </c>
      <c r="B248" s="1127">
        <v>255</v>
      </c>
      <c r="C248" s="1128">
        <v>154.38</v>
      </c>
      <c r="D248" s="1128">
        <v>329.66</v>
      </c>
      <c r="E248" s="1126"/>
    </row>
    <row r="249" spans="1:5" x14ac:dyDescent="0.2">
      <c r="A249" s="1126" t="s">
        <v>831</v>
      </c>
      <c r="B249" s="1127">
        <v>141</v>
      </c>
      <c r="C249" s="1128">
        <v>0</v>
      </c>
      <c r="D249" s="1128">
        <v>64.099999999999994</v>
      </c>
      <c r="E249" s="1126"/>
    </row>
    <row r="250" spans="1:5" x14ac:dyDescent="0.2">
      <c r="A250" s="1126" t="s">
        <v>832</v>
      </c>
      <c r="B250" s="1127">
        <v>141</v>
      </c>
      <c r="C250" s="1128">
        <v>88.85</v>
      </c>
      <c r="D250" s="1128">
        <v>185.77</v>
      </c>
      <c r="E250" s="1126"/>
    </row>
    <row r="251" spans="1:5" x14ac:dyDescent="0.2">
      <c r="A251" s="1126" t="s">
        <v>833</v>
      </c>
      <c r="B251" s="1127">
        <v>484</v>
      </c>
      <c r="C251" s="1128">
        <v>0</v>
      </c>
      <c r="D251" s="1128">
        <v>233.44</v>
      </c>
      <c r="E251" s="1126"/>
    </row>
    <row r="252" spans="1:5" x14ac:dyDescent="0.2">
      <c r="A252" s="1126" t="s">
        <v>834</v>
      </c>
      <c r="B252" s="1127">
        <v>244</v>
      </c>
      <c r="C252" s="1128">
        <v>0</v>
      </c>
      <c r="D252" s="1128">
        <v>39.35</v>
      </c>
      <c r="E252" s="1126"/>
    </row>
    <row r="253" spans="1:5" x14ac:dyDescent="0.2">
      <c r="A253" s="1126" t="s">
        <v>835</v>
      </c>
      <c r="B253" s="1127">
        <v>123</v>
      </c>
      <c r="C253" s="1128">
        <v>0</v>
      </c>
      <c r="D253" s="1128">
        <v>25.26</v>
      </c>
      <c r="E253" s="1126"/>
    </row>
    <row r="254" spans="1:5" x14ac:dyDescent="0.2">
      <c r="A254" s="1126" t="s">
        <v>836</v>
      </c>
      <c r="B254" s="1127">
        <v>96</v>
      </c>
      <c r="C254" s="1128">
        <v>0</v>
      </c>
      <c r="D254" s="1128">
        <v>14.12</v>
      </c>
      <c r="E254" s="1126"/>
    </row>
    <row r="255" spans="1:5" x14ac:dyDescent="0.2">
      <c r="A255" s="1126" t="s">
        <v>837</v>
      </c>
      <c r="B255" s="1127">
        <v>110</v>
      </c>
      <c r="C255" s="1128">
        <v>0</v>
      </c>
      <c r="D255" s="1128">
        <v>27.96</v>
      </c>
      <c r="E255" s="1126"/>
    </row>
    <row r="256" spans="1:5" x14ac:dyDescent="0.2">
      <c r="A256" s="1126" t="s">
        <v>838</v>
      </c>
      <c r="B256" s="1127">
        <v>135</v>
      </c>
      <c r="C256" s="1128">
        <v>0</v>
      </c>
      <c r="D256" s="1128">
        <v>14.14</v>
      </c>
      <c r="E256" s="1126"/>
    </row>
    <row r="257" spans="1:5" x14ac:dyDescent="0.2">
      <c r="A257" s="1126" t="s">
        <v>839</v>
      </c>
      <c r="B257" s="1127">
        <v>116</v>
      </c>
      <c r="C257" s="1128">
        <v>0</v>
      </c>
      <c r="D257" s="1128">
        <v>30.68</v>
      </c>
      <c r="E257" s="1126"/>
    </row>
    <row r="258" spans="1:5" x14ac:dyDescent="0.2">
      <c r="A258" s="1126" t="s">
        <v>840</v>
      </c>
      <c r="B258" s="1127">
        <v>193</v>
      </c>
      <c r="C258" s="1128">
        <v>0</v>
      </c>
      <c r="D258" s="1128">
        <v>46.55</v>
      </c>
      <c r="E258" s="1126"/>
    </row>
    <row r="259" spans="1:5" x14ac:dyDescent="0.2">
      <c r="A259" s="1126" t="s">
        <v>841</v>
      </c>
      <c r="B259" s="1127">
        <v>341</v>
      </c>
      <c r="C259" s="1128">
        <v>0</v>
      </c>
      <c r="D259" s="1128">
        <v>174.45</v>
      </c>
      <c r="E259" s="1126"/>
    </row>
    <row r="260" spans="1:5" x14ac:dyDescent="0.2">
      <c r="A260" s="1126" t="s">
        <v>842</v>
      </c>
      <c r="B260" s="1127">
        <v>289</v>
      </c>
      <c r="C260" s="1128">
        <v>57.2</v>
      </c>
      <c r="D260" s="1128">
        <v>255.85</v>
      </c>
      <c r="E260" s="1126"/>
    </row>
    <row r="261" spans="1:5" x14ac:dyDescent="0.2">
      <c r="A261" s="1126" t="s">
        <v>843</v>
      </c>
      <c r="B261" s="1127">
        <v>150</v>
      </c>
      <c r="C261" s="1128">
        <v>0</v>
      </c>
      <c r="D261" s="1128">
        <v>92.94</v>
      </c>
      <c r="E261" s="1126"/>
    </row>
    <row r="262" spans="1:5" x14ac:dyDescent="0.2">
      <c r="A262" s="1126" t="s">
        <v>844</v>
      </c>
      <c r="B262" s="1127">
        <v>78</v>
      </c>
      <c r="C262" s="1128">
        <v>0</v>
      </c>
      <c r="D262" s="1128">
        <v>17.239999999999998</v>
      </c>
      <c r="E262" s="1126"/>
    </row>
    <row r="263" spans="1:5" x14ac:dyDescent="0.2">
      <c r="A263" s="1126" t="s">
        <v>845</v>
      </c>
      <c r="B263" s="1127">
        <v>78</v>
      </c>
      <c r="C263" s="1128">
        <v>18.89</v>
      </c>
      <c r="D263" s="1128">
        <v>72.510000000000005</v>
      </c>
      <c r="E263" s="1126"/>
    </row>
    <row r="264" spans="1:5" x14ac:dyDescent="0.2">
      <c r="A264" s="1126" t="s">
        <v>846</v>
      </c>
      <c r="B264" s="1127">
        <v>319</v>
      </c>
      <c r="C264" s="1128">
        <v>0</v>
      </c>
      <c r="D264" s="1128">
        <v>85.47</v>
      </c>
      <c r="E264" s="1126"/>
    </row>
    <row r="265" spans="1:5" x14ac:dyDescent="0.2">
      <c r="A265" s="1126" t="s">
        <v>847</v>
      </c>
      <c r="B265" s="1127">
        <v>200</v>
      </c>
      <c r="C265" s="1128">
        <v>0</v>
      </c>
      <c r="D265" s="1128">
        <v>82.65</v>
      </c>
      <c r="E265" s="1126"/>
    </row>
    <row r="266" spans="1:5" x14ac:dyDescent="0.2">
      <c r="A266" s="1126" t="s">
        <v>848</v>
      </c>
      <c r="B266" s="1127">
        <v>80</v>
      </c>
      <c r="C266" s="1128">
        <v>2.42</v>
      </c>
      <c r="D266" s="1128">
        <v>57.41</v>
      </c>
      <c r="E266" s="1126"/>
    </row>
    <row r="267" spans="1:5" x14ac:dyDescent="0.2">
      <c r="A267" s="1126" t="s">
        <v>849</v>
      </c>
      <c r="B267" s="1127">
        <v>110</v>
      </c>
      <c r="C267" s="1128">
        <v>13.06</v>
      </c>
      <c r="D267" s="1128">
        <v>88.67</v>
      </c>
      <c r="E267" s="1126"/>
    </row>
    <row r="268" spans="1:5" x14ac:dyDescent="0.2">
      <c r="A268" s="1126" t="s">
        <v>850</v>
      </c>
      <c r="B268" s="1127">
        <v>65</v>
      </c>
      <c r="C268" s="1128">
        <v>0.54</v>
      </c>
      <c r="D268" s="1128">
        <v>45.22</v>
      </c>
      <c r="E268" s="1126"/>
    </row>
    <row r="269" spans="1:5" x14ac:dyDescent="0.2">
      <c r="A269" s="1126" t="s">
        <v>851</v>
      </c>
      <c r="B269" s="1127">
        <v>242</v>
      </c>
      <c r="C269" s="1128">
        <v>98.78</v>
      </c>
      <c r="D269" s="1128">
        <v>265.12</v>
      </c>
      <c r="E269" s="1126"/>
    </row>
    <row r="270" spans="1:5" x14ac:dyDescent="0.2">
      <c r="A270" s="1126" t="s">
        <v>852</v>
      </c>
      <c r="B270" s="1127">
        <v>195</v>
      </c>
      <c r="C270" s="1128">
        <v>0</v>
      </c>
      <c r="D270" s="1128">
        <v>97.7</v>
      </c>
      <c r="E270" s="1126"/>
    </row>
    <row r="271" spans="1:5" x14ac:dyDescent="0.2">
      <c r="A271" s="1126" t="s">
        <v>853</v>
      </c>
      <c r="B271" s="1127">
        <v>259</v>
      </c>
      <c r="C271" s="1128">
        <v>0</v>
      </c>
      <c r="D271" s="1128">
        <v>154.41999999999999</v>
      </c>
      <c r="E271" s="1126"/>
    </row>
    <row r="272" spans="1:5" x14ac:dyDescent="0.2">
      <c r="A272" s="1126" t="s">
        <v>854</v>
      </c>
      <c r="B272" s="1127">
        <v>152</v>
      </c>
      <c r="C272" s="1128">
        <v>0</v>
      </c>
      <c r="D272" s="1128">
        <v>78.62</v>
      </c>
      <c r="E272" s="1126"/>
    </row>
    <row r="273" spans="1:5" x14ac:dyDescent="0.2">
      <c r="A273" s="1126" t="s">
        <v>855</v>
      </c>
      <c r="B273" s="1127">
        <v>85</v>
      </c>
      <c r="C273" s="1128">
        <v>0</v>
      </c>
      <c r="D273" s="1128">
        <v>33.590000000000003</v>
      </c>
      <c r="E273" s="1126"/>
    </row>
    <row r="274" spans="1:5" x14ac:dyDescent="0.2">
      <c r="A274" s="1126" t="s">
        <v>856</v>
      </c>
      <c r="B274" s="1127">
        <v>134</v>
      </c>
      <c r="C274" s="1128">
        <v>70.3</v>
      </c>
      <c r="D274" s="1128">
        <v>162.4</v>
      </c>
      <c r="E274" s="1126"/>
    </row>
    <row r="275" spans="1:5" x14ac:dyDescent="0.2">
      <c r="A275" s="1126" t="s">
        <v>857</v>
      </c>
      <c r="B275" s="1127">
        <v>30</v>
      </c>
      <c r="C275" s="1128">
        <v>18.54</v>
      </c>
      <c r="D275" s="1128">
        <v>39.159999999999997</v>
      </c>
      <c r="E275" s="1126" t="s">
        <v>669</v>
      </c>
    </row>
    <row r="276" spans="1:5" x14ac:dyDescent="0.2">
      <c r="A276" s="1126" t="s">
        <v>858</v>
      </c>
      <c r="B276" s="1127">
        <v>84</v>
      </c>
      <c r="C276" s="1128">
        <v>53.65</v>
      </c>
      <c r="D276" s="1128">
        <v>111.39</v>
      </c>
      <c r="E276" s="1126"/>
    </row>
    <row r="277" spans="1:5" x14ac:dyDescent="0.2">
      <c r="A277" s="1126" t="s">
        <v>859</v>
      </c>
      <c r="B277" s="1127">
        <v>215</v>
      </c>
      <c r="C277" s="1128">
        <v>0</v>
      </c>
      <c r="D277" s="1128">
        <v>34.57</v>
      </c>
      <c r="E277" s="1126"/>
    </row>
    <row r="278" spans="1:5" x14ac:dyDescent="0.2">
      <c r="A278" s="1126" t="s">
        <v>860</v>
      </c>
      <c r="B278" s="1127">
        <v>172</v>
      </c>
      <c r="C278" s="1128">
        <v>187.42</v>
      </c>
      <c r="D278" s="1128">
        <v>305.64999999999998</v>
      </c>
      <c r="E278" s="1126"/>
    </row>
    <row r="279" spans="1:5" x14ac:dyDescent="0.2">
      <c r="A279" s="1126" t="s">
        <v>861</v>
      </c>
      <c r="B279" s="1127">
        <v>92</v>
      </c>
      <c r="C279" s="1128">
        <v>20.309999999999999</v>
      </c>
      <c r="D279" s="1128">
        <v>83.55</v>
      </c>
      <c r="E279" s="1126"/>
    </row>
    <row r="280" spans="1:5" x14ac:dyDescent="0.2">
      <c r="A280" s="1126" t="s">
        <v>862</v>
      </c>
      <c r="B280" s="1127">
        <v>129</v>
      </c>
      <c r="C280" s="1128">
        <v>0</v>
      </c>
      <c r="D280" s="1128">
        <v>14.38</v>
      </c>
      <c r="E280" s="1126"/>
    </row>
    <row r="281" spans="1:5" x14ac:dyDescent="0.2">
      <c r="A281" s="1126" t="s">
        <v>863</v>
      </c>
      <c r="B281" s="1127">
        <v>205</v>
      </c>
      <c r="C281" s="1128">
        <v>0</v>
      </c>
      <c r="D281" s="1128">
        <v>0</v>
      </c>
      <c r="E281" s="1126"/>
    </row>
    <row r="282" spans="1:5" x14ac:dyDescent="0.2">
      <c r="A282" s="1126" t="s">
        <v>864</v>
      </c>
      <c r="B282" s="1127">
        <v>146</v>
      </c>
      <c r="C282" s="1128">
        <v>0</v>
      </c>
      <c r="D282" s="1128">
        <v>65.099999999999994</v>
      </c>
      <c r="E282" s="1126"/>
    </row>
    <row r="283" spans="1:5" x14ac:dyDescent="0.2">
      <c r="A283" s="1126" t="s">
        <v>865</v>
      </c>
      <c r="B283" s="1127">
        <v>229</v>
      </c>
      <c r="C283" s="1128">
        <v>71.819999999999993</v>
      </c>
      <c r="D283" s="1128">
        <v>229.23</v>
      </c>
      <c r="E283" s="1126"/>
    </row>
    <row r="284" spans="1:5" x14ac:dyDescent="0.2">
      <c r="A284" s="1126" t="s">
        <v>866</v>
      </c>
      <c r="B284" s="1127">
        <v>259</v>
      </c>
      <c r="C284" s="1128">
        <v>0</v>
      </c>
      <c r="D284" s="1128">
        <v>141.27000000000001</v>
      </c>
      <c r="E284" s="1126"/>
    </row>
    <row r="285" spans="1:5" x14ac:dyDescent="0.2">
      <c r="A285" s="1126" t="s">
        <v>867</v>
      </c>
      <c r="B285" s="1127">
        <v>203</v>
      </c>
      <c r="C285" s="1128">
        <v>0</v>
      </c>
      <c r="D285" s="1128">
        <v>75.260000000000005</v>
      </c>
      <c r="E285" s="1126"/>
    </row>
    <row r="286" spans="1:5" x14ac:dyDescent="0.2">
      <c r="A286" s="1126" t="s">
        <v>868</v>
      </c>
      <c r="B286" s="1127">
        <v>171</v>
      </c>
      <c r="C286" s="1128">
        <v>0</v>
      </c>
      <c r="D286" s="1128">
        <v>59.23</v>
      </c>
      <c r="E286" s="1126"/>
    </row>
    <row r="287" spans="1:5" x14ac:dyDescent="0.2">
      <c r="A287" s="1126" t="s">
        <v>869</v>
      </c>
      <c r="B287" s="1127">
        <v>195</v>
      </c>
      <c r="C287" s="1128">
        <v>0</v>
      </c>
      <c r="D287" s="1128">
        <v>39.72</v>
      </c>
      <c r="E287" s="1126"/>
    </row>
    <row r="288" spans="1:5" x14ac:dyDescent="0.2">
      <c r="A288" s="1126" t="s">
        <v>870</v>
      </c>
      <c r="B288" s="1127">
        <v>125</v>
      </c>
      <c r="C288" s="1128">
        <v>0</v>
      </c>
      <c r="D288" s="1128">
        <v>23.54</v>
      </c>
      <c r="E288" s="1126"/>
    </row>
    <row r="289" spans="1:5" x14ac:dyDescent="0.2">
      <c r="A289" s="1126" t="s">
        <v>871</v>
      </c>
      <c r="B289" s="1127">
        <v>260</v>
      </c>
      <c r="C289" s="1128">
        <v>0</v>
      </c>
      <c r="D289" s="1128">
        <v>76.17</v>
      </c>
      <c r="E289" s="1126"/>
    </row>
    <row r="290" spans="1:5" x14ac:dyDescent="0.2">
      <c r="A290" s="1126" t="s">
        <v>872</v>
      </c>
      <c r="B290" s="1127">
        <v>233</v>
      </c>
      <c r="C290" s="1128">
        <v>11.76</v>
      </c>
      <c r="D290" s="1128">
        <v>171.92</v>
      </c>
      <c r="E290" s="1126"/>
    </row>
    <row r="291" spans="1:5" x14ac:dyDescent="0.2">
      <c r="A291" s="1126" t="s">
        <v>873</v>
      </c>
      <c r="B291" s="1127">
        <v>246</v>
      </c>
      <c r="C291" s="1128">
        <v>0</v>
      </c>
      <c r="D291" s="1128">
        <v>72.13</v>
      </c>
      <c r="E291" s="1126"/>
    </row>
    <row r="292" spans="1:5" x14ac:dyDescent="0.2">
      <c r="A292" s="1126" t="s">
        <v>874</v>
      </c>
      <c r="B292" s="1127">
        <v>706</v>
      </c>
      <c r="C292" s="1128">
        <v>0</v>
      </c>
      <c r="D292" s="1128">
        <v>477.35</v>
      </c>
      <c r="E292" s="1126"/>
    </row>
    <row r="293" spans="1:5" x14ac:dyDescent="0.2">
      <c r="A293" s="1126" t="s">
        <v>875</v>
      </c>
      <c r="B293" s="1127">
        <v>161</v>
      </c>
      <c r="C293" s="1128">
        <v>0</v>
      </c>
      <c r="D293" s="1128">
        <v>94.65</v>
      </c>
      <c r="E293" s="1126"/>
    </row>
    <row r="294" spans="1:5" x14ac:dyDescent="0.2">
      <c r="A294" s="1126" t="s">
        <v>876</v>
      </c>
      <c r="B294" s="1127">
        <v>114</v>
      </c>
      <c r="C294" s="1128">
        <v>5.78</v>
      </c>
      <c r="D294" s="1128">
        <v>84.14</v>
      </c>
      <c r="E294" s="1126"/>
    </row>
    <row r="295" spans="1:5" x14ac:dyDescent="0.2">
      <c r="A295" s="1126" t="s">
        <v>877</v>
      </c>
      <c r="B295" s="1127">
        <v>179</v>
      </c>
      <c r="C295" s="1128">
        <v>0</v>
      </c>
      <c r="D295" s="1128">
        <v>22.91</v>
      </c>
      <c r="E295" s="1126"/>
    </row>
    <row r="296" spans="1:5" x14ac:dyDescent="0.2">
      <c r="A296" s="1126" t="s">
        <v>878</v>
      </c>
      <c r="B296" s="1127">
        <v>274</v>
      </c>
      <c r="C296" s="1128">
        <v>214.6</v>
      </c>
      <c r="D296" s="1128">
        <v>402.94</v>
      </c>
      <c r="E296" s="1126"/>
    </row>
    <row r="297" spans="1:5" x14ac:dyDescent="0.2">
      <c r="A297" s="1126" t="s">
        <v>879</v>
      </c>
      <c r="B297" s="1127">
        <v>207</v>
      </c>
      <c r="C297" s="1128">
        <v>0</v>
      </c>
      <c r="D297" s="1128">
        <v>20.059999999999999</v>
      </c>
      <c r="E297" s="1126"/>
    </row>
    <row r="298" spans="1:5" x14ac:dyDescent="0.2">
      <c r="A298" s="1126" t="s">
        <v>880</v>
      </c>
      <c r="B298" s="1127">
        <v>273</v>
      </c>
      <c r="C298" s="1128">
        <v>0</v>
      </c>
      <c r="D298" s="1128">
        <v>44.66</v>
      </c>
      <c r="E298" s="1126"/>
    </row>
    <row r="299" spans="1:5" x14ac:dyDescent="0.2">
      <c r="A299" s="1126" t="s">
        <v>881</v>
      </c>
      <c r="B299" s="1127">
        <v>109</v>
      </c>
      <c r="C299" s="1128">
        <v>28.18</v>
      </c>
      <c r="D299" s="1128">
        <v>103.11</v>
      </c>
      <c r="E299" s="1126"/>
    </row>
    <row r="300" spans="1:5" x14ac:dyDescent="0.2">
      <c r="A300" s="1126" t="s">
        <v>882</v>
      </c>
      <c r="B300" s="1127">
        <v>153</v>
      </c>
      <c r="C300" s="1128">
        <v>0</v>
      </c>
      <c r="D300" s="1128">
        <v>42.88</v>
      </c>
      <c r="E300" s="1126"/>
    </row>
    <row r="301" spans="1:5" x14ac:dyDescent="0.2">
      <c r="A301" s="1126" t="s">
        <v>883</v>
      </c>
      <c r="B301" s="1127">
        <v>491</v>
      </c>
      <c r="C301" s="1128">
        <v>0</v>
      </c>
      <c r="D301" s="1128">
        <v>88.7</v>
      </c>
      <c r="E301" s="1126"/>
    </row>
    <row r="302" spans="1:5" x14ac:dyDescent="0.2">
      <c r="A302" s="1126" t="s">
        <v>884</v>
      </c>
      <c r="B302" s="1127">
        <v>289</v>
      </c>
      <c r="C302" s="1128">
        <v>0</v>
      </c>
      <c r="D302" s="1128">
        <v>179.66</v>
      </c>
      <c r="E302" s="1126"/>
    </row>
    <row r="303" spans="1:5" x14ac:dyDescent="0.2">
      <c r="A303" s="1126" t="s">
        <v>885</v>
      </c>
      <c r="B303" s="1127">
        <v>123</v>
      </c>
      <c r="C303" s="1128">
        <v>81.010000000000005</v>
      </c>
      <c r="D303" s="1128">
        <v>165.56</v>
      </c>
      <c r="E303" s="1126"/>
    </row>
    <row r="304" spans="1:5" x14ac:dyDescent="0.2">
      <c r="A304" s="1126" t="s">
        <v>886</v>
      </c>
      <c r="B304" s="1127">
        <v>240</v>
      </c>
      <c r="C304" s="1128">
        <v>0</v>
      </c>
      <c r="D304" s="1128">
        <v>140.61000000000001</v>
      </c>
      <c r="E304" s="1126"/>
    </row>
    <row r="305" spans="1:5" x14ac:dyDescent="0.2">
      <c r="A305" s="1126" t="s">
        <v>887</v>
      </c>
      <c r="B305" s="1127">
        <v>163</v>
      </c>
      <c r="C305" s="1128">
        <v>0</v>
      </c>
      <c r="D305" s="1128">
        <v>110.21</v>
      </c>
      <c r="E305" s="1126"/>
    </row>
    <row r="306" spans="1:5" x14ac:dyDescent="0.2">
      <c r="A306" s="1126" t="s">
        <v>888</v>
      </c>
      <c r="B306" s="1127">
        <v>50</v>
      </c>
      <c r="C306" s="1128">
        <v>0</v>
      </c>
      <c r="D306" s="1128">
        <v>28.99</v>
      </c>
      <c r="E306" s="1126"/>
    </row>
    <row r="307" spans="1:5" x14ac:dyDescent="0.2">
      <c r="A307" s="1126" t="s">
        <v>889</v>
      </c>
      <c r="B307" s="1127">
        <v>159</v>
      </c>
      <c r="C307" s="1128">
        <v>14.15</v>
      </c>
      <c r="D307" s="1128">
        <v>123.44</v>
      </c>
      <c r="E307" s="1126"/>
    </row>
    <row r="308" spans="1:5" x14ac:dyDescent="0.2">
      <c r="A308" s="1126" t="s">
        <v>890</v>
      </c>
      <c r="B308" s="1127">
        <v>155</v>
      </c>
      <c r="C308" s="1128">
        <v>24.94</v>
      </c>
      <c r="D308" s="1128">
        <v>131.47999999999999</v>
      </c>
      <c r="E308" s="1126"/>
    </row>
    <row r="309" spans="1:5" x14ac:dyDescent="0.2">
      <c r="A309" s="1126" t="s">
        <v>891</v>
      </c>
      <c r="B309" s="1127">
        <v>103</v>
      </c>
      <c r="C309" s="1128">
        <v>4.7300000000000004</v>
      </c>
      <c r="D309" s="1128">
        <v>75.53</v>
      </c>
      <c r="E309" s="1126"/>
    </row>
    <row r="310" spans="1:5" x14ac:dyDescent="0.2">
      <c r="A310" s="1126" t="s">
        <v>892</v>
      </c>
      <c r="B310" s="1127">
        <v>345</v>
      </c>
      <c r="C310" s="1128">
        <v>0</v>
      </c>
      <c r="D310" s="1128">
        <v>44.63</v>
      </c>
      <c r="E310" s="1126"/>
    </row>
    <row r="311" spans="1:5" x14ac:dyDescent="0.2">
      <c r="A311" s="1126" t="s">
        <v>893</v>
      </c>
      <c r="B311" s="1127">
        <v>145</v>
      </c>
      <c r="C311" s="1128">
        <v>0</v>
      </c>
      <c r="D311" s="1128">
        <v>76.540000000000006</v>
      </c>
      <c r="E311" s="1126"/>
    </row>
    <row r="312" spans="1:5" x14ac:dyDescent="0.2">
      <c r="A312" s="1126" t="s">
        <v>894</v>
      </c>
      <c r="B312" s="1127">
        <v>37</v>
      </c>
      <c r="C312" s="1128">
        <v>0</v>
      </c>
      <c r="D312" s="1128">
        <v>6.05</v>
      </c>
      <c r="E312" s="1126" t="s">
        <v>669</v>
      </c>
    </row>
    <row r="313" spans="1:5" x14ac:dyDescent="0.2">
      <c r="A313" s="1126" t="s">
        <v>895</v>
      </c>
      <c r="B313" s="1127">
        <v>216</v>
      </c>
      <c r="C313" s="1128">
        <v>0</v>
      </c>
      <c r="D313" s="1128">
        <v>24.48</v>
      </c>
      <c r="E313" s="1126"/>
    </row>
    <row r="314" spans="1:5" x14ac:dyDescent="0.2">
      <c r="A314" s="1126" t="s">
        <v>896</v>
      </c>
      <c r="B314" s="1127">
        <v>241</v>
      </c>
      <c r="C314" s="1128">
        <v>0</v>
      </c>
      <c r="D314" s="1128">
        <v>82.69</v>
      </c>
      <c r="E314" s="1126"/>
    </row>
    <row r="315" spans="1:5" x14ac:dyDescent="0.2">
      <c r="A315" s="1126" t="s">
        <v>897</v>
      </c>
      <c r="B315" s="1127">
        <v>272</v>
      </c>
      <c r="C315" s="1128">
        <v>0</v>
      </c>
      <c r="D315" s="1128">
        <v>144.29</v>
      </c>
      <c r="E315" s="1126"/>
    </row>
    <row r="316" spans="1:5" x14ac:dyDescent="0.2">
      <c r="A316" s="1126" t="s">
        <v>898</v>
      </c>
      <c r="B316" s="1127">
        <v>86</v>
      </c>
      <c r="C316" s="1128">
        <v>0</v>
      </c>
      <c r="D316" s="1128">
        <v>9.14</v>
      </c>
      <c r="E316" s="1126"/>
    </row>
    <row r="317" spans="1:5" x14ac:dyDescent="0.2">
      <c r="A317" s="1126" t="s">
        <v>899</v>
      </c>
      <c r="B317" s="1127">
        <v>79</v>
      </c>
      <c r="C317" s="1128">
        <v>0</v>
      </c>
      <c r="D317" s="1128">
        <v>15.72</v>
      </c>
      <c r="E317" s="1126"/>
    </row>
    <row r="318" spans="1:5" x14ac:dyDescent="0.2">
      <c r="A318" s="1126" t="s">
        <v>900</v>
      </c>
      <c r="B318" s="1127">
        <v>125</v>
      </c>
      <c r="C318" s="1128">
        <v>0</v>
      </c>
      <c r="D318" s="1128">
        <v>9.1199999999999992</v>
      </c>
      <c r="E318" s="1126"/>
    </row>
    <row r="319" spans="1:5" x14ac:dyDescent="0.2">
      <c r="A319" s="1126" t="s">
        <v>901</v>
      </c>
      <c r="B319" s="1127">
        <v>218</v>
      </c>
      <c r="C319" s="1128">
        <v>0</v>
      </c>
      <c r="D319" s="1128">
        <v>95.26</v>
      </c>
      <c r="E319" s="1126"/>
    </row>
    <row r="320" spans="1:5" x14ac:dyDescent="0.2">
      <c r="A320" s="1126" t="s">
        <v>902</v>
      </c>
      <c r="B320" s="1127">
        <v>178</v>
      </c>
      <c r="C320" s="1128">
        <v>7.14</v>
      </c>
      <c r="D320" s="1128">
        <v>129.49</v>
      </c>
      <c r="E320" s="1126"/>
    </row>
    <row r="321" spans="1:5" x14ac:dyDescent="0.2">
      <c r="A321" s="1126" t="s">
        <v>903</v>
      </c>
      <c r="B321" s="1127">
        <v>114</v>
      </c>
      <c r="C321" s="1128">
        <v>0</v>
      </c>
      <c r="D321" s="1128">
        <v>54.89</v>
      </c>
      <c r="E321" s="1126"/>
    </row>
    <row r="322" spans="1:5" x14ac:dyDescent="0.2">
      <c r="A322" s="1126" t="s">
        <v>904</v>
      </c>
      <c r="B322" s="1127">
        <v>102</v>
      </c>
      <c r="C322" s="1128">
        <v>0</v>
      </c>
      <c r="D322" s="1128">
        <v>35.130000000000003</v>
      </c>
      <c r="E322" s="1126"/>
    </row>
    <row r="323" spans="1:5" x14ac:dyDescent="0.2">
      <c r="A323" s="1126" t="s">
        <v>905</v>
      </c>
      <c r="B323" s="1127">
        <v>174</v>
      </c>
      <c r="C323" s="1128">
        <v>0</v>
      </c>
      <c r="D323" s="1128">
        <v>62.96</v>
      </c>
      <c r="E323" s="1126"/>
    </row>
    <row r="324" spans="1:5" x14ac:dyDescent="0.2">
      <c r="A324" s="1126" t="s">
        <v>906</v>
      </c>
      <c r="B324" s="1127">
        <v>190</v>
      </c>
      <c r="C324" s="1128">
        <v>110.31</v>
      </c>
      <c r="D324" s="1128">
        <v>240.91</v>
      </c>
      <c r="E324" s="1126"/>
    </row>
    <row r="325" spans="1:5" x14ac:dyDescent="0.2">
      <c r="A325" s="1126" t="s">
        <v>907</v>
      </c>
      <c r="B325" s="1127">
        <v>132</v>
      </c>
      <c r="C325" s="1128">
        <v>0</v>
      </c>
      <c r="D325" s="1128">
        <v>23.31</v>
      </c>
      <c r="E325" s="1126"/>
    </row>
    <row r="326" spans="1:5" x14ac:dyDescent="0.2">
      <c r="A326" s="1126" t="s">
        <v>908</v>
      </c>
      <c r="B326" s="1127">
        <v>364</v>
      </c>
      <c r="C326" s="1128">
        <v>0</v>
      </c>
      <c r="D326" s="1128">
        <v>191.34</v>
      </c>
      <c r="E326" s="1126"/>
    </row>
    <row r="327" spans="1:5" x14ac:dyDescent="0.2">
      <c r="A327" s="1126" t="s">
        <v>909</v>
      </c>
      <c r="B327" s="1127">
        <v>182</v>
      </c>
      <c r="C327" s="1128">
        <v>177.58</v>
      </c>
      <c r="D327" s="1128">
        <v>302.68</v>
      </c>
      <c r="E327" s="1126"/>
    </row>
    <row r="328" spans="1:5" x14ac:dyDescent="0.2">
      <c r="A328" s="1126" t="s">
        <v>910</v>
      </c>
      <c r="B328" s="1127">
        <v>155</v>
      </c>
      <c r="C328" s="1128">
        <v>3.41</v>
      </c>
      <c r="D328" s="1128">
        <v>109.95</v>
      </c>
      <c r="E328" s="1126"/>
    </row>
    <row r="329" spans="1:5" x14ac:dyDescent="0.2">
      <c r="A329" s="1126" t="s">
        <v>911</v>
      </c>
      <c r="B329" s="1127">
        <v>148</v>
      </c>
      <c r="C329" s="1128">
        <v>0</v>
      </c>
      <c r="D329" s="1128">
        <v>59.54</v>
      </c>
      <c r="E329" s="1126"/>
    </row>
    <row r="330" spans="1:5" x14ac:dyDescent="0.2">
      <c r="A330" s="1126" t="s">
        <v>912</v>
      </c>
      <c r="B330" s="1127">
        <v>194</v>
      </c>
      <c r="C330" s="1128">
        <v>0</v>
      </c>
      <c r="D330" s="1128">
        <v>38.020000000000003</v>
      </c>
      <c r="E330" s="1126"/>
    </row>
    <row r="331" spans="1:5" x14ac:dyDescent="0.2">
      <c r="A331" s="1126" t="s">
        <v>913</v>
      </c>
      <c r="B331" s="1127">
        <v>156</v>
      </c>
      <c r="C331" s="1128">
        <v>49.37</v>
      </c>
      <c r="D331" s="1128">
        <v>156.6</v>
      </c>
      <c r="E331" s="1126"/>
    </row>
    <row r="332" spans="1:5" x14ac:dyDescent="0.2">
      <c r="A332" s="1126" t="s">
        <v>914</v>
      </c>
      <c r="B332" s="1127">
        <v>111</v>
      </c>
      <c r="C332" s="1128">
        <v>0</v>
      </c>
      <c r="D332" s="1128">
        <v>13.43</v>
      </c>
      <c r="E332" s="1126"/>
    </row>
    <row r="333" spans="1:5" x14ac:dyDescent="0.2">
      <c r="A333" s="1126" t="s">
        <v>915</v>
      </c>
      <c r="B333" s="1127">
        <v>342</v>
      </c>
      <c r="C333" s="1128">
        <v>124.74</v>
      </c>
      <c r="D333" s="1128">
        <v>359.82</v>
      </c>
      <c r="E333" s="1126"/>
    </row>
    <row r="334" spans="1:5" x14ac:dyDescent="0.2">
      <c r="A334" s="1126" t="s">
        <v>916</v>
      </c>
      <c r="B334" s="1127">
        <v>67</v>
      </c>
      <c r="C334" s="1128">
        <v>0</v>
      </c>
      <c r="D334" s="1128">
        <v>0</v>
      </c>
      <c r="E334" s="1126"/>
    </row>
    <row r="335" spans="1:5" x14ac:dyDescent="0.2">
      <c r="A335" s="1126" t="s">
        <v>917</v>
      </c>
      <c r="B335" s="1127">
        <v>338</v>
      </c>
      <c r="C335" s="1128">
        <v>0</v>
      </c>
      <c r="D335" s="1128">
        <v>165.06</v>
      </c>
      <c r="E335" s="1126"/>
    </row>
    <row r="336" spans="1:5" x14ac:dyDescent="0.2">
      <c r="A336" s="1126" t="s">
        <v>918</v>
      </c>
      <c r="B336" s="1127">
        <v>135</v>
      </c>
      <c r="C336" s="1128">
        <v>309.62</v>
      </c>
      <c r="D336" s="1128">
        <v>402.42</v>
      </c>
      <c r="E336" s="1126"/>
    </row>
    <row r="337" spans="1:5" x14ac:dyDescent="0.2">
      <c r="A337" s="1126" t="s">
        <v>919</v>
      </c>
      <c r="B337" s="1127">
        <v>388</v>
      </c>
      <c r="C337" s="1128">
        <v>0</v>
      </c>
      <c r="D337" s="1128">
        <v>237.68</v>
      </c>
      <c r="E337" s="1126"/>
    </row>
    <row r="338" spans="1:5" x14ac:dyDescent="0.2">
      <c r="A338" s="1126" t="s">
        <v>920</v>
      </c>
      <c r="B338" s="1127">
        <v>205</v>
      </c>
      <c r="C338" s="1128">
        <v>0</v>
      </c>
      <c r="D338" s="1128">
        <v>49.64</v>
      </c>
      <c r="E338" s="1126"/>
    </row>
    <row r="339" spans="1:5" x14ac:dyDescent="0.2">
      <c r="A339" s="1126" t="s">
        <v>921</v>
      </c>
      <c r="B339" s="1127">
        <v>148</v>
      </c>
      <c r="C339" s="1128">
        <v>0</v>
      </c>
      <c r="D339" s="1128">
        <v>72.36</v>
      </c>
      <c r="E339" s="1126"/>
    </row>
    <row r="340" spans="1:5" x14ac:dyDescent="0.2">
      <c r="A340" s="1126" t="s">
        <v>922</v>
      </c>
      <c r="B340" s="1127">
        <v>59</v>
      </c>
      <c r="C340" s="1128">
        <v>0</v>
      </c>
      <c r="D340" s="1128">
        <v>21.15</v>
      </c>
      <c r="E340" s="1126"/>
    </row>
    <row r="341" spans="1:5" x14ac:dyDescent="0.2">
      <c r="A341" s="1126" t="s">
        <v>923</v>
      </c>
      <c r="B341" s="1127">
        <v>254</v>
      </c>
      <c r="C341" s="1128">
        <v>0</v>
      </c>
      <c r="D341" s="1128">
        <v>159.02000000000001</v>
      </c>
      <c r="E341" s="1126"/>
    </row>
    <row r="342" spans="1:5" x14ac:dyDescent="0.2">
      <c r="A342" s="1126" t="s">
        <v>924</v>
      </c>
      <c r="B342" s="1127">
        <v>155</v>
      </c>
      <c r="C342" s="1128">
        <v>0</v>
      </c>
      <c r="D342" s="1128">
        <v>43.05</v>
      </c>
      <c r="E342" s="1126"/>
    </row>
    <row r="343" spans="1:5" x14ac:dyDescent="0.2">
      <c r="A343" s="1126" t="s">
        <v>925</v>
      </c>
      <c r="B343" s="1127">
        <v>68</v>
      </c>
      <c r="C343" s="1128">
        <v>0.59</v>
      </c>
      <c r="D343" s="1128">
        <v>47.33</v>
      </c>
      <c r="E343" s="1126"/>
    </row>
    <row r="344" spans="1:5" x14ac:dyDescent="0.2">
      <c r="A344" s="1126" t="s">
        <v>926</v>
      </c>
      <c r="B344" s="1127">
        <v>276</v>
      </c>
      <c r="C344" s="1128">
        <v>0</v>
      </c>
      <c r="D344" s="1128">
        <v>105.89</v>
      </c>
      <c r="E344" s="1126"/>
    </row>
    <row r="345" spans="1:5" x14ac:dyDescent="0.2">
      <c r="A345" s="1126" t="s">
        <v>927</v>
      </c>
      <c r="B345" s="1127">
        <v>373</v>
      </c>
      <c r="C345" s="1128">
        <v>0</v>
      </c>
      <c r="D345" s="1128">
        <v>64.319999999999993</v>
      </c>
      <c r="E345" s="1126"/>
    </row>
    <row r="346" spans="1:5" x14ac:dyDescent="0.2">
      <c r="A346" s="1126" t="s">
        <v>928</v>
      </c>
      <c r="B346" s="1127">
        <v>141</v>
      </c>
      <c r="C346" s="1128">
        <v>0</v>
      </c>
      <c r="D346" s="1128">
        <v>9.51</v>
      </c>
      <c r="E346" s="1126"/>
    </row>
    <row r="347" spans="1:5" x14ac:dyDescent="0.2">
      <c r="A347" s="1126" t="s">
        <v>929</v>
      </c>
      <c r="B347" s="1127">
        <v>85</v>
      </c>
      <c r="C347" s="1128">
        <v>45.67</v>
      </c>
      <c r="D347" s="1128">
        <v>104.1</v>
      </c>
      <c r="E347" s="1126"/>
    </row>
    <row r="348" spans="1:5" x14ac:dyDescent="0.2">
      <c r="A348" s="1126" t="s">
        <v>930</v>
      </c>
      <c r="B348" s="1127">
        <v>251</v>
      </c>
      <c r="C348" s="1128">
        <v>0</v>
      </c>
      <c r="D348" s="1128">
        <v>23.33</v>
      </c>
      <c r="E348" s="1126"/>
    </row>
    <row r="349" spans="1:5" x14ac:dyDescent="0.2">
      <c r="A349" s="1126" t="s">
        <v>931</v>
      </c>
      <c r="B349" s="1127">
        <v>94</v>
      </c>
      <c r="C349" s="1128">
        <v>0</v>
      </c>
      <c r="D349" s="1128">
        <v>0</v>
      </c>
      <c r="E349" s="1126"/>
    </row>
    <row r="350" spans="1:5" x14ac:dyDescent="0.2">
      <c r="A350" s="1126" t="s">
        <v>932</v>
      </c>
      <c r="B350" s="1127">
        <v>184</v>
      </c>
      <c r="C350" s="1128">
        <v>0</v>
      </c>
      <c r="D350" s="1128">
        <v>57.03</v>
      </c>
      <c r="E350" s="1126"/>
    </row>
    <row r="351" spans="1:5" x14ac:dyDescent="0.2">
      <c r="A351" s="1126" t="s">
        <v>933</v>
      </c>
      <c r="B351" s="1127">
        <v>208</v>
      </c>
      <c r="C351" s="1128">
        <v>0</v>
      </c>
      <c r="D351" s="1128">
        <v>111.58</v>
      </c>
      <c r="E351" s="1126"/>
    </row>
    <row r="352" spans="1:5" x14ac:dyDescent="0.2">
      <c r="A352" s="1126" t="s">
        <v>934</v>
      </c>
      <c r="B352" s="1127">
        <v>148</v>
      </c>
      <c r="C352" s="1128">
        <v>0</v>
      </c>
      <c r="D352" s="1128">
        <v>42.46</v>
      </c>
      <c r="E352" s="1126"/>
    </row>
    <row r="353" spans="1:5" x14ac:dyDescent="0.2">
      <c r="A353" s="1126" t="s">
        <v>935</v>
      </c>
      <c r="B353" s="1127">
        <v>64</v>
      </c>
      <c r="C353" s="1128">
        <v>107.13</v>
      </c>
      <c r="D353" s="1128">
        <v>151.12</v>
      </c>
      <c r="E353" s="1126"/>
    </row>
    <row r="354" spans="1:5" x14ac:dyDescent="0.2">
      <c r="A354" s="1126" t="s">
        <v>936</v>
      </c>
      <c r="B354" s="1127">
        <v>139</v>
      </c>
      <c r="C354" s="1128">
        <v>0</v>
      </c>
      <c r="D354" s="1128">
        <v>14.58</v>
      </c>
      <c r="E354" s="1126"/>
    </row>
    <row r="355" spans="1:5" x14ac:dyDescent="0.2">
      <c r="A355" s="1126" t="s">
        <v>937</v>
      </c>
      <c r="B355" s="1127">
        <v>63</v>
      </c>
      <c r="C355" s="1128">
        <v>0</v>
      </c>
      <c r="D355" s="1128">
        <v>39.93</v>
      </c>
      <c r="E355" s="1126"/>
    </row>
    <row r="356" spans="1:5" x14ac:dyDescent="0.2">
      <c r="A356" s="1126" t="s">
        <v>938</v>
      </c>
      <c r="B356" s="1127">
        <v>101</v>
      </c>
      <c r="C356" s="1128">
        <v>31.23</v>
      </c>
      <c r="D356" s="1128">
        <v>100.65</v>
      </c>
      <c r="E356" s="1126"/>
    </row>
    <row r="357" spans="1:5" x14ac:dyDescent="0.2">
      <c r="A357" s="1126" t="s">
        <v>939</v>
      </c>
      <c r="B357" s="1127">
        <v>477</v>
      </c>
      <c r="C357" s="1128">
        <v>29.13</v>
      </c>
      <c r="D357" s="1128">
        <v>357</v>
      </c>
      <c r="E357" s="1126"/>
    </row>
    <row r="358" spans="1:5" x14ac:dyDescent="0.2">
      <c r="A358" s="1126" t="s">
        <v>940</v>
      </c>
      <c r="B358" s="1127">
        <v>202</v>
      </c>
      <c r="C358" s="1128">
        <v>97.62</v>
      </c>
      <c r="D358" s="1128">
        <v>236.47</v>
      </c>
      <c r="E358" s="1126"/>
    </row>
    <row r="359" spans="1:5" x14ac:dyDescent="0.2">
      <c r="A359" s="1126" t="s">
        <v>941</v>
      </c>
      <c r="B359" s="1127">
        <v>297</v>
      </c>
      <c r="C359" s="1128">
        <v>0</v>
      </c>
      <c r="D359" s="1128">
        <v>73.02</v>
      </c>
      <c r="E359" s="1126"/>
    </row>
    <row r="360" spans="1:5" x14ac:dyDescent="0.2">
      <c r="A360" s="1126" t="s">
        <v>942</v>
      </c>
      <c r="B360" s="1127">
        <v>306</v>
      </c>
      <c r="C360" s="1128">
        <v>0</v>
      </c>
      <c r="D360" s="1128">
        <v>51.27</v>
      </c>
      <c r="E360" s="1126"/>
    </row>
    <row r="361" spans="1:5" x14ac:dyDescent="0.2">
      <c r="A361" s="1126" t="s">
        <v>943</v>
      </c>
      <c r="B361" s="1127">
        <v>103</v>
      </c>
      <c r="C361" s="1128">
        <v>70.959999999999994</v>
      </c>
      <c r="D361" s="1128">
        <v>141.76</v>
      </c>
      <c r="E361" s="1126"/>
    </row>
    <row r="362" spans="1:5" x14ac:dyDescent="0.2">
      <c r="A362" s="1126" t="s">
        <v>944</v>
      </c>
      <c r="B362" s="1127">
        <v>126</v>
      </c>
      <c r="C362" s="1128">
        <v>0</v>
      </c>
      <c r="D362" s="1128">
        <v>46.99</v>
      </c>
      <c r="E362" s="1126"/>
    </row>
    <row r="363" spans="1:5" x14ac:dyDescent="0.2">
      <c r="A363" s="1126" t="s">
        <v>945</v>
      </c>
      <c r="B363" s="1127">
        <v>105</v>
      </c>
      <c r="C363" s="1128">
        <v>75.69</v>
      </c>
      <c r="D363" s="1128">
        <v>147.86000000000001</v>
      </c>
      <c r="E363" s="1126"/>
    </row>
    <row r="364" spans="1:5" x14ac:dyDescent="0.2">
      <c r="A364" s="1126" t="s">
        <v>946</v>
      </c>
      <c r="B364" s="1127">
        <v>318</v>
      </c>
      <c r="C364" s="1128">
        <v>0</v>
      </c>
      <c r="D364" s="1128">
        <v>123.04</v>
      </c>
      <c r="E364" s="1126"/>
    </row>
    <row r="365" spans="1:5" x14ac:dyDescent="0.2">
      <c r="A365" s="1126" t="s">
        <v>947</v>
      </c>
      <c r="B365" s="1127">
        <v>220</v>
      </c>
      <c r="C365" s="1128">
        <v>96.44</v>
      </c>
      <c r="D365" s="1128">
        <v>247.66</v>
      </c>
      <c r="E365" s="1126"/>
    </row>
    <row r="366" spans="1:5" x14ac:dyDescent="0.2">
      <c r="A366" s="1126" t="s">
        <v>948</v>
      </c>
      <c r="B366" s="1127">
        <v>230</v>
      </c>
      <c r="C366" s="1128">
        <v>0</v>
      </c>
      <c r="D366" s="1128">
        <v>121.75</v>
      </c>
      <c r="E366" s="1126"/>
    </row>
    <row r="367" spans="1:5" x14ac:dyDescent="0.2">
      <c r="A367" s="1126" t="s">
        <v>949</v>
      </c>
      <c r="B367" s="1127">
        <v>341</v>
      </c>
      <c r="C367" s="1128">
        <v>0</v>
      </c>
      <c r="D367" s="1128">
        <v>98.25</v>
      </c>
      <c r="E367" s="1126"/>
    </row>
    <row r="368" spans="1:5" x14ac:dyDescent="0.2">
      <c r="A368" s="1126" t="s">
        <v>950</v>
      </c>
      <c r="B368" s="1127">
        <v>132</v>
      </c>
      <c r="C368" s="1128">
        <v>47.39</v>
      </c>
      <c r="D368" s="1128">
        <v>138.12</v>
      </c>
      <c r="E368" s="1126"/>
    </row>
    <row r="369" spans="1:5" x14ac:dyDescent="0.2">
      <c r="A369" s="1126" t="s">
        <v>951</v>
      </c>
      <c r="B369" s="1127">
        <v>130</v>
      </c>
      <c r="C369" s="1128">
        <v>0</v>
      </c>
      <c r="D369" s="1128">
        <v>26.84</v>
      </c>
      <c r="E369" s="1126"/>
    </row>
    <row r="370" spans="1:5" x14ac:dyDescent="0.2">
      <c r="A370" s="1126" t="s">
        <v>952</v>
      </c>
      <c r="B370" s="1127">
        <v>62</v>
      </c>
      <c r="C370" s="1128">
        <v>0</v>
      </c>
      <c r="D370" s="1128">
        <v>27.9</v>
      </c>
      <c r="E370" s="1126"/>
    </row>
    <row r="371" spans="1:5" x14ac:dyDescent="0.2">
      <c r="A371" s="1126" t="s">
        <v>953</v>
      </c>
      <c r="B371" s="1127">
        <v>295</v>
      </c>
      <c r="C371" s="1128">
        <v>0</v>
      </c>
      <c r="D371" s="1128">
        <v>9.2899999999999991</v>
      </c>
      <c r="E371" s="1126"/>
    </row>
    <row r="372" spans="1:5" x14ac:dyDescent="0.2">
      <c r="A372" s="1126" t="s">
        <v>954</v>
      </c>
      <c r="B372" s="1127">
        <v>282</v>
      </c>
      <c r="C372" s="1128">
        <v>0</v>
      </c>
      <c r="D372" s="1128">
        <v>162.11000000000001</v>
      </c>
      <c r="E372" s="1126"/>
    </row>
    <row r="373" spans="1:5" x14ac:dyDescent="0.2">
      <c r="A373" s="1126" t="s">
        <v>955</v>
      </c>
      <c r="B373" s="1127">
        <v>315</v>
      </c>
      <c r="C373" s="1128">
        <v>0</v>
      </c>
      <c r="D373" s="1128">
        <v>177.91</v>
      </c>
      <c r="E373" s="1126"/>
    </row>
    <row r="374" spans="1:5" x14ac:dyDescent="0.2">
      <c r="A374" s="1126" t="s">
        <v>956</v>
      </c>
      <c r="B374" s="1127">
        <v>153</v>
      </c>
      <c r="C374" s="1128">
        <v>0</v>
      </c>
      <c r="D374" s="1128">
        <v>37.24</v>
      </c>
      <c r="E374" s="1126"/>
    </row>
    <row r="375" spans="1:5" x14ac:dyDescent="0.2">
      <c r="A375" s="1126" t="s">
        <v>957</v>
      </c>
      <c r="B375" s="1127">
        <v>487</v>
      </c>
      <c r="C375" s="1128">
        <v>0</v>
      </c>
      <c r="D375" s="1128">
        <v>186.23</v>
      </c>
      <c r="E375" s="1126"/>
    </row>
    <row r="376" spans="1:5" x14ac:dyDescent="0.2">
      <c r="A376" s="1126" t="s">
        <v>958</v>
      </c>
      <c r="B376" s="1127">
        <v>82</v>
      </c>
      <c r="C376" s="1128">
        <v>0</v>
      </c>
      <c r="D376" s="1128">
        <v>37.69</v>
      </c>
      <c r="E376" s="1126"/>
    </row>
    <row r="377" spans="1:5" x14ac:dyDescent="0.2">
      <c r="A377" s="1126" t="s">
        <v>959</v>
      </c>
      <c r="B377" s="1127">
        <v>123</v>
      </c>
      <c r="C377" s="1128">
        <v>18.95</v>
      </c>
      <c r="D377" s="1128">
        <v>103.5</v>
      </c>
      <c r="E377" s="1126"/>
    </row>
    <row r="378" spans="1:5" x14ac:dyDescent="0.2">
      <c r="A378" s="1126" t="s">
        <v>960</v>
      </c>
      <c r="B378" s="1127">
        <v>123</v>
      </c>
      <c r="C378" s="1128">
        <v>33.03</v>
      </c>
      <c r="D378" s="1128">
        <v>117.58</v>
      </c>
      <c r="E378" s="1126"/>
    </row>
    <row r="379" spans="1:5" x14ac:dyDescent="0.2">
      <c r="A379" s="1126" t="s">
        <v>961</v>
      </c>
      <c r="B379" s="1127">
        <v>90</v>
      </c>
      <c r="C379" s="1128">
        <v>14.2</v>
      </c>
      <c r="D379" s="1128">
        <v>76.069999999999993</v>
      </c>
      <c r="E379" s="1126"/>
    </row>
    <row r="380" spans="1:5" x14ac:dyDescent="0.2">
      <c r="A380" s="1126" t="s">
        <v>962</v>
      </c>
      <c r="B380" s="1127">
        <v>102</v>
      </c>
      <c r="C380" s="1128">
        <v>28.44</v>
      </c>
      <c r="D380" s="1128">
        <v>98.55</v>
      </c>
      <c r="E380" s="1126"/>
    </row>
    <row r="381" spans="1:5" x14ac:dyDescent="0.2">
      <c r="A381" s="1126" t="s">
        <v>963</v>
      </c>
      <c r="B381" s="1127">
        <v>218</v>
      </c>
      <c r="C381" s="1128">
        <v>0</v>
      </c>
      <c r="D381" s="1128">
        <v>82.09</v>
      </c>
      <c r="E381" s="1126"/>
    </row>
    <row r="382" spans="1:5" x14ac:dyDescent="0.2">
      <c r="A382" s="1126" t="s">
        <v>964</v>
      </c>
      <c r="B382" s="1127">
        <v>227</v>
      </c>
      <c r="C382" s="1128">
        <v>0</v>
      </c>
      <c r="D382" s="1128">
        <v>34.85</v>
      </c>
      <c r="E382" s="1126"/>
    </row>
    <row r="383" spans="1:5" x14ac:dyDescent="0.2">
      <c r="A383" s="1126" t="s">
        <v>965</v>
      </c>
      <c r="B383" s="1127">
        <v>197</v>
      </c>
      <c r="C383" s="1128">
        <v>0</v>
      </c>
      <c r="D383" s="1128">
        <v>21.94</v>
      </c>
      <c r="E383" s="1126"/>
    </row>
    <row r="384" spans="1:5" x14ac:dyDescent="0.2">
      <c r="A384" s="1126" t="s">
        <v>966</v>
      </c>
      <c r="B384" s="1127">
        <v>270</v>
      </c>
      <c r="C384" s="1128">
        <v>0</v>
      </c>
      <c r="D384" s="1128">
        <v>74.53</v>
      </c>
      <c r="E384" s="1126"/>
    </row>
    <row r="385" spans="1:5" x14ac:dyDescent="0.2">
      <c r="A385" s="1126" t="s">
        <v>967</v>
      </c>
      <c r="B385" s="1127">
        <v>98</v>
      </c>
      <c r="C385" s="1128">
        <v>24.34</v>
      </c>
      <c r="D385" s="1128">
        <v>91.7</v>
      </c>
      <c r="E385" s="1126"/>
    </row>
    <row r="386" spans="1:5" x14ac:dyDescent="0.2">
      <c r="A386" s="1126" t="s">
        <v>968</v>
      </c>
      <c r="B386" s="1127">
        <v>33</v>
      </c>
      <c r="C386" s="1128">
        <v>0</v>
      </c>
      <c r="D386" s="1128">
        <v>13.86</v>
      </c>
      <c r="E386" s="1126" t="s">
        <v>669</v>
      </c>
    </row>
    <row r="387" spans="1:5" x14ac:dyDescent="0.2">
      <c r="A387" s="1126" t="s">
        <v>969</v>
      </c>
      <c r="B387" s="1127">
        <v>214</v>
      </c>
      <c r="C387" s="1128">
        <v>49.55</v>
      </c>
      <c r="D387" s="1128">
        <v>196.65</v>
      </c>
      <c r="E387" s="1126"/>
    </row>
    <row r="388" spans="1:5" x14ac:dyDescent="0.2">
      <c r="A388" s="1126" t="s">
        <v>970</v>
      </c>
      <c r="B388" s="1127">
        <v>157</v>
      </c>
      <c r="C388" s="1128">
        <v>0</v>
      </c>
      <c r="D388" s="1128">
        <v>31.28</v>
      </c>
      <c r="E388" s="1126"/>
    </row>
    <row r="389" spans="1:5" x14ac:dyDescent="0.2">
      <c r="A389" s="1126" t="s">
        <v>971</v>
      </c>
      <c r="B389" s="1127">
        <v>61</v>
      </c>
      <c r="C389" s="1128">
        <v>0</v>
      </c>
      <c r="D389" s="1128">
        <v>35.18</v>
      </c>
      <c r="E389" s="1126"/>
    </row>
    <row r="390" spans="1:5" x14ac:dyDescent="0.2">
      <c r="A390" s="1126" t="s">
        <v>972</v>
      </c>
      <c r="B390" s="1127">
        <v>92</v>
      </c>
      <c r="C390" s="1128">
        <v>0</v>
      </c>
      <c r="D390" s="1128">
        <v>38.33</v>
      </c>
      <c r="E390" s="1126"/>
    </row>
    <row r="391" spans="1:5" x14ac:dyDescent="0.2">
      <c r="A391" s="1126" t="s">
        <v>973</v>
      </c>
      <c r="B391" s="1127">
        <v>133</v>
      </c>
      <c r="C391" s="1128">
        <v>59.12</v>
      </c>
      <c r="D391" s="1128">
        <v>150.54</v>
      </c>
      <c r="E391" s="1126"/>
    </row>
    <row r="392" spans="1:5" x14ac:dyDescent="0.2">
      <c r="A392" s="1126" t="s">
        <v>974</v>
      </c>
      <c r="B392" s="1127">
        <v>129</v>
      </c>
      <c r="C392" s="1128">
        <v>0</v>
      </c>
      <c r="D392" s="1128">
        <v>29.26</v>
      </c>
      <c r="E392" s="1126"/>
    </row>
    <row r="393" spans="1:5" x14ac:dyDescent="0.2">
      <c r="A393" s="1126" t="s">
        <v>975</v>
      </c>
      <c r="B393" s="1127">
        <v>251</v>
      </c>
      <c r="C393" s="1128">
        <v>0</v>
      </c>
      <c r="D393" s="1128">
        <v>4.6100000000000003</v>
      </c>
      <c r="E393" s="1126"/>
    </row>
    <row r="394" spans="1:5" x14ac:dyDescent="0.2">
      <c r="A394" s="1126" t="s">
        <v>976</v>
      </c>
      <c r="B394" s="1127">
        <v>100</v>
      </c>
      <c r="C394" s="1128">
        <v>0</v>
      </c>
      <c r="D394" s="1128">
        <v>29.87</v>
      </c>
      <c r="E394" s="1126"/>
    </row>
    <row r="395" spans="1:5" x14ac:dyDescent="0.2">
      <c r="A395" s="1126" t="s">
        <v>977</v>
      </c>
      <c r="B395" s="1127">
        <v>83</v>
      </c>
      <c r="C395" s="1128">
        <v>0</v>
      </c>
      <c r="D395" s="1128">
        <v>0</v>
      </c>
      <c r="E395" s="1126"/>
    </row>
    <row r="396" spans="1:5" x14ac:dyDescent="0.2">
      <c r="A396" s="1126" t="s">
        <v>978</v>
      </c>
      <c r="B396" s="1127">
        <v>102</v>
      </c>
      <c r="C396" s="1128">
        <v>0</v>
      </c>
      <c r="D396" s="1128">
        <v>17.18</v>
      </c>
      <c r="E396" s="1126"/>
    </row>
    <row r="397" spans="1:5" x14ac:dyDescent="0.2">
      <c r="A397" s="1126" t="s">
        <v>979</v>
      </c>
      <c r="B397" s="1127">
        <v>46</v>
      </c>
      <c r="C397" s="1128">
        <v>2.21</v>
      </c>
      <c r="D397" s="1128">
        <v>33.83</v>
      </c>
      <c r="E397" s="1126"/>
    </row>
    <row r="398" spans="1:5" x14ac:dyDescent="0.2">
      <c r="A398" s="1126" t="s">
        <v>980</v>
      </c>
      <c r="B398" s="1127">
        <v>233</v>
      </c>
      <c r="C398" s="1128">
        <v>0</v>
      </c>
      <c r="D398" s="1128">
        <v>15.99</v>
      </c>
      <c r="E398" s="1126"/>
    </row>
    <row r="399" spans="1:5" x14ac:dyDescent="0.2">
      <c r="A399" s="1126" t="s">
        <v>981</v>
      </c>
      <c r="B399" s="1127">
        <v>100</v>
      </c>
      <c r="C399" s="1128">
        <v>0</v>
      </c>
      <c r="D399" s="1128">
        <v>53.94</v>
      </c>
      <c r="E399" s="1126"/>
    </row>
    <row r="400" spans="1:5" x14ac:dyDescent="0.2">
      <c r="A400" s="1126" t="s">
        <v>982</v>
      </c>
      <c r="B400" s="1127">
        <v>117</v>
      </c>
      <c r="C400" s="1128">
        <v>0</v>
      </c>
      <c r="D400" s="1128">
        <v>43.73</v>
      </c>
      <c r="E400" s="1126"/>
    </row>
    <row r="401" spans="1:5" x14ac:dyDescent="0.2">
      <c r="A401" s="1126" t="s">
        <v>983</v>
      </c>
      <c r="B401" s="1127">
        <v>68</v>
      </c>
      <c r="C401" s="1128">
        <v>0</v>
      </c>
      <c r="D401" s="1128">
        <v>31.46</v>
      </c>
      <c r="E401" s="1126"/>
    </row>
    <row r="402" spans="1:5" x14ac:dyDescent="0.2">
      <c r="A402" s="1126" t="s">
        <v>984</v>
      </c>
      <c r="B402" s="1127">
        <v>93</v>
      </c>
      <c r="C402" s="1128">
        <v>0</v>
      </c>
      <c r="D402" s="1128">
        <v>18.920000000000002</v>
      </c>
      <c r="E402" s="1126"/>
    </row>
    <row r="403" spans="1:5" x14ac:dyDescent="0.2">
      <c r="A403" s="1126" t="s">
        <v>985</v>
      </c>
      <c r="B403" s="1127">
        <v>234</v>
      </c>
      <c r="C403" s="1128">
        <v>0</v>
      </c>
      <c r="D403" s="1128">
        <v>92.29</v>
      </c>
      <c r="E403" s="1126"/>
    </row>
    <row r="404" spans="1:5" x14ac:dyDescent="0.2">
      <c r="A404" s="1126" t="s">
        <v>986</v>
      </c>
      <c r="B404" s="1127">
        <v>537</v>
      </c>
      <c r="C404" s="1128">
        <v>0</v>
      </c>
      <c r="D404" s="1128">
        <v>13.02</v>
      </c>
      <c r="E404" s="1126"/>
    </row>
    <row r="405" spans="1:5" x14ac:dyDescent="0.2">
      <c r="A405" s="1126" t="s">
        <v>987</v>
      </c>
      <c r="B405" s="1127">
        <v>170</v>
      </c>
      <c r="C405" s="1128">
        <v>0</v>
      </c>
      <c r="D405" s="1128">
        <v>33.32</v>
      </c>
      <c r="E405" s="1126"/>
    </row>
    <row r="406" spans="1:5" x14ac:dyDescent="0.2">
      <c r="A406" s="1126" t="s">
        <v>988</v>
      </c>
      <c r="B406" s="1127">
        <v>232</v>
      </c>
      <c r="C406" s="1128">
        <v>0</v>
      </c>
      <c r="D406" s="1128">
        <v>68.47</v>
      </c>
      <c r="E406" s="1126"/>
    </row>
    <row r="407" spans="1:5" x14ac:dyDescent="0.2">
      <c r="A407" s="1126" t="s">
        <v>989</v>
      </c>
      <c r="B407" s="1127">
        <v>165</v>
      </c>
      <c r="C407" s="1128">
        <v>0</v>
      </c>
      <c r="D407" s="1128">
        <v>24.87</v>
      </c>
      <c r="E407" s="1126"/>
    </row>
    <row r="408" spans="1:5" x14ac:dyDescent="0.2">
      <c r="A408" s="1126" t="s">
        <v>990</v>
      </c>
      <c r="B408" s="1127">
        <v>129</v>
      </c>
      <c r="C408" s="1128">
        <v>0</v>
      </c>
      <c r="D408" s="1128">
        <v>57.8</v>
      </c>
      <c r="E408" s="1126"/>
    </row>
    <row r="409" spans="1:5" x14ac:dyDescent="0.2">
      <c r="A409" s="1126" t="s">
        <v>991</v>
      </c>
      <c r="B409" s="1127">
        <v>147</v>
      </c>
      <c r="C409" s="1128">
        <v>0</v>
      </c>
      <c r="D409" s="1128">
        <v>33.11</v>
      </c>
      <c r="E409" s="1126"/>
    </row>
    <row r="410" spans="1:5" x14ac:dyDescent="0.2">
      <c r="A410" s="1126" t="s">
        <v>992</v>
      </c>
      <c r="B410" s="1127">
        <v>93</v>
      </c>
      <c r="C410" s="1128">
        <v>0</v>
      </c>
      <c r="D410" s="1128">
        <v>20.41</v>
      </c>
      <c r="E410" s="1126"/>
    </row>
    <row r="411" spans="1:5" x14ac:dyDescent="0.2">
      <c r="A411" s="1126" t="s">
        <v>993</v>
      </c>
      <c r="B411" s="1127">
        <v>143</v>
      </c>
      <c r="C411" s="1128">
        <v>0</v>
      </c>
      <c r="D411" s="1128">
        <v>6.27</v>
      </c>
      <c r="E411" s="1126"/>
    </row>
    <row r="412" spans="1:5" x14ac:dyDescent="0.2">
      <c r="A412" s="1126" t="s">
        <v>994</v>
      </c>
      <c r="B412" s="1127">
        <v>444</v>
      </c>
      <c r="C412" s="1128">
        <v>0</v>
      </c>
      <c r="D412" s="1128">
        <v>55.53</v>
      </c>
      <c r="E412" s="1126"/>
    </row>
    <row r="413" spans="1:5" x14ac:dyDescent="0.2">
      <c r="A413" s="1126" t="s">
        <v>995</v>
      </c>
      <c r="B413" s="1127">
        <v>229</v>
      </c>
      <c r="C413" s="1128">
        <v>0</v>
      </c>
      <c r="D413" s="1128">
        <v>132.88</v>
      </c>
      <c r="E413" s="1126"/>
    </row>
    <row r="414" spans="1:5" x14ac:dyDescent="0.2">
      <c r="A414" s="1126" t="s">
        <v>996</v>
      </c>
      <c r="B414" s="1127">
        <v>105</v>
      </c>
      <c r="C414" s="1128">
        <v>0</v>
      </c>
      <c r="D414" s="1128">
        <v>0</v>
      </c>
      <c r="E414" s="1126"/>
    </row>
    <row r="415" spans="1:5" x14ac:dyDescent="0.2">
      <c r="A415" s="1126" t="s">
        <v>997</v>
      </c>
      <c r="B415" s="1127">
        <v>235</v>
      </c>
      <c r="C415" s="1128">
        <v>0</v>
      </c>
      <c r="D415" s="1128">
        <v>61.98</v>
      </c>
      <c r="E415" s="1126"/>
    </row>
    <row r="416" spans="1:5" x14ac:dyDescent="0.2">
      <c r="A416" s="1126" t="s">
        <v>998</v>
      </c>
      <c r="B416" s="1127">
        <v>107</v>
      </c>
      <c r="C416" s="1128">
        <v>0</v>
      </c>
      <c r="D416" s="1128">
        <v>25.72</v>
      </c>
      <c r="E416" s="1126"/>
    </row>
    <row r="417" spans="1:5" x14ac:dyDescent="0.2">
      <c r="A417" s="1126" t="s">
        <v>999</v>
      </c>
      <c r="B417" s="1127">
        <v>291</v>
      </c>
      <c r="C417" s="1128">
        <v>0</v>
      </c>
      <c r="D417" s="1128">
        <v>10.08</v>
      </c>
      <c r="E417" s="1126"/>
    </row>
    <row r="418" spans="1:5" x14ac:dyDescent="0.2">
      <c r="A418" s="1126" t="s">
        <v>1000</v>
      </c>
      <c r="B418" s="1127">
        <v>357</v>
      </c>
      <c r="C418" s="1128">
        <v>0</v>
      </c>
      <c r="D418" s="1128">
        <v>138.57</v>
      </c>
      <c r="E418" s="1126"/>
    </row>
    <row r="419" spans="1:5" x14ac:dyDescent="0.2">
      <c r="A419" s="1126" t="s">
        <v>1001</v>
      </c>
      <c r="B419" s="1127">
        <v>124</v>
      </c>
      <c r="C419" s="1128">
        <v>0</v>
      </c>
      <c r="D419" s="1128">
        <v>45.29</v>
      </c>
      <c r="E419" s="1126"/>
    </row>
    <row r="420" spans="1:5" x14ac:dyDescent="0.2">
      <c r="A420" s="1126" t="s">
        <v>1002</v>
      </c>
      <c r="B420" s="1127">
        <v>274</v>
      </c>
      <c r="C420" s="1128">
        <v>0</v>
      </c>
      <c r="D420" s="1128">
        <v>179.96</v>
      </c>
      <c r="E420" s="1126"/>
    </row>
    <row r="421" spans="1:5" x14ac:dyDescent="0.2">
      <c r="A421" s="1126" t="s">
        <v>1003</v>
      </c>
      <c r="B421" s="1127">
        <v>40</v>
      </c>
      <c r="C421" s="1128">
        <v>0</v>
      </c>
      <c r="D421" s="1128">
        <v>23.12</v>
      </c>
      <c r="E421" s="1126" t="s">
        <v>669</v>
      </c>
    </row>
    <row r="422" spans="1:5" x14ac:dyDescent="0.2">
      <c r="A422" s="1126" t="s">
        <v>1004</v>
      </c>
      <c r="B422" s="1127">
        <v>366</v>
      </c>
      <c r="C422" s="1128">
        <v>932.37</v>
      </c>
      <c r="D422" s="1128">
        <v>1183.94</v>
      </c>
      <c r="E422" s="1126"/>
    </row>
    <row r="423" spans="1:5" x14ac:dyDescent="0.2">
      <c r="A423" s="1126" t="s">
        <v>1005</v>
      </c>
      <c r="B423" s="1127">
        <v>346</v>
      </c>
      <c r="C423" s="1128">
        <v>0</v>
      </c>
      <c r="D423" s="1128">
        <v>32.15</v>
      </c>
      <c r="E423" s="1126"/>
    </row>
    <row r="424" spans="1:5" x14ac:dyDescent="0.2">
      <c r="A424" s="1126" t="s">
        <v>1006</v>
      </c>
      <c r="B424" s="1127">
        <v>231</v>
      </c>
      <c r="C424" s="1128">
        <v>0</v>
      </c>
      <c r="D424" s="1128">
        <v>0</v>
      </c>
      <c r="E424" s="1126"/>
    </row>
    <row r="425" spans="1:5" x14ac:dyDescent="0.2">
      <c r="A425" s="1126" t="s">
        <v>1007</v>
      </c>
      <c r="B425" s="1127">
        <v>88</v>
      </c>
      <c r="C425" s="1128">
        <v>0</v>
      </c>
      <c r="D425" s="1128">
        <v>30.43</v>
      </c>
      <c r="E425" s="1126"/>
    </row>
    <row r="426" spans="1:5" x14ac:dyDescent="0.2">
      <c r="A426" s="1126" t="s">
        <v>1008</v>
      </c>
      <c r="B426" s="1127">
        <v>86</v>
      </c>
      <c r="C426" s="1128">
        <v>0</v>
      </c>
      <c r="D426" s="1128">
        <v>4.28</v>
      </c>
      <c r="E426" s="1126"/>
    </row>
    <row r="427" spans="1:5" x14ac:dyDescent="0.2">
      <c r="A427" s="1126" t="s">
        <v>1009</v>
      </c>
      <c r="B427" s="1127">
        <v>52</v>
      </c>
      <c r="C427" s="1128">
        <v>0</v>
      </c>
      <c r="D427" s="1128">
        <v>6.08</v>
      </c>
      <c r="E427" s="1126"/>
    </row>
    <row r="428" spans="1:5" x14ac:dyDescent="0.2">
      <c r="A428" s="1126" t="s">
        <v>1010</v>
      </c>
      <c r="B428" s="1127">
        <v>190</v>
      </c>
      <c r="C428" s="1128">
        <v>0</v>
      </c>
      <c r="D428" s="1128">
        <v>41.63</v>
      </c>
      <c r="E428" s="1126"/>
    </row>
    <row r="429" spans="1:5" x14ac:dyDescent="0.2">
      <c r="A429" s="1126" t="s">
        <v>1011</v>
      </c>
      <c r="B429" s="1127">
        <v>162</v>
      </c>
      <c r="C429" s="1128">
        <v>0</v>
      </c>
      <c r="D429" s="1128">
        <v>85.5</v>
      </c>
      <c r="E429" s="1126"/>
    </row>
    <row r="430" spans="1:5" x14ac:dyDescent="0.2">
      <c r="A430" s="1126" t="s">
        <v>1012</v>
      </c>
      <c r="B430" s="1127">
        <v>87</v>
      </c>
      <c r="C430" s="1128">
        <v>57</v>
      </c>
      <c r="D430" s="1128">
        <v>116.8</v>
      </c>
      <c r="E430" s="1126"/>
    </row>
    <row r="431" spans="1:5" x14ac:dyDescent="0.2">
      <c r="A431" s="1126" t="s">
        <v>1013</v>
      </c>
      <c r="B431" s="1127">
        <v>57</v>
      </c>
      <c r="C431" s="1128">
        <v>0</v>
      </c>
      <c r="D431" s="1128">
        <v>20.75</v>
      </c>
      <c r="E431" s="1126"/>
    </row>
    <row r="432" spans="1:5" x14ac:dyDescent="0.2">
      <c r="A432" s="1126" t="s">
        <v>1014</v>
      </c>
      <c r="B432" s="1127">
        <v>461</v>
      </c>
      <c r="C432" s="1128">
        <v>0</v>
      </c>
      <c r="D432" s="1128">
        <v>281.05</v>
      </c>
      <c r="E432" s="1126"/>
    </row>
    <row r="433" spans="1:5" x14ac:dyDescent="0.2">
      <c r="A433" s="1126" t="s">
        <v>1015</v>
      </c>
      <c r="B433" s="1127">
        <v>138</v>
      </c>
      <c r="C433" s="1128">
        <v>0</v>
      </c>
      <c r="D433" s="1128">
        <v>9.34</v>
      </c>
      <c r="E433" s="1126"/>
    </row>
    <row r="434" spans="1:5" x14ac:dyDescent="0.2">
      <c r="A434" s="1126" t="s">
        <v>1016</v>
      </c>
      <c r="B434" s="1127">
        <v>254</v>
      </c>
      <c r="C434" s="1128">
        <v>0</v>
      </c>
      <c r="D434" s="1128">
        <v>150.49</v>
      </c>
      <c r="E434" s="1126"/>
    </row>
    <row r="435" spans="1:5" x14ac:dyDescent="0.2">
      <c r="A435" s="1126" t="s">
        <v>1017</v>
      </c>
      <c r="B435" s="1127">
        <v>94</v>
      </c>
      <c r="C435" s="1128">
        <v>12.32</v>
      </c>
      <c r="D435" s="1128">
        <v>76.930000000000007</v>
      </c>
      <c r="E435" s="1126"/>
    </row>
    <row r="436" spans="1:5" x14ac:dyDescent="0.2">
      <c r="A436" s="1126" t="s">
        <v>1018</v>
      </c>
      <c r="B436" s="1127">
        <v>54</v>
      </c>
      <c r="C436" s="1128">
        <v>1.6</v>
      </c>
      <c r="D436" s="1128">
        <v>38.71</v>
      </c>
      <c r="E436" s="1126"/>
    </row>
    <row r="437" spans="1:5" x14ac:dyDescent="0.2">
      <c r="A437" s="1126" t="s">
        <v>1019</v>
      </c>
      <c r="B437" s="1127">
        <v>264</v>
      </c>
      <c r="C437" s="1128">
        <v>0</v>
      </c>
      <c r="D437" s="1128">
        <v>49.49</v>
      </c>
      <c r="E437" s="1126"/>
    </row>
    <row r="438" spans="1:5" x14ac:dyDescent="0.2">
      <c r="A438" s="1126" t="s">
        <v>1020</v>
      </c>
      <c r="B438" s="1127">
        <v>89</v>
      </c>
      <c r="C438" s="1128">
        <v>9.76</v>
      </c>
      <c r="D438" s="1128">
        <v>70.94</v>
      </c>
      <c r="E438" s="1126"/>
    </row>
    <row r="439" spans="1:5" x14ac:dyDescent="0.2">
      <c r="A439" s="1126" t="s">
        <v>1021</v>
      </c>
      <c r="B439" s="1127">
        <v>138</v>
      </c>
      <c r="C439" s="1128">
        <v>65.14</v>
      </c>
      <c r="D439" s="1128">
        <v>160</v>
      </c>
      <c r="E439" s="1126"/>
    </row>
    <row r="440" spans="1:5" x14ac:dyDescent="0.2">
      <c r="A440" s="1126" t="s">
        <v>1022</v>
      </c>
      <c r="B440" s="1127">
        <v>90</v>
      </c>
      <c r="C440" s="1128">
        <v>48.88</v>
      </c>
      <c r="D440" s="1128">
        <v>110.75</v>
      </c>
      <c r="E440" s="1126"/>
    </row>
    <row r="441" spans="1:5" x14ac:dyDescent="0.2">
      <c r="A441" s="1126" t="s">
        <v>1023</v>
      </c>
      <c r="B441" s="1127">
        <v>125</v>
      </c>
      <c r="C441" s="1128">
        <v>0</v>
      </c>
      <c r="D441" s="1128">
        <v>50.74</v>
      </c>
      <c r="E441" s="1126"/>
    </row>
    <row r="442" spans="1:5" x14ac:dyDescent="0.2">
      <c r="A442" s="1126" t="s">
        <v>1024</v>
      </c>
      <c r="B442" s="1127">
        <v>176</v>
      </c>
      <c r="C442" s="1128">
        <v>0</v>
      </c>
      <c r="D442" s="1128">
        <v>99.18</v>
      </c>
      <c r="E442" s="1126"/>
    </row>
    <row r="443" spans="1:5" x14ac:dyDescent="0.2">
      <c r="A443" s="1126" t="s">
        <v>1025</v>
      </c>
      <c r="B443" s="1127">
        <v>205</v>
      </c>
      <c r="C443" s="1128">
        <v>0</v>
      </c>
      <c r="D443" s="1128">
        <v>33.31</v>
      </c>
      <c r="E443" s="1126"/>
    </row>
    <row r="444" spans="1:5" x14ac:dyDescent="0.2">
      <c r="A444" s="1126" t="s">
        <v>1026</v>
      </c>
      <c r="B444" s="1127">
        <v>334</v>
      </c>
      <c r="C444" s="1128">
        <v>0</v>
      </c>
      <c r="D444" s="1128">
        <v>65.16</v>
      </c>
      <c r="E444" s="1126"/>
    </row>
    <row r="445" spans="1:5" x14ac:dyDescent="0.2">
      <c r="A445" s="1126" t="s">
        <v>1027</v>
      </c>
      <c r="B445" s="1127">
        <v>133</v>
      </c>
      <c r="C445" s="1128">
        <v>0</v>
      </c>
      <c r="D445" s="1128">
        <v>40.380000000000003</v>
      </c>
      <c r="E445" s="1126"/>
    </row>
    <row r="446" spans="1:5" x14ac:dyDescent="0.2">
      <c r="A446" s="1126" t="s">
        <v>1028</v>
      </c>
      <c r="B446" s="1127">
        <v>77</v>
      </c>
      <c r="C446" s="1128">
        <v>0</v>
      </c>
      <c r="D446" s="1128">
        <v>17.149999999999999</v>
      </c>
      <c r="E446" s="1126"/>
    </row>
    <row r="447" spans="1:5" x14ac:dyDescent="0.2">
      <c r="A447" s="1126" t="s">
        <v>1029</v>
      </c>
      <c r="B447" s="1127">
        <v>156</v>
      </c>
      <c r="C447" s="1128">
        <v>31.53</v>
      </c>
      <c r="D447" s="1128">
        <v>138.76</v>
      </c>
      <c r="E447" s="1126"/>
    </row>
    <row r="448" spans="1:5" x14ac:dyDescent="0.2">
      <c r="A448" s="1126" t="s">
        <v>1030</v>
      </c>
      <c r="B448" s="1127">
        <v>654</v>
      </c>
      <c r="C448" s="1128">
        <v>0</v>
      </c>
      <c r="D448" s="1128">
        <v>146.74</v>
      </c>
      <c r="E448" s="1126"/>
    </row>
    <row r="449" spans="1:5" x14ac:dyDescent="0.2">
      <c r="A449" s="1126" t="s">
        <v>1031</v>
      </c>
      <c r="B449" s="1127">
        <v>73</v>
      </c>
      <c r="C449" s="1128">
        <v>0</v>
      </c>
      <c r="D449" s="1128">
        <v>6.66</v>
      </c>
      <c r="E449" s="1126"/>
    </row>
    <row r="450" spans="1:5" x14ac:dyDescent="0.2">
      <c r="A450" s="1126" t="s">
        <v>1032</v>
      </c>
      <c r="B450" s="1127">
        <v>471</v>
      </c>
      <c r="C450" s="1128">
        <v>0</v>
      </c>
      <c r="D450" s="1128">
        <v>208.68</v>
      </c>
      <c r="E450" s="1126"/>
    </row>
    <row r="451" spans="1:5" x14ac:dyDescent="0.2">
      <c r="A451" s="1126" t="s">
        <v>1033</v>
      </c>
      <c r="B451" s="1127">
        <v>131</v>
      </c>
      <c r="C451" s="1128">
        <v>0</v>
      </c>
      <c r="D451" s="1128">
        <v>4.5</v>
      </c>
      <c r="E451" s="1126"/>
    </row>
    <row r="452" spans="1:5" x14ac:dyDescent="0.2">
      <c r="A452" s="1126" t="s">
        <v>1034</v>
      </c>
      <c r="B452" s="1127">
        <v>46</v>
      </c>
      <c r="C452" s="1128">
        <v>15.94</v>
      </c>
      <c r="D452" s="1128">
        <v>47.56</v>
      </c>
      <c r="E452" s="1126"/>
    </row>
    <row r="453" spans="1:5" x14ac:dyDescent="0.2">
      <c r="A453" s="1126" t="s">
        <v>1035</v>
      </c>
      <c r="B453" s="1127">
        <v>76</v>
      </c>
      <c r="C453" s="1128">
        <v>0</v>
      </c>
      <c r="D453" s="1128">
        <v>27.02</v>
      </c>
      <c r="E453" s="1126"/>
    </row>
    <row r="454" spans="1:5" x14ac:dyDescent="0.2">
      <c r="A454" s="1126" t="s">
        <v>1036</v>
      </c>
      <c r="B454" s="1127">
        <v>344</v>
      </c>
      <c r="C454" s="1128">
        <v>0</v>
      </c>
      <c r="D454" s="1128">
        <v>5.44</v>
      </c>
      <c r="E454" s="1126"/>
    </row>
    <row r="455" spans="1:5" x14ac:dyDescent="0.2">
      <c r="A455" s="1126" t="s">
        <v>1037</v>
      </c>
      <c r="B455" s="1127">
        <v>78</v>
      </c>
      <c r="C455" s="1128">
        <v>0</v>
      </c>
      <c r="D455" s="1128">
        <v>9.44</v>
      </c>
      <c r="E455" s="1126"/>
    </row>
    <row r="456" spans="1:5" x14ac:dyDescent="0.2">
      <c r="A456" s="1126" t="s">
        <v>1038</v>
      </c>
      <c r="B456" s="1127">
        <v>35</v>
      </c>
      <c r="C456" s="1128">
        <v>0</v>
      </c>
      <c r="D456" s="1128">
        <v>14.72</v>
      </c>
      <c r="E456" s="1126" t="s">
        <v>669</v>
      </c>
    </row>
    <row r="457" spans="1:5" x14ac:dyDescent="0.2">
      <c r="A457" s="1126" t="s">
        <v>1039</v>
      </c>
      <c r="B457" s="1127">
        <v>243</v>
      </c>
      <c r="C457" s="1128">
        <v>0</v>
      </c>
      <c r="D457" s="1128">
        <v>104.03</v>
      </c>
      <c r="E457" s="1126"/>
    </row>
    <row r="458" spans="1:5" x14ac:dyDescent="0.2">
      <c r="A458" s="1126" t="s">
        <v>1040</v>
      </c>
      <c r="B458" s="1127">
        <v>189</v>
      </c>
      <c r="C458" s="1128">
        <v>0</v>
      </c>
      <c r="D458" s="1128">
        <v>90.2</v>
      </c>
      <c r="E458" s="1126"/>
    </row>
    <row r="459" spans="1:5" x14ac:dyDescent="0.2">
      <c r="A459" s="1126" t="s">
        <v>1041</v>
      </c>
      <c r="B459" s="1127">
        <v>28</v>
      </c>
      <c r="C459" s="1128">
        <v>0</v>
      </c>
      <c r="D459" s="1128">
        <v>17.03</v>
      </c>
      <c r="E459" s="1126" t="s">
        <v>669</v>
      </c>
    </row>
    <row r="460" spans="1:5" x14ac:dyDescent="0.2">
      <c r="A460" s="1126" t="s">
        <v>1042</v>
      </c>
      <c r="B460" s="1127">
        <v>45</v>
      </c>
      <c r="C460" s="1128">
        <v>4.38</v>
      </c>
      <c r="D460" s="1128">
        <v>35.31</v>
      </c>
      <c r="E460" s="1126"/>
    </row>
    <row r="461" spans="1:5" x14ac:dyDescent="0.2">
      <c r="A461" s="1126" t="s">
        <v>1043</v>
      </c>
      <c r="B461" s="1127">
        <v>43</v>
      </c>
      <c r="C461" s="1128">
        <v>57.6</v>
      </c>
      <c r="D461" s="1128">
        <v>87.16</v>
      </c>
      <c r="E461" s="1126"/>
    </row>
    <row r="462" spans="1:5" x14ac:dyDescent="0.2">
      <c r="A462" s="1126" t="s">
        <v>1044</v>
      </c>
      <c r="B462" s="1127">
        <v>140</v>
      </c>
      <c r="C462" s="1128">
        <v>0</v>
      </c>
      <c r="D462" s="1128">
        <v>42.58</v>
      </c>
      <c r="E462" s="1126"/>
    </row>
    <row r="463" spans="1:5" x14ac:dyDescent="0.2">
      <c r="A463" s="1126" t="s">
        <v>1045</v>
      </c>
      <c r="B463" s="1127">
        <v>231</v>
      </c>
      <c r="C463" s="1128">
        <v>0</v>
      </c>
      <c r="D463" s="1128">
        <v>76.88</v>
      </c>
      <c r="E463" s="1126"/>
    </row>
    <row r="464" spans="1:5" x14ac:dyDescent="0.2">
      <c r="A464" s="1126" t="s">
        <v>1046</v>
      </c>
      <c r="B464" s="1127">
        <v>237</v>
      </c>
      <c r="C464" s="1128">
        <v>0</v>
      </c>
      <c r="D464" s="1128">
        <v>4.93</v>
      </c>
      <c r="E464" s="1126"/>
    </row>
    <row r="465" spans="1:5" x14ac:dyDescent="0.2">
      <c r="A465" s="1126" t="s">
        <v>1047</v>
      </c>
      <c r="B465" s="1127">
        <v>125</v>
      </c>
      <c r="C465" s="1128">
        <v>29.27</v>
      </c>
      <c r="D465" s="1128">
        <v>115.19</v>
      </c>
      <c r="E465" s="1126"/>
    </row>
    <row r="466" spans="1:5" x14ac:dyDescent="0.2">
      <c r="A466" s="1126" t="s">
        <v>1048</v>
      </c>
      <c r="B466" s="1127">
        <v>433</v>
      </c>
      <c r="C466" s="1128">
        <v>0</v>
      </c>
      <c r="D466" s="1128">
        <v>47.19</v>
      </c>
      <c r="E466" s="1126"/>
    </row>
    <row r="467" spans="1:5" x14ac:dyDescent="0.2">
      <c r="A467" s="1126" t="s">
        <v>1049</v>
      </c>
      <c r="B467" s="1127">
        <v>84</v>
      </c>
      <c r="C467" s="1128">
        <v>2.63</v>
      </c>
      <c r="D467" s="1128">
        <v>60.37</v>
      </c>
      <c r="E467" s="1126"/>
    </row>
    <row r="468" spans="1:5" x14ac:dyDescent="0.2">
      <c r="A468" s="1126" t="s">
        <v>1050</v>
      </c>
      <c r="B468" s="1127">
        <v>53</v>
      </c>
      <c r="C468" s="1128">
        <v>0</v>
      </c>
      <c r="D468" s="1128">
        <v>28.64</v>
      </c>
      <c r="E468" s="1126"/>
    </row>
    <row r="469" spans="1:5" x14ac:dyDescent="0.2">
      <c r="A469" s="1126" t="s">
        <v>1051</v>
      </c>
      <c r="B469" s="1127">
        <v>251</v>
      </c>
      <c r="C469" s="1128">
        <v>0</v>
      </c>
      <c r="D469" s="1128">
        <v>58.36</v>
      </c>
      <c r="E469" s="1126"/>
    </row>
    <row r="470" spans="1:5" x14ac:dyDescent="0.2">
      <c r="A470" s="1126" t="s">
        <v>1052</v>
      </c>
      <c r="B470" s="1127">
        <v>319</v>
      </c>
      <c r="C470" s="1128">
        <v>0</v>
      </c>
      <c r="D470" s="1128">
        <v>17.18</v>
      </c>
      <c r="E470" s="1126"/>
    </row>
    <row r="471" spans="1:5" x14ac:dyDescent="0.2">
      <c r="A471" s="1126" t="s">
        <v>1053</v>
      </c>
      <c r="B471" s="1127">
        <v>365</v>
      </c>
      <c r="C471" s="1128">
        <v>0</v>
      </c>
      <c r="D471" s="1128">
        <v>79.67</v>
      </c>
      <c r="E471" s="1126"/>
    </row>
    <row r="472" spans="1:5" x14ac:dyDescent="0.2">
      <c r="A472" s="1126" t="s">
        <v>1054</v>
      </c>
      <c r="B472" s="1127">
        <v>114</v>
      </c>
      <c r="C472" s="1128">
        <v>0</v>
      </c>
      <c r="D472" s="1128">
        <v>69.569999999999993</v>
      </c>
      <c r="E472" s="1126"/>
    </row>
    <row r="473" spans="1:5" x14ac:dyDescent="0.2">
      <c r="A473" s="1126" t="s">
        <v>1055</v>
      </c>
      <c r="B473" s="1127">
        <v>129</v>
      </c>
      <c r="C473" s="1128">
        <v>0</v>
      </c>
      <c r="D473" s="1128">
        <v>47.47</v>
      </c>
      <c r="E473" s="1126"/>
    </row>
    <row r="474" spans="1:5" x14ac:dyDescent="0.2">
      <c r="A474" s="1126" t="s">
        <v>1056</v>
      </c>
      <c r="B474" s="1127">
        <v>113</v>
      </c>
      <c r="C474" s="1128">
        <v>274.52</v>
      </c>
      <c r="D474" s="1128">
        <v>352.2</v>
      </c>
      <c r="E474" s="1126"/>
    </row>
    <row r="475" spans="1:5" x14ac:dyDescent="0.2">
      <c r="A475" s="1126" t="s">
        <v>1057</v>
      </c>
      <c r="B475" s="1127">
        <v>110</v>
      </c>
      <c r="C475" s="1128">
        <v>0</v>
      </c>
      <c r="D475" s="1128">
        <v>9.4</v>
      </c>
      <c r="E475" s="1126"/>
    </row>
    <row r="476" spans="1:5" x14ac:dyDescent="0.2">
      <c r="A476" s="1126" t="s">
        <v>1058</v>
      </c>
      <c r="B476" s="1127">
        <v>72</v>
      </c>
      <c r="C476" s="1128">
        <v>4.18</v>
      </c>
      <c r="D476" s="1128">
        <v>53.67</v>
      </c>
      <c r="E476" s="1126"/>
    </row>
    <row r="477" spans="1:5" x14ac:dyDescent="0.2">
      <c r="A477" s="1126" t="s">
        <v>1059</v>
      </c>
      <c r="B477" s="1127">
        <v>612</v>
      </c>
      <c r="C477" s="1128">
        <v>0</v>
      </c>
      <c r="D477" s="1128">
        <v>183.17</v>
      </c>
      <c r="E477" s="1126"/>
    </row>
    <row r="478" spans="1:5" x14ac:dyDescent="0.2">
      <c r="A478" s="1126" t="s">
        <v>1060</v>
      </c>
      <c r="B478" s="1127">
        <v>73</v>
      </c>
      <c r="C478" s="1128">
        <v>7.79</v>
      </c>
      <c r="D478" s="1128">
        <v>57.97</v>
      </c>
      <c r="E478" s="1126"/>
    </row>
    <row r="479" spans="1:5" x14ac:dyDescent="0.2">
      <c r="A479" s="1126" t="s">
        <v>1061</v>
      </c>
      <c r="B479" s="1127">
        <v>73</v>
      </c>
      <c r="C479" s="1128">
        <v>0</v>
      </c>
      <c r="D479" s="1128">
        <v>20.85</v>
      </c>
      <c r="E479" s="1126"/>
    </row>
    <row r="480" spans="1:5" x14ac:dyDescent="0.2">
      <c r="A480" s="1126" t="s">
        <v>1062</v>
      </c>
      <c r="B480" s="1127">
        <v>144</v>
      </c>
      <c r="C480" s="1128">
        <v>177.06</v>
      </c>
      <c r="D480" s="1128">
        <v>276.04000000000002</v>
      </c>
      <c r="E480" s="1126"/>
    </row>
    <row r="481" spans="1:5" x14ac:dyDescent="0.2">
      <c r="A481" s="1126" t="s">
        <v>1063</v>
      </c>
      <c r="B481" s="1127">
        <v>56</v>
      </c>
      <c r="C481" s="1128">
        <v>0</v>
      </c>
      <c r="D481" s="1128">
        <v>31.18</v>
      </c>
      <c r="E481" s="1126"/>
    </row>
    <row r="482" spans="1:5" x14ac:dyDescent="0.2">
      <c r="A482" s="1126" t="s">
        <v>1064</v>
      </c>
      <c r="B482" s="1127">
        <v>448</v>
      </c>
      <c r="C482" s="1128">
        <v>0</v>
      </c>
      <c r="D482" s="1128">
        <v>251.78</v>
      </c>
      <c r="E482" s="1126"/>
    </row>
    <row r="483" spans="1:5" x14ac:dyDescent="0.2">
      <c r="A483" s="1126" t="s">
        <v>1065</v>
      </c>
      <c r="B483" s="1127">
        <v>94</v>
      </c>
      <c r="C483" s="1128">
        <v>3.7</v>
      </c>
      <c r="D483" s="1128">
        <v>68.31</v>
      </c>
      <c r="E483" s="1126"/>
    </row>
    <row r="484" spans="1:5" x14ac:dyDescent="0.2">
      <c r="A484" s="1126" t="s">
        <v>1066</v>
      </c>
      <c r="B484" s="1127">
        <v>311</v>
      </c>
      <c r="C484" s="1128">
        <v>0</v>
      </c>
      <c r="D484" s="1128">
        <v>156.74</v>
      </c>
      <c r="E484" s="1126"/>
    </row>
    <row r="485" spans="1:5" x14ac:dyDescent="0.2">
      <c r="A485" s="1126" t="s">
        <v>1067</v>
      </c>
      <c r="B485" s="1127">
        <v>118</v>
      </c>
      <c r="C485" s="1128">
        <v>3.71</v>
      </c>
      <c r="D485" s="1128">
        <v>84.82</v>
      </c>
      <c r="E485" s="1126"/>
    </row>
    <row r="486" spans="1:5" x14ac:dyDescent="0.2">
      <c r="A486" s="1126" t="s">
        <v>1068</v>
      </c>
      <c r="B486" s="1127">
        <v>44</v>
      </c>
      <c r="C486" s="1128">
        <v>0</v>
      </c>
      <c r="D486" s="1128">
        <v>11.8</v>
      </c>
      <c r="E486" s="1126"/>
    </row>
    <row r="487" spans="1:5" x14ac:dyDescent="0.2">
      <c r="A487" s="1126" t="s">
        <v>1069</v>
      </c>
      <c r="B487" s="1127">
        <v>178</v>
      </c>
      <c r="C487" s="1128">
        <v>187.31</v>
      </c>
      <c r="D487" s="1128">
        <v>309.67</v>
      </c>
      <c r="E487" s="1126"/>
    </row>
    <row r="488" spans="1:5" x14ac:dyDescent="0.2">
      <c r="A488" s="1126" t="s">
        <v>1070</v>
      </c>
      <c r="B488" s="1127">
        <v>118</v>
      </c>
      <c r="C488" s="1128">
        <v>0</v>
      </c>
      <c r="D488" s="1128">
        <v>20</v>
      </c>
      <c r="E488" s="1126"/>
    </row>
    <row r="489" spans="1:5" x14ac:dyDescent="0.2">
      <c r="A489" s="1126" t="s">
        <v>1071</v>
      </c>
      <c r="B489" s="1127">
        <v>208</v>
      </c>
      <c r="C489" s="1128">
        <v>0</v>
      </c>
      <c r="D489" s="1128">
        <v>81.75</v>
      </c>
      <c r="E489" s="1126"/>
    </row>
    <row r="490" spans="1:5" x14ac:dyDescent="0.2">
      <c r="A490" s="1126" t="s">
        <v>1072</v>
      </c>
      <c r="B490" s="1127">
        <v>144</v>
      </c>
      <c r="C490" s="1128">
        <v>3.82</v>
      </c>
      <c r="D490" s="1128">
        <v>102.8</v>
      </c>
      <c r="E490" s="1126"/>
    </row>
    <row r="491" spans="1:5" x14ac:dyDescent="0.2">
      <c r="A491" s="1126" t="s">
        <v>1073</v>
      </c>
      <c r="B491" s="1127">
        <v>302</v>
      </c>
      <c r="C491" s="1128">
        <v>0</v>
      </c>
      <c r="D491" s="1128">
        <v>47.96</v>
      </c>
      <c r="E491" s="1126"/>
    </row>
    <row r="492" spans="1:5" x14ac:dyDescent="0.2">
      <c r="A492" s="1126" t="s">
        <v>1074</v>
      </c>
      <c r="B492" s="1127">
        <v>70</v>
      </c>
      <c r="C492" s="1128">
        <v>0</v>
      </c>
      <c r="D492" s="1128">
        <v>29.02</v>
      </c>
      <c r="E492" s="1126"/>
    </row>
    <row r="493" spans="1:5" x14ac:dyDescent="0.2">
      <c r="A493" s="1126" t="s">
        <v>1075</v>
      </c>
      <c r="B493" s="1127">
        <v>126</v>
      </c>
      <c r="C493" s="1128">
        <v>51.91</v>
      </c>
      <c r="D493" s="1128">
        <v>138.52000000000001</v>
      </c>
      <c r="E493" s="1126"/>
    </row>
    <row r="494" spans="1:5" x14ac:dyDescent="0.2">
      <c r="A494" s="1126" t="s">
        <v>1076</v>
      </c>
      <c r="B494" s="1127">
        <v>41</v>
      </c>
      <c r="C494" s="1128">
        <v>17.05</v>
      </c>
      <c r="D494" s="1128">
        <v>45.23</v>
      </c>
      <c r="E494" s="1126"/>
    </row>
    <row r="495" spans="1:5" x14ac:dyDescent="0.2">
      <c r="A495" s="1126" t="s">
        <v>1077</v>
      </c>
      <c r="B495" s="1127">
        <v>286</v>
      </c>
      <c r="C495" s="1128">
        <v>8.8699999999999992</v>
      </c>
      <c r="D495" s="1128">
        <v>205.45</v>
      </c>
      <c r="E495" s="1126"/>
    </row>
    <row r="496" spans="1:5" x14ac:dyDescent="0.2">
      <c r="A496" s="1126" t="s">
        <v>1078</v>
      </c>
      <c r="B496" s="1127">
        <v>151</v>
      </c>
      <c r="C496" s="1128">
        <v>0</v>
      </c>
      <c r="D496" s="1128">
        <v>32.35</v>
      </c>
      <c r="E496" s="1126"/>
    </row>
    <row r="497" spans="1:5" x14ac:dyDescent="0.2">
      <c r="A497" s="1126" t="s">
        <v>1079</v>
      </c>
      <c r="B497" s="1127">
        <v>65</v>
      </c>
      <c r="C497" s="1128">
        <v>0</v>
      </c>
      <c r="D497" s="1128">
        <v>17.12</v>
      </c>
      <c r="E497" s="1126"/>
    </row>
    <row r="498" spans="1:5" x14ac:dyDescent="0.2">
      <c r="A498" s="1126" t="s">
        <v>1080</v>
      </c>
      <c r="B498" s="1127">
        <v>165</v>
      </c>
      <c r="C498" s="1128">
        <v>0</v>
      </c>
      <c r="D498" s="1128">
        <v>14.03</v>
      </c>
      <c r="E498" s="1126"/>
    </row>
    <row r="499" spans="1:5" x14ac:dyDescent="0.2">
      <c r="A499" s="1126" t="s">
        <v>1081</v>
      </c>
      <c r="B499" s="1127">
        <v>425</v>
      </c>
      <c r="C499" s="1128">
        <v>0</v>
      </c>
      <c r="D499" s="1128">
        <v>159.63</v>
      </c>
      <c r="E499" s="1126"/>
    </row>
    <row r="500" spans="1:5" x14ac:dyDescent="0.2">
      <c r="A500" s="1126" t="s">
        <v>1082</v>
      </c>
      <c r="B500" s="1127">
        <v>220</v>
      </c>
      <c r="C500" s="1128">
        <v>0</v>
      </c>
      <c r="D500" s="1128">
        <v>102.81</v>
      </c>
      <c r="E500" s="1126"/>
    </row>
    <row r="501" spans="1:5" x14ac:dyDescent="0.2">
      <c r="A501" s="1126" t="s">
        <v>1083</v>
      </c>
      <c r="B501" s="1127">
        <v>242</v>
      </c>
      <c r="C501" s="1128">
        <v>0</v>
      </c>
      <c r="D501" s="1128">
        <v>0</v>
      </c>
      <c r="E501" s="1126"/>
    </row>
    <row r="502" spans="1:5" x14ac:dyDescent="0.2">
      <c r="A502" s="1126" t="s">
        <v>1084</v>
      </c>
      <c r="B502" s="1127">
        <v>268</v>
      </c>
      <c r="C502" s="1128">
        <v>0</v>
      </c>
      <c r="D502" s="1128">
        <v>41.32</v>
      </c>
      <c r="E502" s="1126"/>
    </row>
    <row r="503" spans="1:5" x14ac:dyDescent="0.2">
      <c r="A503" s="1126" t="s">
        <v>1085</v>
      </c>
      <c r="B503" s="1127">
        <v>137</v>
      </c>
      <c r="C503" s="1128">
        <v>29.17</v>
      </c>
      <c r="D503" s="1128">
        <v>123.33</v>
      </c>
      <c r="E503" s="1126"/>
    </row>
    <row r="504" spans="1:5" x14ac:dyDescent="0.2">
      <c r="A504" s="1126" t="s">
        <v>1086</v>
      </c>
      <c r="B504" s="1127">
        <v>363</v>
      </c>
      <c r="C504" s="1128">
        <v>0</v>
      </c>
      <c r="D504" s="1128">
        <v>4.4800000000000004</v>
      </c>
      <c r="E504" s="1126"/>
    </row>
    <row r="505" spans="1:5" x14ac:dyDescent="0.2">
      <c r="A505" s="1126" t="s">
        <v>1087</v>
      </c>
      <c r="B505" s="1127">
        <v>185</v>
      </c>
      <c r="C505" s="1128">
        <v>0</v>
      </c>
      <c r="D505" s="1128">
        <v>0</v>
      </c>
      <c r="E505" s="1126"/>
    </row>
    <row r="506" spans="1:5" x14ac:dyDescent="0.2">
      <c r="A506" s="1126" t="s">
        <v>1088</v>
      </c>
      <c r="B506" s="1127">
        <v>154</v>
      </c>
      <c r="C506" s="1128">
        <v>0</v>
      </c>
      <c r="D506" s="1128">
        <v>31.26</v>
      </c>
      <c r="E506" s="1126"/>
    </row>
    <row r="507" spans="1:5" x14ac:dyDescent="0.2">
      <c r="A507" s="1126" t="s">
        <v>1089</v>
      </c>
      <c r="B507" s="1127">
        <v>58</v>
      </c>
      <c r="C507" s="1128">
        <v>0</v>
      </c>
      <c r="D507" s="1128">
        <v>5.81</v>
      </c>
      <c r="E507" s="1126"/>
    </row>
    <row r="508" spans="1:5" x14ac:dyDescent="0.2">
      <c r="A508" s="1126" t="s">
        <v>1090</v>
      </c>
      <c r="B508" s="1127">
        <v>153</v>
      </c>
      <c r="C508" s="1128">
        <v>0</v>
      </c>
      <c r="D508" s="1128">
        <v>66.2</v>
      </c>
      <c r="E508" s="1126"/>
    </row>
    <row r="509" spans="1:5" x14ac:dyDescent="0.2">
      <c r="A509" s="1126" t="s">
        <v>1091</v>
      </c>
      <c r="B509" s="1127">
        <v>272</v>
      </c>
      <c r="C509" s="1128">
        <v>0</v>
      </c>
      <c r="D509" s="1128">
        <v>42.02</v>
      </c>
      <c r="E509" s="1126"/>
    </row>
    <row r="510" spans="1:5" x14ac:dyDescent="0.2">
      <c r="A510" s="1126" t="s">
        <v>1092</v>
      </c>
      <c r="B510" s="1127">
        <v>98</v>
      </c>
      <c r="C510" s="1128">
        <v>0</v>
      </c>
      <c r="D510" s="1128">
        <v>34.770000000000003</v>
      </c>
      <c r="E510" s="1126"/>
    </row>
    <row r="511" spans="1:5" x14ac:dyDescent="0.2">
      <c r="A511" s="1126" t="s">
        <v>1093</v>
      </c>
      <c r="B511" s="1127">
        <v>42</v>
      </c>
      <c r="C511" s="1128">
        <v>0</v>
      </c>
      <c r="D511" s="1128">
        <v>4.4000000000000004</v>
      </c>
      <c r="E511" s="1126"/>
    </row>
    <row r="512" spans="1:5" x14ac:dyDescent="0.2">
      <c r="A512" s="1126" t="s">
        <v>1094</v>
      </c>
      <c r="B512" s="1127">
        <v>286</v>
      </c>
      <c r="C512" s="1128">
        <v>13.62</v>
      </c>
      <c r="D512" s="1128">
        <v>210.2</v>
      </c>
      <c r="E512" s="1126"/>
    </row>
    <row r="513" spans="1:5" x14ac:dyDescent="0.2">
      <c r="A513" s="1126" t="s">
        <v>1095</v>
      </c>
      <c r="B513" s="1127">
        <v>190</v>
      </c>
      <c r="C513" s="1128">
        <v>4.45</v>
      </c>
      <c r="D513" s="1128">
        <v>135.05000000000001</v>
      </c>
      <c r="E513" s="1126"/>
    </row>
    <row r="514" spans="1:5" x14ac:dyDescent="0.2">
      <c r="A514" s="1126" t="s">
        <v>1096</v>
      </c>
      <c r="B514" s="1127">
        <v>282</v>
      </c>
      <c r="C514" s="1128">
        <v>0</v>
      </c>
      <c r="D514" s="1128">
        <v>45.33</v>
      </c>
      <c r="E514" s="1126"/>
    </row>
    <row r="515" spans="1:5" x14ac:dyDescent="0.2">
      <c r="A515" s="1126" t="s">
        <v>1097</v>
      </c>
      <c r="B515" s="1127">
        <v>216</v>
      </c>
      <c r="C515" s="1128">
        <v>0</v>
      </c>
      <c r="D515" s="1128">
        <v>19.78</v>
      </c>
      <c r="E515" s="1126"/>
    </row>
    <row r="516" spans="1:5" x14ac:dyDescent="0.2">
      <c r="A516" s="1126" t="s">
        <v>1098</v>
      </c>
      <c r="B516" s="1127">
        <v>35</v>
      </c>
      <c r="C516" s="1128">
        <v>0</v>
      </c>
      <c r="D516" s="1128">
        <v>0</v>
      </c>
      <c r="E516" s="1126" t="s">
        <v>669</v>
      </c>
    </row>
    <row r="517" spans="1:5" x14ac:dyDescent="0.2">
      <c r="A517" s="1126" t="s">
        <v>1099</v>
      </c>
      <c r="B517" s="1127">
        <v>221</v>
      </c>
      <c r="C517" s="1128">
        <v>0</v>
      </c>
      <c r="D517" s="1128">
        <v>73.489999999999995</v>
      </c>
      <c r="E517" s="1126"/>
    </row>
    <row r="518" spans="1:5" x14ac:dyDescent="0.2">
      <c r="A518" s="1126" t="s">
        <v>1100</v>
      </c>
      <c r="B518" s="1127">
        <v>203</v>
      </c>
      <c r="C518" s="1128">
        <v>0</v>
      </c>
      <c r="D518" s="1128">
        <v>106.44</v>
      </c>
      <c r="E518" s="1126"/>
    </row>
    <row r="519" spans="1:5" x14ac:dyDescent="0.2">
      <c r="A519" s="1126" t="s">
        <v>1101</v>
      </c>
      <c r="B519" s="1127">
        <v>231</v>
      </c>
      <c r="C519" s="1128">
        <v>0</v>
      </c>
      <c r="D519" s="1128">
        <v>69.83</v>
      </c>
      <c r="E519" s="1126"/>
    </row>
    <row r="520" spans="1:5" x14ac:dyDescent="0.2">
      <c r="A520" s="1126" t="s">
        <v>1102</v>
      </c>
      <c r="B520" s="1127">
        <v>64</v>
      </c>
      <c r="C520" s="1128">
        <v>0</v>
      </c>
      <c r="D520" s="1128">
        <v>0</v>
      </c>
      <c r="E520" s="1126"/>
    </row>
    <row r="521" spans="1:5" x14ac:dyDescent="0.2">
      <c r="A521" s="1126" t="s">
        <v>1103</v>
      </c>
      <c r="B521" s="1127">
        <v>295</v>
      </c>
      <c r="C521" s="1128">
        <v>0</v>
      </c>
      <c r="D521" s="1128">
        <v>29.93</v>
      </c>
      <c r="E521" s="1126"/>
    </row>
    <row r="522" spans="1:5" x14ac:dyDescent="0.2">
      <c r="A522" s="1126" t="s">
        <v>1104</v>
      </c>
      <c r="B522" s="1127">
        <v>139</v>
      </c>
      <c r="C522" s="1128">
        <v>4.7699999999999996</v>
      </c>
      <c r="D522" s="1128">
        <v>100.31</v>
      </c>
      <c r="E522" s="1126"/>
    </row>
    <row r="523" spans="1:5" x14ac:dyDescent="0.2">
      <c r="A523" s="1126" t="s">
        <v>1105</v>
      </c>
      <c r="B523" s="1127">
        <v>167</v>
      </c>
      <c r="C523" s="1128">
        <v>429.88</v>
      </c>
      <c r="D523" s="1128">
        <v>544.66999999999996</v>
      </c>
      <c r="E523" s="1126"/>
    </row>
    <row r="524" spans="1:5" x14ac:dyDescent="0.2">
      <c r="A524" s="1126" t="s">
        <v>1106</v>
      </c>
      <c r="B524" s="1127">
        <v>123</v>
      </c>
      <c r="C524" s="1128">
        <v>32.17</v>
      </c>
      <c r="D524" s="1128">
        <v>116.72</v>
      </c>
      <c r="E524" s="1126"/>
    </row>
    <row r="525" spans="1:5" x14ac:dyDescent="0.2">
      <c r="A525" s="1126" t="s">
        <v>1107</v>
      </c>
      <c r="B525" s="1127">
        <v>123</v>
      </c>
      <c r="C525" s="1128">
        <v>0</v>
      </c>
      <c r="D525" s="1128">
        <v>43.83</v>
      </c>
      <c r="E525" s="1126"/>
    </row>
    <row r="526" spans="1:5" x14ac:dyDescent="0.2">
      <c r="A526" s="1126" t="s">
        <v>1108</v>
      </c>
      <c r="B526" s="1127">
        <v>178</v>
      </c>
      <c r="C526" s="1128">
        <v>0</v>
      </c>
      <c r="D526" s="1128">
        <v>113.6</v>
      </c>
      <c r="E526" s="1126"/>
    </row>
    <row r="527" spans="1:5" x14ac:dyDescent="0.2">
      <c r="A527" s="1126" t="s">
        <v>1109</v>
      </c>
      <c r="B527" s="1127">
        <v>94</v>
      </c>
      <c r="C527" s="1128">
        <v>0</v>
      </c>
      <c r="D527" s="1128">
        <v>26.17</v>
      </c>
      <c r="E527" s="1126"/>
    </row>
    <row r="528" spans="1:5" x14ac:dyDescent="0.2">
      <c r="A528" s="1126" t="s">
        <v>1110</v>
      </c>
      <c r="B528" s="1127">
        <v>146</v>
      </c>
      <c r="C528" s="1128">
        <v>0</v>
      </c>
      <c r="D528" s="1128">
        <v>90.03</v>
      </c>
      <c r="E528" s="1126"/>
    </row>
    <row r="529" spans="1:5" x14ac:dyDescent="0.2">
      <c r="A529" s="1126" t="s">
        <v>1111</v>
      </c>
      <c r="B529" s="1127">
        <v>182</v>
      </c>
      <c r="C529" s="1128">
        <v>0</v>
      </c>
      <c r="D529" s="1128">
        <v>42.27</v>
      </c>
      <c r="E529" s="1126"/>
    </row>
    <row r="530" spans="1:5" x14ac:dyDescent="0.2">
      <c r="A530" s="1126" t="s">
        <v>1112</v>
      </c>
      <c r="B530" s="1127">
        <v>155</v>
      </c>
      <c r="C530" s="1128">
        <v>0</v>
      </c>
      <c r="D530" s="1128">
        <v>52.08</v>
      </c>
      <c r="E530" s="1126"/>
    </row>
    <row r="531" spans="1:5" x14ac:dyDescent="0.2">
      <c r="A531" s="1126" t="s">
        <v>1113</v>
      </c>
      <c r="B531" s="1127">
        <v>195</v>
      </c>
      <c r="C531" s="1128">
        <v>0</v>
      </c>
      <c r="D531" s="1128">
        <v>0</v>
      </c>
      <c r="E531" s="1126"/>
    </row>
    <row r="532" spans="1:5" x14ac:dyDescent="0.2">
      <c r="A532" s="1126" t="s">
        <v>1114</v>
      </c>
      <c r="B532" s="1127">
        <v>207</v>
      </c>
      <c r="C532" s="1128">
        <v>0</v>
      </c>
      <c r="D532" s="1128">
        <v>39.58</v>
      </c>
      <c r="E532" s="1126"/>
    </row>
    <row r="533" spans="1:5" x14ac:dyDescent="0.2">
      <c r="A533" s="1126" t="s">
        <v>1115</v>
      </c>
      <c r="B533" s="1127">
        <v>439</v>
      </c>
      <c r="C533" s="1128">
        <v>0</v>
      </c>
      <c r="D533" s="1128">
        <v>205.74</v>
      </c>
      <c r="E533" s="1126"/>
    </row>
    <row r="534" spans="1:5" x14ac:dyDescent="0.2">
      <c r="A534" s="1126" t="s">
        <v>1116</v>
      </c>
      <c r="B534" s="1127">
        <v>317</v>
      </c>
      <c r="C534" s="1128">
        <v>879.06</v>
      </c>
      <c r="D534" s="1128">
        <v>1096.95</v>
      </c>
      <c r="E534" s="1126"/>
    </row>
    <row r="535" spans="1:5" x14ac:dyDescent="0.2">
      <c r="A535" s="1126" t="s">
        <v>1117</v>
      </c>
      <c r="B535" s="1127">
        <v>276</v>
      </c>
      <c r="C535" s="1128">
        <v>332.88</v>
      </c>
      <c r="D535" s="1128">
        <v>522.6</v>
      </c>
      <c r="E535" s="1126"/>
    </row>
    <row r="536" spans="1:5" x14ac:dyDescent="0.2">
      <c r="A536" s="1126" t="s">
        <v>1118</v>
      </c>
      <c r="B536" s="1127">
        <v>346</v>
      </c>
      <c r="C536" s="1128">
        <v>0</v>
      </c>
      <c r="D536" s="1128">
        <v>67.12</v>
      </c>
      <c r="E536" s="1126"/>
    </row>
    <row r="537" spans="1:5" x14ac:dyDescent="0.2">
      <c r="A537" s="1126" t="s">
        <v>1119</v>
      </c>
      <c r="B537" s="1127">
        <v>220</v>
      </c>
      <c r="C537" s="1128">
        <v>0</v>
      </c>
      <c r="D537" s="1128">
        <v>4.53</v>
      </c>
      <c r="E537" s="1126"/>
    </row>
    <row r="538" spans="1:5" x14ac:dyDescent="0.2">
      <c r="A538" s="1126" t="s">
        <v>1120</v>
      </c>
      <c r="B538" s="1127">
        <v>71</v>
      </c>
      <c r="C538" s="1128">
        <v>0</v>
      </c>
      <c r="D538" s="1128">
        <v>25.38</v>
      </c>
      <c r="E538" s="1126"/>
    </row>
    <row r="539" spans="1:5" x14ac:dyDescent="0.2">
      <c r="A539" s="1126" t="s">
        <v>1121</v>
      </c>
      <c r="B539" s="1127">
        <v>140</v>
      </c>
      <c r="C539" s="1128">
        <v>0</v>
      </c>
      <c r="D539" s="1128">
        <v>59</v>
      </c>
      <c r="E539" s="1126"/>
    </row>
    <row r="540" spans="1:5" x14ac:dyDescent="0.2">
      <c r="A540" s="1126" t="s">
        <v>1122</v>
      </c>
      <c r="B540" s="1127">
        <v>35</v>
      </c>
      <c r="C540" s="1128">
        <v>43.29</v>
      </c>
      <c r="D540" s="1128">
        <v>67.349999999999994</v>
      </c>
      <c r="E540" s="1126" t="s">
        <v>669</v>
      </c>
    </row>
    <row r="541" spans="1:5" x14ac:dyDescent="0.2">
      <c r="A541" s="1126" t="s">
        <v>1123</v>
      </c>
      <c r="B541" s="1127">
        <v>180</v>
      </c>
      <c r="C541" s="1128">
        <v>0</v>
      </c>
      <c r="D541" s="1128">
        <v>73.33</v>
      </c>
      <c r="E541" s="1126"/>
    </row>
    <row r="542" spans="1:5" x14ac:dyDescent="0.2">
      <c r="A542" s="1126" t="s">
        <v>1124</v>
      </c>
      <c r="B542" s="1127">
        <v>134</v>
      </c>
      <c r="C542" s="1128">
        <v>0</v>
      </c>
      <c r="D542" s="1128">
        <v>40.869999999999997</v>
      </c>
      <c r="E542" s="1126"/>
    </row>
    <row r="543" spans="1:5" x14ac:dyDescent="0.2">
      <c r="A543" s="1126" t="s">
        <v>1125</v>
      </c>
      <c r="B543" s="1127">
        <v>68</v>
      </c>
      <c r="C543" s="1128">
        <v>0</v>
      </c>
      <c r="D543" s="1128">
        <v>0</v>
      </c>
      <c r="E543" s="1126"/>
    </row>
    <row r="544" spans="1:5" x14ac:dyDescent="0.2">
      <c r="A544" s="1126" t="s">
        <v>1126</v>
      </c>
      <c r="B544" s="1127">
        <v>165</v>
      </c>
      <c r="C544" s="1128">
        <v>0</v>
      </c>
      <c r="D544" s="1128">
        <v>70.34</v>
      </c>
      <c r="E544" s="1126"/>
    </row>
    <row r="545" spans="1:5" x14ac:dyDescent="0.2">
      <c r="A545" s="1126" t="s">
        <v>1127</v>
      </c>
      <c r="B545" s="1127">
        <v>251</v>
      </c>
      <c r="C545" s="1128">
        <v>99.6</v>
      </c>
      <c r="D545" s="1128">
        <v>272.12</v>
      </c>
      <c r="E545" s="1126"/>
    </row>
    <row r="546" spans="1:5" x14ac:dyDescent="0.2">
      <c r="A546" s="1126" t="s">
        <v>1128</v>
      </c>
      <c r="B546" s="1127">
        <v>108</v>
      </c>
      <c r="C546" s="1128">
        <v>14.78</v>
      </c>
      <c r="D546" s="1128">
        <v>89.01</v>
      </c>
      <c r="E546" s="1126"/>
    </row>
    <row r="547" spans="1:5" x14ac:dyDescent="0.2">
      <c r="A547" s="1126" t="s">
        <v>1129</v>
      </c>
      <c r="B547" s="1127">
        <v>397</v>
      </c>
      <c r="C547" s="1128">
        <v>0</v>
      </c>
      <c r="D547" s="1128">
        <v>57.17</v>
      </c>
      <c r="E547" s="1126"/>
    </row>
    <row r="548" spans="1:5" x14ac:dyDescent="0.2">
      <c r="A548" s="1126" t="s">
        <v>1130</v>
      </c>
      <c r="B548" s="1127">
        <v>171</v>
      </c>
      <c r="C548" s="1128">
        <v>0</v>
      </c>
      <c r="D548" s="1128">
        <v>62.26</v>
      </c>
      <c r="E548" s="1126"/>
    </row>
    <row r="549" spans="1:5" x14ac:dyDescent="0.2">
      <c r="A549" s="1126" t="s">
        <v>1131</v>
      </c>
      <c r="B549" s="1127">
        <v>235</v>
      </c>
      <c r="C549" s="1128">
        <v>0</v>
      </c>
      <c r="D549" s="1128">
        <v>16.34</v>
      </c>
      <c r="E549" s="1126"/>
    </row>
    <row r="550" spans="1:5" x14ac:dyDescent="0.2">
      <c r="A550" s="1126" t="s">
        <v>1132</v>
      </c>
      <c r="B550" s="1127">
        <v>49</v>
      </c>
      <c r="C550" s="1128">
        <v>0</v>
      </c>
      <c r="D550" s="1128">
        <v>30.18</v>
      </c>
      <c r="E550" s="1126"/>
    </row>
    <row r="551" spans="1:5" x14ac:dyDescent="0.2">
      <c r="A551" s="1126" t="s">
        <v>1133</v>
      </c>
      <c r="B551" s="1127">
        <v>181</v>
      </c>
      <c r="C551" s="1128">
        <v>0</v>
      </c>
      <c r="D551" s="1128">
        <v>72.52</v>
      </c>
      <c r="E551" s="1126"/>
    </row>
    <row r="552" spans="1:5" x14ac:dyDescent="0.2">
      <c r="A552" s="1126" t="s">
        <v>1134</v>
      </c>
      <c r="B552" s="1127">
        <v>85</v>
      </c>
      <c r="C552" s="1128">
        <v>0</v>
      </c>
      <c r="D552" s="1128">
        <v>39.75</v>
      </c>
      <c r="E552" s="1126"/>
    </row>
    <row r="553" spans="1:5" x14ac:dyDescent="0.2">
      <c r="A553" s="1126" t="s">
        <v>1135</v>
      </c>
      <c r="B553" s="1127">
        <v>189</v>
      </c>
      <c r="C553" s="1128">
        <v>0</v>
      </c>
      <c r="D553" s="1128">
        <v>0</v>
      </c>
      <c r="E553" s="1126"/>
    </row>
    <row r="554" spans="1:5" x14ac:dyDescent="0.2">
      <c r="A554" s="1126" t="s">
        <v>1136</v>
      </c>
      <c r="B554" s="1127">
        <v>36</v>
      </c>
      <c r="C554" s="1128">
        <v>0</v>
      </c>
      <c r="D554" s="1128">
        <v>0</v>
      </c>
      <c r="E554" s="1126" t="s">
        <v>669</v>
      </c>
    </row>
    <row r="555" spans="1:5" x14ac:dyDescent="0.2">
      <c r="A555" s="1126" t="s">
        <v>1137</v>
      </c>
      <c r="B555" s="1127">
        <v>38</v>
      </c>
      <c r="C555" s="1128">
        <v>13.64</v>
      </c>
      <c r="D555" s="1128">
        <v>39.76</v>
      </c>
      <c r="E555" s="1126" t="s">
        <v>669</v>
      </c>
    </row>
    <row r="556" spans="1:5" x14ac:dyDescent="0.2">
      <c r="A556" s="1126" t="s">
        <v>1138</v>
      </c>
      <c r="B556" s="1127">
        <v>193</v>
      </c>
      <c r="C556" s="1128">
        <v>0</v>
      </c>
      <c r="D556" s="1128">
        <v>28.08</v>
      </c>
      <c r="E556" s="1126"/>
    </row>
    <row r="557" spans="1:5" x14ac:dyDescent="0.2">
      <c r="A557" s="1126" t="s">
        <v>1139</v>
      </c>
      <c r="B557" s="1127">
        <v>80</v>
      </c>
      <c r="C557" s="1128">
        <v>0</v>
      </c>
      <c r="D557" s="1128">
        <v>35.32</v>
      </c>
      <c r="E557" s="1126"/>
    </row>
    <row r="558" spans="1:5" x14ac:dyDescent="0.2">
      <c r="A558" s="1126" t="s">
        <v>1140</v>
      </c>
      <c r="B558" s="1127">
        <v>309</v>
      </c>
      <c r="C558" s="1128">
        <v>74.38</v>
      </c>
      <c r="D558" s="1128">
        <v>286.77999999999997</v>
      </c>
      <c r="E558" s="1126"/>
    </row>
    <row r="559" spans="1:5" x14ac:dyDescent="0.2">
      <c r="A559" s="1126" t="s">
        <v>1141</v>
      </c>
      <c r="B559" s="1127">
        <v>97</v>
      </c>
      <c r="C559" s="1128">
        <v>0</v>
      </c>
      <c r="D559" s="1128">
        <v>24.36</v>
      </c>
      <c r="E559" s="1126"/>
    </row>
    <row r="560" spans="1:5" x14ac:dyDescent="0.2">
      <c r="A560" s="1126" t="s">
        <v>1142</v>
      </c>
      <c r="B560" s="1127">
        <v>73</v>
      </c>
      <c r="C560" s="1128">
        <v>12.6</v>
      </c>
      <c r="D560" s="1128">
        <v>62.78</v>
      </c>
      <c r="E560" s="1126"/>
    </row>
    <row r="561" spans="1:5" x14ac:dyDescent="0.2">
      <c r="A561" s="1126" t="s">
        <v>1143</v>
      </c>
      <c r="B561" s="1127">
        <v>468</v>
      </c>
      <c r="C561" s="1128">
        <v>0</v>
      </c>
      <c r="D561" s="1128">
        <v>63.18</v>
      </c>
      <c r="E561" s="1126"/>
    </row>
    <row r="562" spans="1:5" x14ac:dyDescent="0.2">
      <c r="A562" s="1126" t="s">
        <v>1144</v>
      </c>
      <c r="B562" s="1127">
        <v>274</v>
      </c>
      <c r="C562" s="1128">
        <v>0</v>
      </c>
      <c r="D562" s="1128">
        <v>4.28</v>
      </c>
      <c r="E562" s="1126"/>
    </row>
    <row r="563" spans="1:5" x14ac:dyDescent="0.2">
      <c r="A563" s="1126" t="s">
        <v>1145</v>
      </c>
      <c r="B563" s="1127">
        <v>223</v>
      </c>
      <c r="C563" s="1128">
        <v>0</v>
      </c>
      <c r="D563" s="1128">
        <v>107.37</v>
      </c>
      <c r="E563" s="1126"/>
    </row>
    <row r="564" spans="1:5" x14ac:dyDescent="0.2">
      <c r="A564" s="1126" t="s">
        <v>1146</v>
      </c>
      <c r="B564" s="1127">
        <v>402</v>
      </c>
      <c r="C564" s="1128">
        <v>0</v>
      </c>
      <c r="D564" s="1128">
        <v>267.86</v>
      </c>
      <c r="E564" s="1126"/>
    </row>
    <row r="565" spans="1:5" x14ac:dyDescent="0.2">
      <c r="A565" s="1126" t="s">
        <v>1147</v>
      </c>
      <c r="B565" s="1127">
        <v>407</v>
      </c>
      <c r="C565" s="1128">
        <v>0</v>
      </c>
      <c r="D565" s="1128">
        <v>20.239999999999998</v>
      </c>
      <c r="E565" s="1126"/>
    </row>
    <row r="566" spans="1:5" x14ac:dyDescent="0.2">
      <c r="A566" s="1126" t="s">
        <v>1148</v>
      </c>
      <c r="B566" s="1127">
        <v>284</v>
      </c>
      <c r="C566" s="1128">
        <v>0</v>
      </c>
      <c r="D566" s="1128">
        <v>32.46</v>
      </c>
      <c r="E566" s="1126"/>
    </row>
    <row r="567" spans="1:5" x14ac:dyDescent="0.2">
      <c r="A567" s="1126" t="s">
        <v>1149</v>
      </c>
      <c r="B567" s="1127">
        <v>134</v>
      </c>
      <c r="C567" s="1128">
        <v>0</v>
      </c>
      <c r="D567" s="1128">
        <v>52.06</v>
      </c>
      <c r="E567" s="1126"/>
    </row>
    <row r="568" spans="1:5" x14ac:dyDescent="0.2">
      <c r="A568" s="1126" t="s">
        <v>1150</v>
      </c>
      <c r="B568" s="1127">
        <v>286</v>
      </c>
      <c r="C568" s="1128">
        <v>0</v>
      </c>
      <c r="D568" s="1128">
        <v>89.85</v>
      </c>
      <c r="E568" s="1126"/>
    </row>
    <row r="569" spans="1:5" x14ac:dyDescent="0.2">
      <c r="A569" s="1126" t="s">
        <v>1151</v>
      </c>
      <c r="B569" s="1127">
        <v>61</v>
      </c>
      <c r="C569" s="1128">
        <v>0</v>
      </c>
      <c r="D569" s="1128">
        <v>9.0299999999999994</v>
      </c>
      <c r="E569" s="1126"/>
    </row>
    <row r="570" spans="1:5" x14ac:dyDescent="0.2">
      <c r="A570" s="1126" t="s">
        <v>1152</v>
      </c>
      <c r="B570" s="1127">
        <v>436</v>
      </c>
      <c r="C570" s="1128">
        <v>0</v>
      </c>
      <c r="D570" s="1128">
        <v>99.62</v>
      </c>
      <c r="E570" s="1126"/>
    </row>
    <row r="571" spans="1:5" x14ac:dyDescent="0.2">
      <c r="A571" s="1126" t="s">
        <v>1153</v>
      </c>
      <c r="B571" s="1127">
        <v>83</v>
      </c>
      <c r="C571" s="1128">
        <v>0</v>
      </c>
      <c r="D571" s="1128">
        <v>30.83</v>
      </c>
      <c r="E571" s="1126"/>
    </row>
    <row r="572" spans="1:5" x14ac:dyDescent="0.2">
      <c r="A572" s="1126" t="s">
        <v>1154</v>
      </c>
      <c r="B572" s="1127">
        <v>185</v>
      </c>
      <c r="C572" s="1128">
        <v>0</v>
      </c>
      <c r="D572" s="1128">
        <v>90.79</v>
      </c>
      <c r="E572" s="1126"/>
    </row>
    <row r="573" spans="1:5" x14ac:dyDescent="0.2">
      <c r="A573" s="1126" t="s">
        <v>1155</v>
      </c>
      <c r="B573" s="1127">
        <v>377</v>
      </c>
      <c r="C573" s="1128">
        <v>189.94</v>
      </c>
      <c r="D573" s="1128">
        <v>449.08</v>
      </c>
      <c r="E573" s="1126"/>
    </row>
    <row r="574" spans="1:5" x14ac:dyDescent="0.2">
      <c r="A574" s="1126" t="s">
        <v>1156</v>
      </c>
      <c r="B574" s="1127">
        <v>72</v>
      </c>
      <c r="C574" s="1128">
        <v>0</v>
      </c>
      <c r="D574" s="1128">
        <v>31.71</v>
      </c>
      <c r="E574" s="1126"/>
    </row>
    <row r="575" spans="1:5" x14ac:dyDescent="0.2">
      <c r="A575" s="1126" t="s">
        <v>1157</v>
      </c>
      <c r="B575" s="1127">
        <v>578</v>
      </c>
      <c r="C575" s="1128">
        <v>0</v>
      </c>
      <c r="D575" s="1128">
        <v>241.73</v>
      </c>
      <c r="E575" s="1126"/>
    </row>
    <row r="576" spans="1:5" x14ac:dyDescent="0.2">
      <c r="A576" s="1126" t="s">
        <v>1158</v>
      </c>
      <c r="B576" s="1127">
        <v>29</v>
      </c>
      <c r="C576" s="1128">
        <v>9.0500000000000007</v>
      </c>
      <c r="D576" s="1128">
        <v>28.99</v>
      </c>
      <c r="E576" s="1126" t="s">
        <v>669</v>
      </c>
    </row>
    <row r="577" spans="1:5" x14ac:dyDescent="0.2">
      <c r="A577" s="1126" t="s">
        <v>1159</v>
      </c>
      <c r="B577" s="1127">
        <v>161</v>
      </c>
      <c r="C577" s="1128">
        <v>0</v>
      </c>
      <c r="D577" s="1128">
        <v>49.67</v>
      </c>
      <c r="E577" s="1126"/>
    </row>
    <row r="578" spans="1:5" x14ac:dyDescent="0.2">
      <c r="A578" s="1126" t="s">
        <v>1160</v>
      </c>
      <c r="B578" s="1127">
        <v>214</v>
      </c>
      <c r="C578" s="1128">
        <v>0</v>
      </c>
      <c r="D578" s="1128">
        <v>21.69</v>
      </c>
      <c r="E578" s="1126"/>
    </row>
    <row r="579" spans="1:5" x14ac:dyDescent="0.2">
      <c r="A579" s="1126" t="s">
        <v>1161</v>
      </c>
      <c r="B579" s="1127">
        <v>101</v>
      </c>
      <c r="C579" s="1128">
        <v>0</v>
      </c>
      <c r="D579" s="1128">
        <v>22.98</v>
      </c>
      <c r="E579" s="1126"/>
    </row>
    <row r="580" spans="1:5" x14ac:dyDescent="0.2">
      <c r="A580" s="1126" t="s">
        <v>1162</v>
      </c>
      <c r="B580" s="1127">
        <v>162</v>
      </c>
      <c r="C580" s="1128">
        <v>0</v>
      </c>
      <c r="D580" s="1128">
        <v>30.24</v>
      </c>
      <c r="E580" s="1126"/>
    </row>
    <row r="581" spans="1:5" x14ac:dyDescent="0.2">
      <c r="A581" s="1126" t="s">
        <v>1163</v>
      </c>
      <c r="B581" s="1127">
        <v>322</v>
      </c>
      <c r="C581" s="1128">
        <v>0</v>
      </c>
      <c r="D581" s="1128">
        <v>100.8</v>
      </c>
      <c r="E581" s="1126"/>
    </row>
    <row r="582" spans="1:5" x14ac:dyDescent="0.2">
      <c r="A582" s="1126" t="s">
        <v>1164</v>
      </c>
      <c r="B582" s="1127">
        <v>315</v>
      </c>
      <c r="C582" s="1128">
        <v>0</v>
      </c>
      <c r="D582" s="1128">
        <v>54.83</v>
      </c>
      <c r="E582" s="1126"/>
    </row>
    <row r="583" spans="1:5" x14ac:dyDescent="0.2">
      <c r="A583" s="1126" t="s">
        <v>1165</v>
      </c>
      <c r="B583" s="1127">
        <v>195</v>
      </c>
      <c r="C583" s="1128">
        <v>0</v>
      </c>
      <c r="D583" s="1128">
        <v>105.11</v>
      </c>
      <c r="E583" s="1126"/>
    </row>
    <row r="584" spans="1:5" x14ac:dyDescent="0.2">
      <c r="A584" s="1126" t="s">
        <v>1166</v>
      </c>
      <c r="B584" s="1127">
        <v>240</v>
      </c>
      <c r="C584" s="1128">
        <v>45.69</v>
      </c>
      <c r="D584" s="1128">
        <v>210.65</v>
      </c>
      <c r="E584" s="1126"/>
    </row>
    <row r="585" spans="1:5" x14ac:dyDescent="0.2">
      <c r="A585" s="1126" t="s">
        <v>1167</v>
      </c>
      <c r="B585" s="1127">
        <v>271</v>
      </c>
      <c r="C585" s="1128">
        <v>0</v>
      </c>
      <c r="D585" s="1128">
        <v>110.58</v>
      </c>
      <c r="E585" s="1126"/>
    </row>
    <row r="586" spans="1:5" x14ac:dyDescent="0.2">
      <c r="A586" s="1126" t="s">
        <v>1168</v>
      </c>
      <c r="B586" s="1127">
        <v>182</v>
      </c>
      <c r="C586" s="1128">
        <v>0</v>
      </c>
      <c r="D586" s="1128">
        <v>112.28</v>
      </c>
      <c r="E586" s="1126"/>
    </row>
    <row r="587" spans="1:5" x14ac:dyDescent="0.2">
      <c r="A587" s="1126" t="s">
        <v>1169</v>
      </c>
      <c r="B587" s="1127">
        <v>45</v>
      </c>
      <c r="C587" s="1128">
        <v>21.49</v>
      </c>
      <c r="D587" s="1128">
        <v>52.42</v>
      </c>
      <c r="E587" s="1126"/>
    </row>
    <row r="588" spans="1:5" x14ac:dyDescent="0.2">
      <c r="A588" s="1126" t="s">
        <v>1170</v>
      </c>
      <c r="B588" s="1127">
        <v>284</v>
      </c>
      <c r="C588" s="1128">
        <v>106.63</v>
      </c>
      <c r="D588" s="1128">
        <v>301.85000000000002</v>
      </c>
      <c r="E588" s="1126"/>
    </row>
    <row r="589" spans="1:5" x14ac:dyDescent="0.2">
      <c r="A589" s="1126" t="s">
        <v>1171</v>
      </c>
      <c r="B589" s="1127">
        <v>212</v>
      </c>
      <c r="C589" s="1128">
        <v>0</v>
      </c>
      <c r="D589" s="1128">
        <v>93.13</v>
      </c>
      <c r="E589" s="1126"/>
    </row>
    <row r="590" spans="1:5" x14ac:dyDescent="0.2">
      <c r="A590" s="1126" t="s">
        <v>1172</v>
      </c>
      <c r="B590" s="1127">
        <v>281</v>
      </c>
      <c r="C590" s="1128">
        <v>270.86</v>
      </c>
      <c r="D590" s="1128">
        <v>464</v>
      </c>
      <c r="E590" s="1126"/>
    </row>
    <row r="591" spans="1:5" x14ac:dyDescent="0.2">
      <c r="A591" s="1126" t="s">
        <v>1173</v>
      </c>
      <c r="B591" s="1127">
        <v>246</v>
      </c>
      <c r="C591" s="1128">
        <v>0</v>
      </c>
      <c r="D591" s="1128">
        <v>19.27</v>
      </c>
      <c r="E591" s="1126"/>
    </row>
    <row r="592" spans="1:5" x14ac:dyDescent="0.2">
      <c r="A592" s="1126" t="s">
        <v>1174</v>
      </c>
      <c r="B592" s="1127">
        <v>199</v>
      </c>
      <c r="C592" s="1128">
        <v>0</v>
      </c>
      <c r="D592" s="1128">
        <v>80.64</v>
      </c>
      <c r="E592" s="1126"/>
    </row>
    <row r="593" spans="1:5" x14ac:dyDescent="0.2">
      <c r="A593" s="1126" t="s">
        <v>1175</v>
      </c>
      <c r="B593" s="1127">
        <v>172</v>
      </c>
      <c r="C593" s="1128">
        <v>0</v>
      </c>
      <c r="D593" s="1128">
        <v>92.06</v>
      </c>
      <c r="E593" s="1126"/>
    </row>
    <row r="594" spans="1:5" x14ac:dyDescent="0.2">
      <c r="A594" s="1126" t="s">
        <v>1176</v>
      </c>
      <c r="B594" s="1127">
        <v>95</v>
      </c>
      <c r="C594" s="1128">
        <v>0</v>
      </c>
      <c r="D594" s="1128">
        <v>31.61</v>
      </c>
      <c r="E594" s="1126"/>
    </row>
    <row r="595" spans="1:5" x14ac:dyDescent="0.2">
      <c r="A595" s="1126" t="s">
        <v>1177</v>
      </c>
      <c r="B595" s="1127">
        <v>171</v>
      </c>
      <c r="C595" s="1128">
        <v>0</v>
      </c>
      <c r="D595" s="1128">
        <v>38.69</v>
      </c>
      <c r="E595" s="1126"/>
    </row>
    <row r="596" spans="1:5" x14ac:dyDescent="0.2">
      <c r="A596" s="1126" t="s">
        <v>1178</v>
      </c>
      <c r="B596" s="1127">
        <v>231</v>
      </c>
      <c r="C596" s="1128">
        <v>0</v>
      </c>
      <c r="D596" s="1128">
        <v>75.459999999999994</v>
      </c>
      <c r="E596" s="1126"/>
    </row>
    <row r="597" spans="1:5" x14ac:dyDescent="0.2">
      <c r="A597" s="1126" t="s">
        <v>1179</v>
      </c>
      <c r="B597" s="1127">
        <v>187</v>
      </c>
      <c r="C597" s="1128">
        <v>0</v>
      </c>
      <c r="D597" s="1128">
        <v>63.07</v>
      </c>
      <c r="E597" s="1126"/>
    </row>
    <row r="598" spans="1:5" x14ac:dyDescent="0.2">
      <c r="A598" s="1126" t="s">
        <v>1180</v>
      </c>
      <c r="B598" s="1127">
        <v>18</v>
      </c>
      <c r="C598" s="1128">
        <v>0</v>
      </c>
      <c r="D598" s="1128">
        <v>5.39</v>
      </c>
      <c r="E598" s="1126" t="s">
        <v>669</v>
      </c>
    </row>
    <row r="599" spans="1:5" x14ac:dyDescent="0.2">
      <c r="A599" s="1126" t="s">
        <v>1181</v>
      </c>
      <c r="B599" s="1127">
        <v>345</v>
      </c>
      <c r="C599" s="1128">
        <v>89.3</v>
      </c>
      <c r="D599" s="1128">
        <v>326.44</v>
      </c>
      <c r="E599" s="1126"/>
    </row>
    <row r="600" spans="1:5" x14ac:dyDescent="0.2">
      <c r="A600" s="1126" t="s">
        <v>1182</v>
      </c>
      <c r="B600" s="1127">
        <v>107</v>
      </c>
      <c r="C600" s="1128">
        <v>204.5</v>
      </c>
      <c r="D600" s="1128">
        <v>278.05</v>
      </c>
      <c r="E600" s="1126"/>
    </row>
    <row r="601" spans="1:5" x14ac:dyDescent="0.2">
      <c r="A601" s="1126" t="s">
        <v>1183</v>
      </c>
      <c r="B601" s="1127">
        <v>187</v>
      </c>
      <c r="C601" s="1128">
        <v>0</v>
      </c>
      <c r="D601" s="1128">
        <v>84.48</v>
      </c>
      <c r="E601" s="1126"/>
    </row>
    <row r="602" spans="1:5" x14ac:dyDescent="0.2">
      <c r="A602" s="1126" t="s">
        <v>1184</v>
      </c>
      <c r="B602" s="1127">
        <v>44</v>
      </c>
      <c r="C602" s="1128">
        <v>0</v>
      </c>
      <c r="D602" s="1128">
        <v>18.02</v>
      </c>
      <c r="E602" s="1126"/>
    </row>
    <row r="603" spans="1:5" x14ac:dyDescent="0.2">
      <c r="A603" s="1126" t="s">
        <v>1185</v>
      </c>
      <c r="B603" s="1127">
        <v>230</v>
      </c>
      <c r="C603" s="1128">
        <v>0</v>
      </c>
      <c r="D603" s="1128">
        <v>61.48</v>
      </c>
      <c r="E603" s="1126"/>
    </row>
    <row r="604" spans="1:5" x14ac:dyDescent="0.2">
      <c r="A604" s="1126" t="s">
        <v>1186</v>
      </c>
      <c r="B604" s="1127">
        <v>61</v>
      </c>
      <c r="C604" s="1128">
        <v>0</v>
      </c>
      <c r="D604" s="1128">
        <v>27.55</v>
      </c>
      <c r="E604" s="1126"/>
    </row>
    <row r="605" spans="1:5" x14ac:dyDescent="0.2">
      <c r="A605" s="1126" t="s">
        <v>1187</v>
      </c>
      <c r="B605" s="1127">
        <v>406</v>
      </c>
      <c r="C605" s="1128">
        <v>0</v>
      </c>
      <c r="D605" s="1128">
        <v>13.36</v>
      </c>
      <c r="E605" s="1126"/>
    </row>
    <row r="606" spans="1:5" x14ac:dyDescent="0.2">
      <c r="A606" s="1126" t="s">
        <v>1188</v>
      </c>
      <c r="B606" s="1127">
        <v>106</v>
      </c>
      <c r="C606" s="1128">
        <v>133.03</v>
      </c>
      <c r="D606" s="1128">
        <v>205.89</v>
      </c>
      <c r="E606" s="1126"/>
    </row>
    <row r="607" spans="1:5" x14ac:dyDescent="0.2">
      <c r="A607" s="1126" t="s">
        <v>1189</v>
      </c>
      <c r="B607" s="1127">
        <v>250</v>
      </c>
      <c r="C607" s="1128">
        <v>0</v>
      </c>
      <c r="D607" s="1128">
        <v>121.81</v>
      </c>
      <c r="E607" s="1126"/>
    </row>
    <row r="608" spans="1:5" x14ac:dyDescent="0.2">
      <c r="A608" s="1126" t="s">
        <v>1190</v>
      </c>
      <c r="B608" s="1127">
        <v>198</v>
      </c>
      <c r="C608" s="1128">
        <v>0</v>
      </c>
      <c r="D608" s="1128">
        <v>45.07</v>
      </c>
      <c r="E608" s="1126"/>
    </row>
    <row r="609" spans="1:5" x14ac:dyDescent="0.2">
      <c r="A609" s="1126" t="s">
        <v>1191</v>
      </c>
      <c r="B609" s="1127">
        <v>85</v>
      </c>
      <c r="C609" s="1128">
        <v>0</v>
      </c>
      <c r="D609" s="1128">
        <v>20.48</v>
      </c>
      <c r="E609" s="1126"/>
    </row>
    <row r="610" spans="1:5" x14ac:dyDescent="0.2">
      <c r="A610" s="1126" t="s">
        <v>1192</v>
      </c>
      <c r="B610" s="1127">
        <v>372</v>
      </c>
      <c r="C610" s="1128">
        <v>0</v>
      </c>
      <c r="D610" s="1128">
        <v>197.72</v>
      </c>
      <c r="E610" s="1126"/>
    </row>
    <row r="611" spans="1:5" x14ac:dyDescent="0.2">
      <c r="A611" s="1126" t="s">
        <v>1193</v>
      </c>
      <c r="B611" s="1127">
        <v>116</v>
      </c>
      <c r="C611" s="1128">
        <v>0</v>
      </c>
      <c r="D611" s="1128">
        <v>54.69</v>
      </c>
      <c r="E611" s="1126"/>
    </row>
    <row r="612" spans="1:5" x14ac:dyDescent="0.2">
      <c r="A612" s="1126" t="s">
        <v>1194</v>
      </c>
      <c r="B612" s="1127">
        <v>37</v>
      </c>
      <c r="C612" s="1128">
        <v>0</v>
      </c>
      <c r="D612" s="1128">
        <v>4.67</v>
      </c>
      <c r="E612" s="1126" t="s">
        <v>669</v>
      </c>
    </row>
    <row r="613" spans="1:5" x14ac:dyDescent="0.2">
      <c r="A613" s="1126" t="s">
        <v>1195</v>
      </c>
      <c r="B613" s="1127">
        <v>50</v>
      </c>
      <c r="C613" s="1128">
        <v>0</v>
      </c>
      <c r="D613" s="1128">
        <v>12.81</v>
      </c>
      <c r="E613" s="1126"/>
    </row>
    <row r="614" spans="1:5" x14ac:dyDescent="0.2">
      <c r="A614" s="1126" t="s">
        <v>1196</v>
      </c>
      <c r="B614" s="1127">
        <v>424</v>
      </c>
      <c r="C614" s="1128">
        <v>0</v>
      </c>
      <c r="D614" s="1128">
        <v>202.51</v>
      </c>
      <c r="E614" s="1126"/>
    </row>
    <row r="615" spans="1:5" x14ac:dyDescent="0.2">
      <c r="A615" s="1126" t="s">
        <v>1197</v>
      </c>
      <c r="B615" s="1127">
        <v>142</v>
      </c>
      <c r="C615" s="1128">
        <v>0</v>
      </c>
      <c r="D615" s="1128">
        <v>39.86</v>
      </c>
      <c r="E615" s="1126"/>
    </row>
    <row r="616" spans="1:5" x14ac:dyDescent="0.2">
      <c r="A616" s="1126" t="s">
        <v>1198</v>
      </c>
      <c r="B616" s="1127">
        <v>177</v>
      </c>
      <c r="C616" s="1128">
        <v>530.36</v>
      </c>
      <c r="D616" s="1128">
        <v>652.02</v>
      </c>
      <c r="E616" s="1126"/>
    </row>
    <row r="617" spans="1:5" x14ac:dyDescent="0.2">
      <c r="A617" s="1126" t="s">
        <v>1199</v>
      </c>
      <c r="B617" s="1127">
        <v>40</v>
      </c>
      <c r="C617" s="1128">
        <v>0</v>
      </c>
      <c r="D617" s="1128">
        <v>0</v>
      </c>
      <c r="E617" s="1126" t="s">
        <v>669</v>
      </c>
    </row>
    <row r="618" spans="1:5" x14ac:dyDescent="0.2">
      <c r="A618" s="1126" t="s">
        <v>1200</v>
      </c>
      <c r="B618" s="1127">
        <v>234</v>
      </c>
      <c r="C618" s="1128">
        <v>0</v>
      </c>
      <c r="D618" s="1128">
        <v>22.18</v>
      </c>
      <c r="E618" s="1126"/>
    </row>
    <row r="619" spans="1:5" x14ac:dyDescent="0.2">
      <c r="A619" s="1126" t="s">
        <v>1201</v>
      </c>
      <c r="B619" s="1127">
        <v>263</v>
      </c>
      <c r="C619" s="1128">
        <v>0</v>
      </c>
      <c r="D619" s="1128">
        <v>143.32</v>
      </c>
      <c r="E619" s="1126"/>
    </row>
    <row r="620" spans="1:5" x14ac:dyDescent="0.2">
      <c r="A620" s="1126" t="s">
        <v>1202</v>
      </c>
      <c r="B620" s="1127">
        <v>53</v>
      </c>
      <c r="C620" s="1128">
        <v>0</v>
      </c>
      <c r="D620" s="1128">
        <v>9.66</v>
      </c>
      <c r="E620" s="1126"/>
    </row>
    <row r="621" spans="1:5" x14ac:dyDescent="0.2">
      <c r="A621" s="1126" t="s">
        <v>1203</v>
      </c>
      <c r="B621" s="1127">
        <v>34</v>
      </c>
      <c r="C621" s="1128">
        <v>0</v>
      </c>
      <c r="D621" s="1128">
        <v>9.09</v>
      </c>
      <c r="E621" s="1126" t="s">
        <v>669</v>
      </c>
    </row>
    <row r="622" spans="1:5" x14ac:dyDescent="0.2">
      <c r="A622" s="1126" t="s">
        <v>1204</v>
      </c>
      <c r="B622" s="1127">
        <v>101</v>
      </c>
      <c r="C622" s="1128">
        <v>0</v>
      </c>
      <c r="D622" s="1128">
        <v>4.6500000000000004</v>
      </c>
      <c r="E622" s="1126"/>
    </row>
    <row r="623" spans="1:5" x14ac:dyDescent="0.2">
      <c r="A623" s="1126" t="s">
        <v>1205</v>
      </c>
      <c r="B623" s="1127">
        <v>96</v>
      </c>
      <c r="C623" s="1128">
        <v>0</v>
      </c>
      <c r="D623" s="1128">
        <v>23.55</v>
      </c>
      <c r="E623" s="1126"/>
    </row>
    <row r="624" spans="1:5" x14ac:dyDescent="0.2">
      <c r="A624" s="1126" t="s">
        <v>1206</v>
      </c>
      <c r="B624" s="1127">
        <v>37</v>
      </c>
      <c r="C624" s="1128">
        <v>0</v>
      </c>
      <c r="D624" s="1128">
        <v>14.19</v>
      </c>
      <c r="E624" s="1126" t="s">
        <v>669</v>
      </c>
    </row>
    <row r="625" spans="1:5" x14ac:dyDescent="0.2">
      <c r="A625" s="1126" t="s">
        <v>1207</v>
      </c>
      <c r="B625" s="1127">
        <v>404</v>
      </c>
      <c r="C625" s="1128">
        <v>0</v>
      </c>
      <c r="D625" s="1128">
        <v>82.42</v>
      </c>
      <c r="E625" s="1126"/>
    </row>
    <row r="626" spans="1:5" x14ac:dyDescent="0.2">
      <c r="A626" s="1126" t="s">
        <v>1208</v>
      </c>
      <c r="B626" s="1127">
        <v>303</v>
      </c>
      <c r="C626" s="1128">
        <v>0</v>
      </c>
      <c r="D626" s="1128">
        <v>118.23</v>
      </c>
      <c r="E626" s="1126"/>
    </row>
    <row r="627" spans="1:5" x14ac:dyDescent="0.2">
      <c r="A627" s="1126" t="s">
        <v>1209</v>
      </c>
      <c r="B627" s="1127">
        <v>47</v>
      </c>
      <c r="C627" s="1128">
        <v>0</v>
      </c>
      <c r="D627" s="1128">
        <v>21.74</v>
      </c>
      <c r="E627" s="1126"/>
    </row>
    <row r="628" spans="1:5" x14ac:dyDescent="0.2">
      <c r="A628" s="1126" t="s">
        <v>1210</v>
      </c>
      <c r="B628" s="1127">
        <v>237</v>
      </c>
      <c r="C628" s="1128">
        <v>0</v>
      </c>
      <c r="D628" s="1128">
        <v>31.59</v>
      </c>
      <c r="E628" s="1126"/>
    </row>
    <row r="629" spans="1:5" x14ac:dyDescent="0.2">
      <c r="A629" s="1126" t="s">
        <v>1211</v>
      </c>
      <c r="B629" s="1127">
        <v>40</v>
      </c>
      <c r="C629" s="1128">
        <v>20.49</v>
      </c>
      <c r="D629" s="1128">
        <v>47.99</v>
      </c>
      <c r="E629" s="1126" t="s">
        <v>669</v>
      </c>
    </row>
    <row r="630" spans="1:5" x14ac:dyDescent="0.2">
      <c r="A630" s="1126" t="s">
        <v>1212</v>
      </c>
      <c r="B630" s="1127">
        <v>66</v>
      </c>
      <c r="C630" s="1128">
        <v>0</v>
      </c>
      <c r="D630" s="1128">
        <v>37.22</v>
      </c>
      <c r="E630" s="1126"/>
    </row>
    <row r="631" spans="1:5" x14ac:dyDescent="0.2">
      <c r="A631" s="1126" t="s">
        <v>1213</v>
      </c>
      <c r="B631" s="1127">
        <v>294</v>
      </c>
      <c r="C631" s="1128">
        <v>0</v>
      </c>
      <c r="D631" s="1128">
        <v>37.61</v>
      </c>
      <c r="E631" s="1126"/>
    </row>
    <row r="632" spans="1:5" x14ac:dyDescent="0.2">
      <c r="A632" s="1126" t="s">
        <v>1214</v>
      </c>
      <c r="B632" s="1127">
        <v>234</v>
      </c>
      <c r="C632" s="1128">
        <v>0</v>
      </c>
      <c r="D632" s="1128">
        <v>90.01</v>
      </c>
      <c r="E632" s="1126"/>
    </row>
    <row r="633" spans="1:5" x14ac:dyDescent="0.2">
      <c r="A633" s="1126" t="s">
        <v>1215</v>
      </c>
      <c r="B633" s="1127">
        <v>202</v>
      </c>
      <c r="C633" s="1128">
        <v>0</v>
      </c>
      <c r="D633" s="1128">
        <v>68.59</v>
      </c>
      <c r="E633" s="1126"/>
    </row>
    <row r="634" spans="1:5" x14ac:dyDescent="0.2">
      <c r="A634" s="1126" t="s">
        <v>1216</v>
      </c>
      <c r="B634" s="1127">
        <v>218</v>
      </c>
      <c r="C634" s="1128">
        <v>1.02</v>
      </c>
      <c r="D634" s="1128">
        <v>150.86000000000001</v>
      </c>
      <c r="E634" s="1126"/>
    </row>
    <row r="635" spans="1:5" x14ac:dyDescent="0.2">
      <c r="A635" s="1126" t="s">
        <v>1217</v>
      </c>
      <c r="B635" s="1127">
        <v>255</v>
      </c>
      <c r="C635" s="1128">
        <v>0</v>
      </c>
      <c r="D635" s="1128">
        <v>152.71</v>
      </c>
      <c r="E635" s="1126"/>
    </row>
    <row r="636" spans="1:5" x14ac:dyDescent="0.2">
      <c r="A636" s="1126" t="s">
        <v>1218</v>
      </c>
      <c r="B636" s="1127">
        <v>125</v>
      </c>
      <c r="C636" s="1128">
        <v>0</v>
      </c>
      <c r="D636" s="1128">
        <v>21.18</v>
      </c>
      <c r="E636" s="1126"/>
    </row>
    <row r="637" spans="1:5" x14ac:dyDescent="0.2">
      <c r="A637" s="1126" t="s">
        <v>1219</v>
      </c>
      <c r="B637" s="1127">
        <v>213</v>
      </c>
      <c r="C637" s="1128">
        <v>0</v>
      </c>
      <c r="D637" s="1128">
        <v>129.11000000000001</v>
      </c>
      <c r="E637" s="1126"/>
    </row>
    <row r="638" spans="1:5" x14ac:dyDescent="0.2">
      <c r="A638" s="1126" t="s">
        <v>1220</v>
      </c>
      <c r="B638" s="1127">
        <v>417</v>
      </c>
      <c r="C638" s="1128">
        <v>0</v>
      </c>
      <c r="D638" s="1128">
        <v>122.32</v>
      </c>
      <c r="E638" s="1126"/>
    </row>
    <row r="639" spans="1:5" x14ac:dyDescent="0.2">
      <c r="A639" s="1126" t="s">
        <v>1221</v>
      </c>
      <c r="B639" s="1127">
        <v>201</v>
      </c>
      <c r="C639" s="1128">
        <v>2.42</v>
      </c>
      <c r="D639" s="1128">
        <v>140.58000000000001</v>
      </c>
      <c r="E639" s="1126"/>
    </row>
    <row r="640" spans="1:5" x14ac:dyDescent="0.2">
      <c r="A640" s="1126" t="s">
        <v>1222</v>
      </c>
      <c r="B640" s="1127">
        <v>259</v>
      </c>
      <c r="C640" s="1128">
        <v>0</v>
      </c>
      <c r="D640" s="1128">
        <v>136.49</v>
      </c>
      <c r="E640" s="1126"/>
    </row>
    <row r="641" spans="1:5" x14ac:dyDescent="0.2">
      <c r="A641" s="1126" t="s">
        <v>1223</v>
      </c>
      <c r="B641" s="1127">
        <v>85</v>
      </c>
      <c r="C641" s="1128">
        <v>0</v>
      </c>
      <c r="D641" s="1128">
        <v>9.4499999999999993</v>
      </c>
      <c r="E641" s="1126"/>
    </row>
    <row r="642" spans="1:5" x14ac:dyDescent="0.2">
      <c r="A642" s="1126" t="s">
        <v>1224</v>
      </c>
      <c r="B642" s="1127">
        <v>53</v>
      </c>
      <c r="C642" s="1128">
        <v>0</v>
      </c>
      <c r="D642" s="1128">
        <v>12.12</v>
      </c>
      <c r="E642" s="1126"/>
    </row>
    <row r="643" spans="1:5" x14ac:dyDescent="0.2">
      <c r="A643" s="1126" t="s">
        <v>1225</v>
      </c>
      <c r="B643" s="1127">
        <v>66</v>
      </c>
      <c r="C643" s="1128">
        <v>0</v>
      </c>
      <c r="D643" s="1128">
        <v>25.46</v>
      </c>
      <c r="E643" s="1126"/>
    </row>
    <row r="644" spans="1:5" x14ac:dyDescent="0.2">
      <c r="A644" s="1126" t="s">
        <v>1226</v>
      </c>
      <c r="B644" s="1127">
        <v>107</v>
      </c>
      <c r="C644" s="1128">
        <v>0</v>
      </c>
      <c r="D644" s="1128">
        <v>38.68</v>
      </c>
      <c r="E644" s="1126"/>
    </row>
    <row r="645" spans="1:5" x14ac:dyDescent="0.2">
      <c r="A645" s="1126" t="s">
        <v>1227</v>
      </c>
      <c r="B645" s="1127">
        <v>245</v>
      </c>
      <c r="C645" s="1128">
        <v>664</v>
      </c>
      <c r="D645" s="1128">
        <v>832.4</v>
      </c>
      <c r="E645" s="1126"/>
    </row>
    <row r="646" spans="1:5" x14ac:dyDescent="0.2">
      <c r="A646" s="1126" t="s">
        <v>1228</v>
      </c>
      <c r="B646" s="1127">
        <v>97</v>
      </c>
      <c r="C646" s="1128">
        <v>0</v>
      </c>
      <c r="D646" s="1128">
        <v>64.22</v>
      </c>
      <c r="E646" s="1126"/>
    </row>
    <row r="647" spans="1:5" x14ac:dyDescent="0.2">
      <c r="A647" s="1126" t="s">
        <v>1229</v>
      </c>
      <c r="B647" s="1127">
        <v>114</v>
      </c>
      <c r="C647" s="1128">
        <v>0</v>
      </c>
      <c r="D647" s="1128">
        <v>52.81</v>
      </c>
      <c r="E647" s="1126"/>
    </row>
    <row r="648" spans="1:5" x14ac:dyDescent="0.2">
      <c r="A648" s="1126" t="s">
        <v>1230</v>
      </c>
      <c r="B648" s="1127">
        <v>302</v>
      </c>
      <c r="C648" s="1128">
        <v>0</v>
      </c>
      <c r="D648" s="1128">
        <v>158.97</v>
      </c>
      <c r="E648" s="1126"/>
    </row>
    <row r="649" spans="1:5" x14ac:dyDescent="0.2">
      <c r="A649" s="1126" t="s">
        <v>1231</v>
      </c>
      <c r="B649" s="1127">
        <v>340</v>
      </c>
      <c r="C649" s="1128">
        <v>0</v>
      </c>
      <c r="D649" s="1128">
        <v>97.64</v>
      </c>
      <c r="E649" s="1126"/>
    </row>
    <row r="650" spans="1:5" x14ac:dyDescent="0.2">
      <c r="A650" s="1126" t="s">
        <v>1232</v>
      </c>
      <c r="B650" s="1127">
        <v>224</v>
      </c>
      <c r="C650" s="1128">
        <v>0</v>
      </c>
      <c r="D650" s="1128">
        <v>0</v>
      </c>
      <c r="E650" s="1126"/>
    </row>
    <row r="651" spans="1:5" x14ac:dyDescent="0.2">
      <c r="A651" s="1126" t="s">
        <v>1233</v>
      </c>
      <c r="B651" s="1127">
        <v>537</v>
      </c>
      <c r="C651" s="1128">
        <v>180.78</v>
      </c>
      <c r="D651" s="1128">
        <v>549.9</v>
      </c>
      <c r="E651" s="1126"/>
    </row>
    <row r="652" spans="1:5" x14ac:dyDescent="0.2">
      <c r="A652" s="1126" t="s">
        <v>1234</v>
      </c>
      <c r="B652" s="1127">
        <v>194</v>
      </c>
      <c r="C652" s="1128">
        <v>0</v>
      </c>
      <c r="D652" s="1128">
        <v>4.8899999999999997</v>
      </c>
      <c r="E652" s="1126"/>
    </row>
    <row r="653" spans="1:5" x14ac:dyDescent="0.2">
      <c r="A653" s="1126" t="s">
        <v>1235</v>
      </c>
      <c r="B653" s="1127">
        <v>159</v>
      </c>
      <c r="C653" s="1128">
        <v>0</v>
      </c>
      <c r="D653" s="1128">
        <v>37.979999999999997</v>
      </c>
      <c r="E653" s="1126"/>
    </row>
    <row r="654" spans="1:5" x14ac:dyDescent="0.2">
      <c r="A654" s="1126" t="s">
        <v>1236</v>
      </c>
      <c r="B654" s="1127">
        <v>27</v>
      </c>
      <c r="C654" s="1128">
        <v>0</v>
      </c>
      <c r="D654" s="1128">
        <v>13.6</v>
      </c>
      <c r="E654" s="1126" t="s">
        <v>669</v>
      </c>
    </row>
    <row r="655" spans="1:5" x14ac:dyDescent="0.2">
      <c r="A655" s="1126" t="s">
        <v>1237</v>
      </c>
      <c r="B655" s="1127">
        <v>57</v>
      </c>
      <c r="C655" s="1128">
        <v>0</v>
      </c>
      <c r="D655" s="1128">
        <v>29.95</v>
      </c>
      <c r="E655" s="1126"/>
    </row>
    <row r="656" spans="1:5" x14ac:dyDescent="0.2">
      <c r="A656" s="1126" t="s">
        <v>1238</v>
      </c>
      <c r="B656" s="1127">
        <v>139</v>
      </c>
      <c r="C656" s="1128">
        <v>0</v>
      </c>
      <c r="D656" s="1128">
        <v>51.01</v>
      </c>
      <c r="E656" s="1126"/>
    </row>
    <row r="657" spans="1:5" x14ac:dyDescent="0.2">
      <c r="A657" s="1126" t="s">
        <v>1239</v>
      </c>
      <c r="B657" s="1127">
        <v>145</v>
      </c>
      <c r="C657" s="1128">
        <v>0</v>
      </c>
      <c r="D657" s="1128">
        <v>23.44</v>
      </c>
      <c r="E657" s="1126"/>
    </row>
    <row r="658" spans="1:5" x14ac:dyDescent="0.2">
      <c r="A658" s="1126" t="s">
        <v>1240</v>
      </c>
      <c r="B658" s="1127">
        <v>126</v>
      </c>
      <c r="C658" s="1128">
        <v>0</v>
      </c>
      <c r="D658" s="1128">
        <v>29.1</v>
      </c>
      <c r="E658" s="1126"/>
    </row>
    <row r="659" spans="1:5" x14ac:dyDescent="0.2">
      <c r="A659" s="1126" t="s">
        <v>1241</v>
      </c>
      <c r="B659" s="1127">
        <v>193</v>
      </c>
      <c r="C659" s="1128">
        <v>218.58</v>
      </c>
      <c r="D659" s="1128">
        <v>351.24</v>
      </c>
      <c r="E659" s="1126"/>
    </row>
    <row r="660" spans="1:5" x14ac:dyDescent="0.2">
      <c r="A660" s="1126" t="s">
        <v>1242</v>
      </c>
      <c r="B660" s="1127">
        <v>157</v>
      </c>
      <c r="C660" s="1128">
        <v>0</v>
      </c>
      <c r="D660" s="1128">
        <v>37.67</v>
      </c>
      <c r="E660" s="1126"/>
    </row>
    <row r="661" spans="1:5" x14ac:dyDescent="0.2">
      <c r="A661" s="1126" t="s">
        <v>1243</v>
      </c>
      <c r="B661" s="1127">
        <v>165</v>
      </c>
      <c r="C661" s="1128">
        <v>0</v>
      </c>
      <c r="D661" s="1128">
        <v>81.06</v>
      </c>
      <c r="E661" s="1126"/>
    </row>
    <row r="662" spans="1:5" x14ac:dyDescent="0.2">
      <c r="A662" s="1126" t="s">
        <v>1244</v>
      </c>
      <c r="B662" s="1127">
        <v>64</v>
      </c>
      <c r="C662" s="1128">
        <v>0</v>
      </c>
      <c r="D662" s="1128">
        <v>8.9700000000000006</v>
      </c>
      <c r="E662" s="1126"/>
    </row>
    <row r="663" spans="1:5" x14ac:dyDescent="0.2">
      <c r="A663" s="1126" t="s">
        <v>1245</v>
      </c>
      <c r="B663" s="1127">
        <v>200</v>
      </c>
      <c r="C663" s="1128">
        <v>0</v>
      </c>
      <c r="D663" s="1128">
        <v>34.950000000000003</v>
      </c>
      <c r="E663" s="1126"/>
    </row>
    <row r="664" spans="1:5" x14ac:dyDescent="0.2">
      <c r="A664" s="1126" t="s">
        <v>1246</v>
      </c>
      <c r="B664" s="1127">
        <v>63</v>
      </c>
      <c r="C664" s="1128">
        <v>39.979999999999997</v>
      </c>
      <c r="D664" s="1128">
        <v>83.28</v>
      </c>
      <c r="E664" s="1126"/>
    </row>
    <row r="665" spans="1:5" x14ac:dyDescent="0.2">
      <c r="A665" s="1126" t="s">
        <v>1247</v>
      </c>
      <c r="B665" s="1127">
        <v>152</v>
      </c>
      <c r="C665" s="1128">
        <v>26.63</v>
      </c>
      <c r="D665" s="1128">
        <v>131.11000000000001</v>
      </c>
      <c r="E665" s="1126"/>
    </row>
    <row r="666" spans="1:5" x14ac:dyDescent="0.2">
      <c r="A666" s="1126" t="s">
        <v>1248</v>
      </c>
      <c r="B666" s="1127">
        <v>47</v>
      </c>
      <c r="C666" s="1128">
        <v>0</v>
      </c>
      <c r="D666" s="1128">
        <v>27.86</v>
      </c>
      <c r="E666" s="1126"/>
    </row>
    <row r="667" spans="1:5" x14ac:dyDescent="0.2">
      <c r="A667" s="1126" t="s">
        <v>1249</v>
      </c>
      <c r="B667" s="1127">
        <v>186</v>
      </c>
      <c r="C667" s="1128">
        <v>0</v>
      </c>
      <c r="D667" s="1128">
        <v>87.06</v>
      </c>
      <c r="E667" s="1126"/>
    </row>
    <row r="668" spans="1:5" x14ac:dyDescent="0.2">
      <c r="A668" s="1126" t="s">
        <v>1250</v>
      </c>
      <c r="B668" s="1127">
        <v>163</v>
      </c>
      <c r="C668" s="1128">
        <v>0</v>
      </c>
      <c r="D668" s="1128">
        <v>44.56</v>
      </c>
      <c r="E668" s="1126"/>
    </row>
    <row r="669" spans="1:5" x14ac:dyDescent="0.2">
      <c r="A669" s="1126" t="s">
        <v>1251</v>
      </c>
      <c r="B669" s="1127">
        <v>99</v>
      </c>
      <c r="C669" s="1128">
        <v>0</v>
      </c>
      <c r="D669" s="1128">
        <v>41.39</v>
      </c>
      <c r="E669" s="1126"/>
    </row>
    <row r="670" spans="1:5" x14ac:dyDescent="0.2">
      <c r="A670" s="1126" t="s">
        <v>1252</v>
      </c>
      <c r="B670" s="1127">
        <v>80</v>
      </c>
      <c r="C670" s="1128">
        <v>0</v>
      </c>
      <c r="D670" s="1128">
        <v>10.92</v>
      </c>
      <c r="E670" s="1126"/>
    </row>
    <row r="671" spans="1:5" x14ac:dyDescent="0.2">
      <c r="A671" s="1126" t="s">
        <v>1253</v>
      </c>
      <c r="B671" s="1127">
        <v>57</v>
      </c>
      <c r="C671" s="1128">
        <v>36.299999999999997</v>
      </c>
      <c r="D671" s="1128">
        <v>75.48</v>
      </c>
      <c r="E671" s="1126"/>
    </row>
    <row r="672" spans="1:5" x14ac:dyDescent="0.2">
      <c r="A672" s="1126" t="s">
        <v>1254</v>
      </c>
      <c r="B672" s="1127">
        <v>235</v>
      </c>
      <c r="C672" s="1128">
        <v>0</v>
      </c>
      <c r="D672" s="1128">
        <v>118.49</v>
      </c>
      <c r="E672" s="1126"/>
    </row>
    <row r="673" spans="1:5" x14ac:dyDescent="0.2">
      <c r="A673" s="1126" t="s">
        <v>1255</v>
      </c>
      <c r="B673" s="1127">
        <v>245</v>
      </c>
      <c r="C673" s="1128">
        <v>0</v>
      </c>
      <c r="D673" s="1128">
        <v>34.5</v>
      </c>
      <c r="E673" s="1126"/>
    </row>
    <row r="674" spans="1:5" x14ac:dyDescent="0.2">
      <c r="A674" s="1126" t="s">
        <v>1256</v>
      </c>
      <c r="B674" s="1127">
        <v>218</v>
      </c>
      <c r="C674" s="1128">
        <v>0</v>
      </c>
      <c r="D674" s="1128">
        <v>108.77</v>
      </c>
      <c r="E674" s="1126"/>
    </row>
    <row r="675" spans="1:5" x14ac:dyDescent="0.2">
      <c r="A675" s="1126" t="s">
        <v>1257</v>
      </c>
      <c r="B675" s="1127">
        <v>128</v>
      </c>
      <c r="C675" s="1128">
        <v>0.9</v>
      </c>
      <c r="D675" s="1128">
        <v>88.88</v>
      </c>
      <c r="E675" s="1126"/>
    </row>
    <row r="676" spans="1:5" x14ac:dyDescent="0.2">
      <c r="A676" s="1126" t="s">
        <v>1258</v>
      </c>
      <c r="B676" s="1127">
        <v>171</v>
      </c>
      <c r="C676" s="1128">
        <v>0</v>
      </c>
      <c r="D676" s="1128">
        <v>9</v>
      </c>
      <c r="E676" s="1126"/>
    </row>
    <row r="677" spans="1:5" x14ac:dyDescent="0.2">
      <c r="A677" s="1126" t="s">
        <v>1259</v>
      </c>
      <c r="B677" s="1127">
        <v>74</v>
      </c>
      <c r="C677" s="1128">
        <v>0</v>
      </c>
      <c r="D677" s="1128">
        <v>30.65</v>
      </c>
      <c r="E677" s="1126"/>
    </row>
    <row r="678" spans="1:5" x14ac:dyDescent="0.2">
      <c r="A678" s="1126" t="s">
        <v>1260</v>
      </c>
      <c r="B678" s="1127">
        <v>107</v>
      </c>
      <c r="C678" s="1128">
        <v>2.09</v>
      </c>
      <c r="D678" s="1128">
        <v>75.63</v>
      </c>
      <c r="E678" s="1126"/>
    </row>
    <row r="679" spans="1:5" x14ac:dyDescent="0.2">
      <c r="A679" s="1126" t="s">
        <v>1261</v>
      </c>
      <c r="B679" s="1127">
        <v>98</v>
      </c>
      <c r="C679" s="1128">
        <v>0</v>
      </c>
      <c r="D679" s="1128">
        <v>4.8</v>
      </c>
      <c r="E679" s="1126"/>
    </row>
    <row r="680" spans="1:5" x14ac:dyDescent="0.2">
      <c r="A680" s="1126" t="s">
        <v>1262</v>
      </c>
      <c r="B680" s="1127">
        <v>239</v>
      </c>
      <c r="C680" s="1128">
        <v>143.69</v>
      </c>
      <c r="D680" s="1128">
        <v>307.97000000000003</v>
      </c>
      <c r="E680" s="1126"/>
    </row>
    <row r="681" spans="1:5" x14ac:dyDescent="0.2">
      <c r="A681" s="1126" t="s">
        <v>1263</v>
      </c>
      <c r="B681" s="1127">
        <v>485</v>
      </c>
      <c r="C681" s="1128">
        <v>0</v>
      </c>
      <c r="D681" s="1128">
        <v>58.91</v>
      </c>
      <c r="E681" s="1126"/>
    </row>
    <row r="682" spans="1:5" x14ac:dyDescent="0.2">
      <c r="A682" s="1126" t="s">
        <v>1264</v>
      </c>
      <c r="B682" s="1127">
        <v>106</v>
      </c>
      <c r="C682" s="1128">
        <v>39.869999999999997</v>
      </c>
      <c r="D682" s="1128">
        <v>112.73</v>
      </c>
      <c r="E682" s="1126"/>
    </row>
    <row r="683" spans="1:5" x14ac:dyDescent="0.2">
      <c r="A683" s="1126" t="s">
        <v>1265</v>
      </c>
      <c r="B683" s="1127">
        <v>149</v>
      </c>
      <c r="C683" s="1128">
        <v>0</v>
      </c>
      <c r="D683" s="1128">
        <v>36.270000000000003</v>
      </c>
      <c r="E683" s="1126"/>
    </row>
    <row r="684" spans="1:5" x14ac:dyDescent="0.2">
      <c r="A684" s="1126" t="s">
        <v>1266</v>
      </c>
      <c r="B684" s="1127">
        <v>314</v>
      </c>
      <c r="C684" s="1128">
        <v>0</v>
      </c>
      <c r="D684" s="1128">
        <v>29.32</v>
      </c>
      <c r="E684" s="1126"/>
    </row>
    <row r="685" spans="1:5" x14ac:dyDescent="0.2">
      <c r="A685" s="1126" t="s">
        <v>1267</v>
      </c>
      <c r="B685" s="1127">
        <v>230</v>
      </c>
      <c r="C685" s="1128">
        <v>167.92</v>
      </c>
      <c r="D685" s="1128">
        <v>326.01</v>
      </c>
      <c r="E685" s="1126"/>
    </row>
    <row r="686" spans="1:5" x14ac:dyDescent="0.2">
      <c r="A686" s="1126" t="s">
        <v>1268</v>
      </c>
      <c r="B686" s="1127">
        <v>93</v>
      </c>
      <c r="C686" s="1128">
        <v>83.58</v>
      </c>
      <c r="D686" s="1128">
        <v>147.5</v>
      </c>
      <c r="E686" s="1126"/>
    </row>
    <row r="687" spans="1:5" x14ac:dyDescent="0.2">
      <c r="A687" s="1126" t="s">
        <v>1269</v>
      </c>
      <c r="B687" s="1127">
        <v>252</v>
      </c>
      <c r="C687" s="1128">
        <v>6.56</v>
      </c>
      <c r="D687" s="1128">
        <v>179.78</v>
      </c>
      <c r="E687" s="1126"/>
    </row>
    <row r="688" spans="1:5" x14ac:dyDescent="0.2">
      <c r="A688" s="1126" t="s">
        <v>1270</v>
      </c>
      <c r="B688" s="1127">
        <v>254</v>
      </c>
      <c r="C688" s="1128">
        <v>0</v>
      </c>
      <c r="D688" s="1128">
        <v>118.67</v>
      </c>
      <c r="E688" s="1126"/>
    </row>
    <row r="689" spans="1:5" x14ac:dyDescent="0.2">
      <c r="A689" s="1126" t="s">
        <v>1271</v>
      </c>
      <c r="B689" s="1127">
        <v>213</v>
      </c>
      <c r="C689" s="1128">
        <v>0</v>
      </c>
      <c r="D689" s="1128">
        <v>101.68</v>
      </c>
      <c r="E689" s="1126"/>
    </row>
    <row r="690" spans="1:5" x14ac:dyDescent="0.2">
      <c r="A690" s="1126" t="s">
        <v>1272</v>
      </c>
      <c r="B690" s="1127">
        <v>506</v>
      </c>
      <c r="C690" s="1128">
        <v>0</v>
      </c>
      <c r="D690" s="1128">
        <v>226.77</v>
      </c>
      <c r="E690" s="1126"/>
    </row>
    <row r="691" spans="1:5" x14ac:dyDescent="0.2">
      <c r="A691" s="1126" t="s">
        <v>1273</v>
      </c>
      <c r="B691" s="1127">
        <v>73</v>
      </c>
      <c r="C691" s="1128">
        <v>0</v>
      </c>
      <c r="D691" s="1128">
        <v>4.29</v>
      </c>
      <c r="E691" s="1126"/>
    </row>
    <row r="692" spans="1:5" x14ac:dyDescent="0.2">
      <c r="A692" s="1126" t="s">
        <v>1274</v>
      </c>
      <c r="B692" s="1127">
        <v>220</v>
      </c>
      <c r="C692" s="1128">
        <v>0</v>
      </c>
      <c r="D692" s="1128">
        <v>101.76</v>
      </c>
      <c r="E692" s="1126"/>
    </row>
    <row r="693" spans="1:5" x14ac:dyDescent="0.2">
      <c r="A693" s="1126" t="s">
        <v>1275</v>
      </c>
      <c r="B693" s="1127">
        <v>138</v>
      </c>
      <c r="C693" s="1128">
        <v>0</v>
      </c>
      <c r="D693" s="1128">
        <v>39.590000000000003</v>
      </c>
      <c r="E693" s="1126"/>
    </row>
    <row r="694" spans="1:5" x14ac:dyDescent="0.2">
      <c r="A694" s="1126" t="s">
        <v>1276</v>
      </c>
      <c r="B694" s="1127">
        <v>156</v>
      </c>
      <c r="C694" s="1128">
        <v>272.41000000000003</v>
      </c>
      <c r="D694" s="1128">
        <v>379.64</v>
      </c>
      <c r="E694" s="1126"/>
    </row>
    <row r="695" spans="1:5" x14ac:dyDescent="0.2">
      <c r="A695" s="1126" t="s">
        <v>1277</v>
      </c>
      <c r="B695" s="1127">
        <v>87</v>
      </c>
      <c r="C695" s="1128">
        <v>0</v>
      </c>
      <c r="D695" s="1128">
        <v>5</v>
      </c>
      <c r="E695" s="1126"/>
    </row>
    <row r="696" spans="1:5" x14ac:dyDescent="0.2">
      <c r="A696" s="1126" t="s">
        <v>1278</v>
      </c>
      <c r="B696" s="1127">
        <v>63</v>
      </c>
      <c r="C696" s="1128">
        <v>0</v>
      </c>
      <c r="D696" s="1128">
        <v>20.37</v>
      </c>
      <c r="E696" s="1126"/>
    </row>
    <row r="697" spans="1:5" x14ac:dyDescent="0.2">
      <c r="A697" s="1126" t="s">
        <v>1279</v>
      </c>
      <c r="B697" s="1127">
        <v>370</v>
      </c>
      <c r="C697" s="1128">
        <v>0</v>
      </c>
      <c r="D697" s="1128">
        <v>249.57</v>
      </c>
      <c r="E697" s="1126"/>
    </row>
    <row r="698" spans="1:5" x14ac:dyDescent="0.2">
      <c r="A698" s="1126" t="s">
        <v>1280</v>
      </c>
      <c r="B698" s="1127">
        <v>473</v>
      </c>
      <c r="C698" s="1128">
        <v>0</v>
      </c>
      <c r="D698" s="1128">
        <v>4.3600000000000003</v>
      </c>
      <c r="E698" s="1126"/>
    </row>
    <row r="699" spans="1:5" x14ac:dyDescent="0.2">
      <c r="A699" s="1126" t="s">
        <v>1281</v>
      </c>
      <c r="B699" s="1127">
        <v>397</v>
      </c>
      <c r="C699" s="1128">
        <v>0</v>
      </c>
      <c r="D699" s="1128">
        <v>49.58</v>
      </c>
      <c r="E699" s="1126"/>
    </row>
    <row r="700" spans="1:5" x14ac:dyDescent="0.2">
      <c r="A700" s="1126" t="s">
        <v>1282</v>
      </c>
      <c r="B700" s="1127">
        <v>279</v>
      </c>
      <c r="C700" s="1128">
        <v>0</v>
      </c>
      <c r="D700" s="1128">
        <v>156.02000000000001</v>
      </c>
      <c r="E700" s="1126"/>
    </row>
    <row r="701" spans="1:5" x14ac:dyDescent="0.2">
      <c r="A701" s="1126" t="s">
        <v>1283</v>
      </c>
      <c r="B701" s="1127">
        <v>271</v>
      </c>
      <c r="C701" s="1128">
        <v>218.52</v>
      </c>
      <c r="D701" s="1128">
        <v>404.8</v>
      </c>
      <c r="E701" s="1126"/>
    </row>
    <row r="702" spans="1:5" x14ac:dyDescent="0.2">
      <c r="A702" s="1126" t="s">
        <v>1284</v>
      </c>
      <c r="B702" s="1127">
        <v>442</v>
      </c>
      <c r="C702" s="1128">
        <v>0</v>
      </c>
      <c r="D702" s="1128">
        <v>37</v>
      </c>
      <c r="E702" s="1126"/>
    </row>
    <row r="703" spans="1:5" x14ac:dyDescent="0.2">
      <c r="A703" s="1126" t="s">
        <v>1285</v>
      </c>
      <c r="B703" s="1127">
        <v>667</v>
      </c>
      <c r="C703" s="1128">
        <v>0</v>
      </c>
      <c r="D703" s="1128">
        <v>287.56</v>
      </c>
      <c r="E703" s="1126"/>
    </row>
    <row r="704" spans="1:5" x14ac:dyDescent="0.2">
      <c r="A704" s="1126" t="s">
        <v>1286</v>
      </c>
      <c r="B704" s="1127">
        <v>100</v>
      </c>
      <c r="C704" s="1128">
        <v>0</v>
      </c>
      <c r="D704" s="1128">
        <v>19.399999999999999</v>
      </c>
      <c r="E704" s="1126"/>
    </row>
    <row r="705" spans="1:5" x14ac:dyDescent="0.2">
      <c r="A705" s="1126" t="s">
        <v>1287</v>
      </c>
      <c r="B705" s="1127">
        <v>154</v>
      </c>
      <c r="C705" s="1128">
        <v>0</v>
      </c>
      <c r="D705" s="1128">
        <v>69.38</v>
      </c>
      <c r="E705" s="1126"/>
    </row>
    <row r="706" spans="1:5" x14ac:dyDescent="0.2">
      <c r="A706" s="1126" t="s">
        <v>1288</v>
      </c>
      <c r="B706" s="1127">
        <v>159</v>
      </c>
      <c r="C706" s="1128">
        <v>0</v>
      </c>
      <c r="D706" s="1128">
        <v>30.77</v>
      </c>
      <c r="E706" s="1126"/>
    </row>
    <row r="707" spans="1:5" x14ac:dyDescent="0.2">
      <c r="A707" s="1126" t="s">
        <v>1289</v>
      </c>
      <c r="B707" s="1127">
        <v>125</v>
      </c>
      <c r="C707" s="1128">
        <v>89.37</v>
      </c>
      <c r="D707" s="1128">
        <v>175.29</v>
      </c>
      <c r="E707" s="1126"/>
    </row>
    <row r="708" spans="1:5" x14ac:dyDescent="0.2">
      <c r="A708" s="1126" t="s">
        <v>1290</v>
      </c>
      <c r="B708" s="1127">
        <v>367</v>
      </c>
      <c r="C708" s="1128">
        <v>0</v>
      </c>
      <c r="D708" s="1128">
        <v>52.98</v>
      </c>
      <c r="E708" s="1126"/>
    </row>
    <row r="709" spans="1:5" x14ac:dyDescent="0.2">
      <c r="A709" s="1126" t="s">
        <v>1291</v>
      </c>
      <c r="B709" s="1127">
        <v>285</v>
      </c>
      <c r="C709" s="1128">
        <v>0</v>
      </c>
      <c r="D709" s="1128">
        <v>134.86000000000001</v>
      </c>
      <c r="E709" s="1126"/>
    </row>
    <row r="710" spans="1:5" x14ac:dyDescent="0.2">
      <c r="A710" s="1126" t="s">
        <v>1292</v>
      </c>
      <c r="B710" s="1127">
        <v>132</v>
      </c>
      <c r="C710" s="1128">
        <v>0</v>
      </c>
      <c r="D710" s="1128">
        <v>30.38</v>
      </c>
      <c r="E710" s="1126"/>
    </row>
    <row r="711" spans="1:5" x14ac:dyDescent="0.2">
      <c r="A711" s="1126" t="s">
        <v>1293</v>
      </c>
      <c r="B711" s="1127">
        <v>198</v>
      </c>
      <c r="C711" s="1128">
        <v>286.58</v>
      </c>
      <c r="D711" s="1128">
        <v>422.68</v>
      </c>
      <c r="E711" s="1126"/>
    </row>
    <row r="712" spans="1:5" x14ac:dyDescent="0.2">
      <c r="A712" s="1126" t="s">
        <v>1294</v>
      </c>
      <c r="B712" s="1127">
        <v>197</v>
      </c>
      <c r="C712" s="1128">
        <v>0</v>
      </c>
      <c r="D712" s="1128">
        <v>41.97</v>
      </c>
      <c r="E712" s="1126"/>
    </row>
    <row r="713" spans="1:5" x14ac:dyDescent="0.2">
      <c r="A713" s="1126" t="s">
        <v>1295</v>
      </c>
      <c r="B713" s="1127">
        <v>237</v>
      </c>
      <c r="C713" s="1128">
        <v>0</v>
      </c>
      <c r="D713" s="1128">
        <v>90.68</v>
      </c>
      <c r="E713" s="1126"/>
    </row>
    <row r="714" spans="1:5" x14ac:dyDescent="0.2">
      <c r="A714" s="1126" t="s">
        <v>1296</v>
      </c>
      <c r="B714" s="1127">
        <v>94</v>
      </c>
      <c r="C714" s="1128">
        <v>4.1900000000000004</v>
      </c>
      <c r="D714" s="1128">
        <v>68.8</v>
      </c>
      <c r="E714" s="1126"/>
    </row>
    <row r="715" spans="1:5" x14ac:dyDescent="0.2">
      <c r="A715" s="1126" t="s">
        <v>1297</v>
      </c>
      <c r="B715" s="1127">
        <v>158</v>
      </c>
      <c r="C715" s="1128">
        <v>0</v>
      </c>
      <c r="D715" s="1128">
        <v>72.180000000000007</v>
      </c>
      <c r="E715" s="1126"/>
    </row>
    <row r="716" spans="1:5" x14ac:dyDescent="0.2">
      <c r="A716" s="1126" t="s">
        <v>1298</v>
      </c>
      <c r="B716" s="1127">
        <v>63</v>
      </c>
      <c r="C716" s="1128">
        <v>0</v>
      </c>
      <c r="D716" s="1128">
        <v>17.95</v>
      </c>
      <c r="E716" s="1126"/>
    </row>
    <row r="717" spans="1:5" x14ac:dyDescent="0.2">
      <c r="A717" s="1126" t="s">
        <v>1299</v>
      </c>
      <c r="B717" s="1127">
        <v>159</v>
      </c>
      <c r="C717" s="1128">
        <v>0</v>
      </c>
      <c r="D717" s="1128">
        <v>16.239999999999998</v>
      </c>
      <c r="E717" s="1126"/>
    </row>
    <row r="718" spans="1:5" x14ac:dyDescent="0.2">
      <c r="A718" s="1126" t="s">
        <v>1300</v>
      </c>
      <c r="B718" s="1127">
        <v>152</v>
      </c>
      <c r="C718" s="1128">
        <v>14.08</v>
      </c>
      <c r="D718" s="1128">
        <v>118.56</v>
      </c>
      <c r="E718" s="1126"/>
    </row>
    <row r="719" spans="1:5" x14ac:dyDescent="0.2">
      <c r="A719" s="1126" t="s">
        <v>1301</v>
      </c>
      <c r="B719" s="1127">
        <v>343</v>
      </c>
      <c r="C719" s="1128">
        <v>0</v>
      </c>
      <c r="D719" s="1128">
        <v>69.02</v>
      </c>
      <c r="E719" s="1126"/>
    </row>
    <row r="720" spans="1:5" x14ac:dyDescent="0.2">
      <c r="A720" s="1126" t="s">
        <v>1302</v>
      </c>
      <c r="B720" s="1127">
        <v>35</v>
      </c>
      <c r="C720" s="1128">
        <v>0</v>
      </c>
      <c r="D720" s="1128">
        <v>4.5599999999999996</v>
      </c>
      <c r="E720" s="1126" t="s">
        <v>669</v>
      </c>
    </row>
    <row r="721" spans="1:5" x14ac:dyDescent="0.2">
      <c r="A721" s="1126" t="s">
        <v>1303</v>
      </c>
      <c r="B721" s="1127">
        <v>181</v>
      </c>
      <c r="C721" s="1128">
        <v>0</v>
      </c>
      <c r="D721" s="1128">
        <v>83.81</v>
      </c>
      <c r="E721" s="1126"/>
    </row>
    <row r="722" spans="1:5" x14ac:dyDescent="0.2">
      <c r="A722" s="1126" t="s">
        <v>1304</v>
      </c>
      <c r="B722" s="1127">
        <v>194</v>
      </c>
      <c r="C722" s="1128">
        <v>0</v>
      </c>
      <c r="D722" s="1128">
        <v>120.48</v>
      </c>
      <c r="E722" s="1126"/>
    </row>
    <row r="723" spans="1:5" x14ac:dyDescent="0.2">
      <c r="A723" s="1126" t="s">
        <v>1305</v>
      </c>
      <c r="B723" s="1127">
        <v>200</v>
      </c>
      <c r="C723" s="1128">
        <v>0</v>
      </c>
      <c r="D723" s="1128">
        <v>110.98</v>
      </c>
      <c r="E723" s="1126"/>
    </row>
    <row r="724" spans="1:5" x14ac:dyDescent="0.2">
      <c r="A724" s="1126" t="s">
        <v>1306</v>
      </c>
      <c r="B724" s="1127">
        <v>51</v>
      </c>
      <c r="C724" s="1128">
        <v>0</v>
      </c>
      <c r="D724" s="1128">
        <v>4.82</v>
      </c>
      <c r="E724" s="1126"/>
    </row>
    <row r="725" spans="1:5" x14ac:dyDescent="0.2">
      <c r="A725" s="1126" t="s">
        <v>1307</v>
      </c>
      <c r="B725" s="1127">
        <v>139</v>
      </c>
      <c r="C725" s="1128">
        <v>0</v>
      </c>
      <c r="D725" s="1128">
        <v>19.2</v>
      </c>
      <c r="E725" s="1126"/>
    </row>
    <row r="726" spans="1:5" x14ac:dyDescent="0.2">
      <c r="A726" s="1126" t="s">
        <v>1308</v>
      </c>
      <c r="B726" s="1127">
        <v>357</v>
      </c>
      <c r="C726" s="1128">
        <v>0</v>
      </c>
      <c r="D726" s="1128">
        <v>118.84</v>
      </c>
      <c r="E726" s="1126"/>
    </row>
    <row r="727" spans="1:5" x14ac:dyDescent="0.2">
      <c r="A727" s="1126" t="s">
        <v>1309</v>
      </c>
      <c r="B727" s="1127">
        <v>200</v>
      </c>
      <c r="C727" s="1128">
        <v>0</v>
      </c>
      <c r="D727" s="1128">
        <v>53.67</v>
      </c>
      <c r="E727" s="1126"/>
    </row>
    <row r="728" spans="1:5" x14ac:dyDescent="0.2">
      <c r="A728" s="1126" t="s">
        <v>1310</v>
      </c>
      <c r="B728" s="1127">
        <v>355</v>
      </c>
      <c r="C728" s="1128">
        <v>0</v>
      </c>
      <c r="D728" s="1128">
        <v>115.21</v>
      </c>
      <c r="E728" s="1126"/>
    </row>
    <row r="729" spans="1:5" x14ac:dyDescent="0.2">
      <c r="A729" s="1126" t="s">
        <v>1311</v>
      </c>
      <c r="B729" s="1127">
        <v>202</v>
      </c>
      <c r="C729" s="1128">
        <v>0</v>
      </c>
      <c r="D729" s="1128">
        <v>37.380000000000003</v>
      </c>
      <c r="E729" s="1126"/>
    </row>
    <row r="730" spans="1:5" x14ac:dyDescent="0.2">
      <c r="A730" s="1126" t="s">
        <v>1312</v>
      </c>
      <c r="B730" s="1127">
        <v>163</v>
      </c>
      <c r="C730" s="1128">
        <v>0</v>
      </c>
      <c r="D730" s="1128">
        <v>29.12</v>
      </c>
      <c r="E730" s="1126"/>
    </row>
    <row r="731" spans="1:5" x14ac:dyDescent="0.2">
      <c r="A731" s="1126" t="s">
        <v>1313</v>
      </c>
      <c r="B731" s="1127">
        <v>153</v>
      </c>
      <c r="C731" s="1128">
        <v>0</v>
      </c>
      <c r="D731" s="1128">
        <v>23.45</v>
      </c>
      <c r="E731" s="1126"/>
    </row>
    <row r="732" spans="1:5" x14ac:dyDescent="0.2">
      <c r="A732" s="1126" t="s">
        <v>1314</v>
      </c>
      <c r="B732" s="1127">
        <v>136</v>
      </c>
      <c r="C732" s="1128">
        <v>1.69</v>
      </c>
      <c r="D732" s="1128">
        <v>95.17</v>
      </c>
      <c r="E732" s="1126"/>
    </row>
    <row r="733" spans="1:5" x14ac:dyDescent="0.2">
      <c r="A733" s="1126" t="s">
        <v>1315</v>
      </c>
      <c r="B733" s="1127">
        <v>357</v>
      </c>
      <c r="C733" s="1128">
        <v>763.04</v>
      </c>
      <c r="D733" s="1128">
        <v>1008.43</v>
      </c>
      <c r="E733" s="1126"/>
    </row>
    <row r="734" spans="1:5" x14ac:dyDescent="0.2">
      <c r="A734" s="1126" t="s">
        <v>1316</v>
      </c>
      <c r="B734" s="1127">
        <v>314</v>
      </c>
      <c r="C734" s="1128">
        <v>0</v>
      </c>
      <c r="D734" s="1128">
        <v>61.12</v>
      </c>
      <c r="E734" s="1126"/>
    </row>
    <row r="735" spans="1:5" x14ac:dyDescent="0.2">
      <c r="A735" s="1126" t="s">
        <v>1317</v>
      </c>
      <c r="B735" s="1127">
        <v>163</v>
      </c>
      <c r="C735" s="1128">
        <v>0</v>
      </c>
      <c r="D735" s="1128">
        <v>56.4</v>
      </c>
      <c r="E735" s="1126"/>
    </row>
    <row r="736" spans="1:5" x14ac:dyDescent="0.2">
      <c r="A736" s="1126" t="s">
        <v>1318</v>
      </c>
      <c r="B736" s="1127">
        <v>48</v>
      </c>
      <c r="C736" s="1128">
        <v>0</v>
      </c>
      <c r="D736" s="1128">
        <v>5.73</v>
      </c>
      <c r="E736" s="1126"/>
    </row>
    <row r="737" spans="1:5" x14ac:dyDescent="0.2">
      <c r="A737" s="1126" t="s">
        <v>1319</v>
      </c>
      <c r="B737" s="1127">
        <v>355</v>
      </c>
      <c r="C737" s="1128">
        <v>0</v>
      </c>
      <c r="D737" s="1128">
        <v>60.61</v>
      </c>
      <c r="E737" s="1126"/>
    </row>
    <row r="738" spans="1:5" x14ac:dyDescent="0.2">
      <c r="A738" s="1126" t="s">
        <v>1320</v>
      </c>
      <c r="B738" s="1127">
        <v>89</v>
      </c>
      <c r="C738" s="1128">
        <v>53.78</v>
      </c>
      <c r="D738" s="1128">
        <v>114.96</v>
      </c>
      <c r="E738" s="1126"/>
    </row>
    <row r="739" spans="1:5" x14ac:dyDescent="0.2">
      <c r="A739" s="1126" t="s">
        <v>1321</v>
      </c>
      <c r="B739" s="1127">
        <v>68</v>
      </c>
      <c r="C739" s="1128">
        <v>0</v>
      </c>
      <c r="D739" s="1128">
        <v>0</v>
      </c>
      <c r="E739" s="1126"/>
    </row>
    <row r="740" spans="1:5" x14ac:dyDescent="0.2">
      <c r="A740" s="1126" t="s">
        <v>1322</v>
      </c>
      <c r="B740" s="1127">
        <v>276</v>
      </c>
      <c r="C740" s="1128">
        <v>0</v>
      </c>
      <c r="D740" s="1128">
        <v>30.47</v>
      </c>
      <c r="E740" s="1126"/>
    </row>
    <row r="741" spans="1:5" x14ac:dyDescent="0.2">
      <c r="A741" s="1126" t="s">
        <v>1323</v>
      </c>
      <c r="B741" s="1127">
        <v>128</v>
      </c>
      <c r="C741" s="1128">
        <v>16.21</v>
      </c>
      <c r="D741" s="1128">
        <v>104.19</v>
      </c>
      <c r="E741" s="1126"/>
    </row>
    <row r="742" spans="1:5" x14ac:dyDescent="0.2">
      <c r="A742" s="1126" t="s">
        <v>1324</v>
      </c>
      <c r="B742" s="1127">
        <v>61</v>
      </c>
      <c r="C742" s="1128">
        <v>0</v>
      </c>
      <c r="D742" s="1128">
        <v>18.940000000000001</v>
      </c>
      <c r="E742" s="1126"/>
    </row>
    <row r="743" spans="1:5" x14ac:dyDescent="0.2">
      <c r="A743" s="1126" t="s">
        <v>1325</v>
      </c>
      <c r="B743" s="1127">
        <v>237</v>
      </c>
      <c r="C743" s="1128">
        <v>0</v>
      </c>
      <c r="D743" s="1128">
        <v>45.34</v>
      </c>
      <c r="E743" s="1126"/>
    </row>
    <row r="744" spans="1:5" x14ac:dyDescent="0.2">
      <c r="A744" s="1126" t="s">
        <v>1326</v>
      </c>
      <c r="B744" s="1127">
        <v>448</v>
      </c>
      <c r="C744" s="1128">
        <v>0</v>
      </c>
      <c r="D744" s="1128">
        <v>133.63999999999999</v>
      </c>
      <c r="E744" s="1126"/>
    </row>
    <row r="745" spans="1:5" x14ac:dyDescent="0.2">
      <c r="A745" s="1126" t="s">
        <v>1327</v>
      </c>
      <c r="B745" s="1127">
        <v>36</v>
      </c>
      <c r="C745" s="1128">
        <v>34.159999999999997</v>
      </c>
      <c r="D745" s="1128">
        <v>58.9</v>
      </c>
      <c r="E745" s="1126" t="s">
        <v>669</v>
      </c>
    </row>
    <row r="746" spans="1:5" x14ac:dyDescent="0.2">
      <c r="A746" s="1126" t="s">
        <v>1328</v>
      </c>
      <c r="B746" s="1127">
        <v>217</v>
      </c>
      <c r="C746" s="1128">
        <v>4</v>
      </c>
      <c r="D746" s="1128">
        <v>153.16</v>
      </c>
      <c r="E746" s="1126"/>
    </row>
    <row r="747" spans="1:5" x14ac:dyDescent="0.2">
      <c r="A747" s="1126" t="s">
        <v>1329</v>
      </c>
      <c r="B747" s="1127">
        <v>80</v>
      </c>
      <c r="C747" s="1128">
        <v>0</v>
      </c>
      <c r="D747" s="1128">
        <v>34.369999999999997</v>
      </c>
      <c r="E747" s="1126"/>
    </row>
    <row r="748" spans="1:5" x14ac:dyDescent="0.2">
      <c r="A748" s="1126" t="s">
        <v>1330</v>
      </c>
      <c r="B748" s="1127">
        <v>214</v>
      </c>
      <c r="C748" s="1128">
        <v>22.27</v>
      </c>
      <c r="D748" s="1128">
        <v>169.36</v>
      </c>
      <c r="E748" s="1126"/>
    </row>
    <row r="749" spans="1:5" x14ac:dyDescent="0.2">
      <c r="A749" s="1126" t="s">
        <v>1331</v>
      </c>
      <c r="B749" s="1127">
        <v>302</v>
      </c>
      <c r="C749" s="1128">
        <v>22.8</v>
      </c>
      <c r="D749" s="1128">
        <v>230.39</v>
      </c>
      <c r="E749" s="1126"/>
    </row>
    <row r="750" spans="1:5" x14ac:dyDescent="0.2">
      <c r="A750" s="1126" t="s">
        <v>1332</v>
      </c>
      <c r="B750" s="1127">
        <v>296</v>
      </c>
      <c r="C750" s="1128">
        <v>0</v>
      </c>
      <c r="D750" s="1128">
        <v>183.86</v>
      </c>
      <c r="E750" s="1126"/>
    </row>
    <row r="751" spans="1:5" x14ac:dyDescent="0.2">
      <c r="A751" s="1126" t="s">
        <v>1333</v>
      </c>
      <c r="B751" s="1127">
        <v>228</v>
      </c>
      <c r="C751" s="1128">
        <v>0</v>
      </c>
      <c r="D751" s="1128">
        <v>91.81</v>
      </c>
      <c r="E751" s="1126"/>
    </row>
    <row r="752" spans="1:5" x14ac:dyDescent="0.2">
      <c r="A752" s="1126" t="s">
        <v>1334</v>
      </c>
      <c r="B752" s="1127">
        <v>87</v>
      </c>
      <c r="C752" s="1128">
        <v>0</v>
      </c>
      <c r="D752" s="1128">
        <v>40.72</v>
      </c>
      <c r="E752" s="1126"/>
    </row>
    <row r="753" spans="1:5" x14ac:dyDescent="0.2">
      <c r="A753" s="1126" t="s">
        <v>1335</v>
      </c>
      <c r="B753" s="1127">
        <v>147</v>
      </c>
      <c r="C753" s="1128">
        <v>0</v>
      </c>
      <c r="D753" s="1128">
        <v>86.92</v>
      </c>
      <c r="E753" s="1126"/>
    </row>
    <row r="754" spans="1:5" x14ac:dyDescent="0.2">
      <c r="A754" s="1126" t="s">
        <v>1336</v>
      </c>
      <c r="B754" s="1127">
        <v>100</v>
      </c>
      <c r="C754" s="1128">
        <v>8.3800000000000008</v>
      </c>
      <c r="D754" s="1128">
        <v>77.11</v>
      </c>
      <c r="E754" s="1126"/>
    </row>
    <row r="755" spans="1:5" x14ac:dyDescent="0.2">
      <c r="A755" s="1126" t="s">
        <v>1337</v>
      </c>
      <c r="B755" s="1127">
        <v>177</v>
      </c>
      <c r="C755" s="1128">
        <v>0</v>
      </c>
      <c r="D755" s="1128">
        <v>103.05</v>
      </c>
      <c r="E755" s="1126"/>
    </row>
    <row r="756" spans="1:5" x14ac:dyDescent="0.2">
      <c r="A756" s="1126" t="s">
        <v>1338</v>
      </c>
      <c r="B756" s="1127">
        <v>139</v>
      </c>
      <c r="C756" s="1128">
        <v>0</v>
      </c>
      <c r="D756" s="1128">
        <v>23.59</v>
      </c>
      <c r="E756" s="1126"/>
    </row>
    <row r="757" spans="1:5" x14ac:dyDescent="0.2">
      <c r="A757" s="1126" t="s">
        <v>1339</v>
      </c>
      <c r="B757" s="1127">
        <v>243</v>
      </c>
      <c r="C757" s="1128">
        <v>724.54</v>
      </c>
      <c r="D757" s="1128">
        <v>891.57</v>
      </c>
      <c r="E757" s="1126"/>
    </row>
    <row r="758" spans="1:5" x14ac:dyDescent="0.2">
      <c r="A758" s="1126" t="s">
        <v>1340</v>
      </c>
      <c r="B758" s="1127">
        <v>608</v>
      </c>
      <c r="C758" s="1128">
        <v>0</v>
      </c>
      <c r="D758" s="1128">
        <v>8.58</v>
      </c>
      <c r="E758" s="1126"/>
    </row>
    <row r="759" spans="1:5" x14ac:dyDescent="0.2">
      <c r="A759" s="1126" t="s">
        <v>1341</v>
      </c>
      <c r="B759" s="1127">
        <v>239</v>
      </c>
      <c r="C759" s="1128">
        <v>0</v>
      </c>
      <c r="D759" s="1128">
        <v>38.299999999999997</v>
      </c>
      <c r="E759" s="1126"/>
    </row>
    <row r="760" spans="1:5" x14ac:dyDescent="0.2">
      <c r="A760" s="1126" t="s">
        <v>1342</v>
      </c>
      <c r="B760" s="1127">
        <v>102</v>
      </c>
      <c r="C760" s="1128">
        <v>0</v>
      </c>
      <c r="D760" s="1128">
        <v>21.13</v>
      </c>
      <c r="E760" s="1126"/>
    </row>
    <row r="761" spans="1:5" x14ac:dyDescent="0.2">
      <c r="A761" s="1126" t="s">
        <v>1343</v>
      </c>
      <c r="B761" s="1127">
        <v>204</v>
      </c>
      <c r="C761" s="1128">
        <v>0</v>
      </c>
      <c r="D761" s="1128">
        <v>139.76</v>
      </c>
      <c r="E761" s="1126"/>
    </row>
    <row r="762" spans="1:5" x14ac:dyDescent="0.2">
      <c r="A762" s="1126" t="s">
        <v>1344</v>
      </c>
      <c r="B762" s="1127">
        <v>164</v>
      </c>
      <c r="C762" s="1128">
        <v>0</v>
      </c>
      <c r="D762" s="1128">
        <v>51.38</v>
      </c>
      <c r="E762" s="1126"/>
    </row>
    <row r="763" spans="1:5" x14ac:dyDescent="0.2">
      <c r="A763" s="1126" t="s">
        <v>1345</v>
      </c>
      <c r="B763" s="1127">
        <v>128</v>
      </c>
      <c r="C763" s="1128">
        <v>0</v>
      </c>
      <c r="D763" s="1128">
        <v>41.59</v>
      </c>
      <c r="E763" s="1126"/>
    </row>
    <row r="764" spans="1:5" x14ac:dyDescent="0.2">
      <c r="A764" s="1126" t="s">
        <v>1346</v>
      </c>
      <c r="B764" s="1127">
        <v>130</v>
      </c>
      <c r="C764" s="1128">
        <v>0</v>
      </c>
      <c r="D764" s="1128">
        <v>49.22</v>
      </c>
      <c r="E764" s="1126"/>
    </row>
    <row r="765" spans="1:5" x14ac:dyDescent="0.2">
      <c r="A765" s="1126" t="s">
        <v>1347</v>
      </c>
      <c r="B765" s="1127">
        <v>155</v>
      </c>
      <c r="C765" s="1128">
        <v>0</v>
      </c>
      <c r="D765" s="1128">
        <v>42.56</v>
      </c>
      <c r="E765" s="1126"/>
    </row>
    <row r="766" spans="1:5" x14ac:dyDescent="0.2">
      <c r="A766" s="1126" t="s">
        <v>1348</v>
      </c>
      <c r="B766" s="1127">
        <v>127</v>
      </c>
      <c r="C766" s="1128">
        <v>1.23</v>
      </c>
      <c r="D766" s="1128">
        <v>88.52</v>
      </c>
      <c r="E766" s="1126"/>
    </row>
    <row r="767" spans="1:5" x14ac:dyDescent="0.2">
      <c r="A767" s="1126" t="s">
        <v>1349</v>
      </c>
      <c r="B767" s="1127">
        <v>248</v>
      </c>
      <c r="C767" s="1128">
        <v>0</v>
      </c>
      <c r="D767" s="1128">
        <v>9.56</v>
      </c>
      <c r="E767" s="1126"/>
    </row>
    <row r="768" spans="1:5" x14ac:dyDescent="0.2">
      <c r="A768" s="1126" t="s">
        <v>1350</v>
      </c>
      <c r="B768" s="1127">
        <v>333</v>
      </c>
      <c r="C768" s="1128">
        <v>0</v>
      </c>
      <c r="D768" s="1128">
        <v>45.29</v>
      </c>
      <c r="E768" s="1126"/>
    </row>
    <row r="769" spans="1:5" x14ac:dyDescent="0.2">
      <c r="A769" s="1126" t="s">
        <v>1351</v>
      </c>
      <c r="B769" s="1127">
        <v>73</v>
      </c>
      <c r="C769" s="1128">
        <v>214.97</v>
      </c>
      <c r="D769" s="1128">
        <v>265.14999999999998</v>
      </c>
      <c r="E769" s="1126"/>
    </row>
    <row r="770" spans="1:5" x14ac:dyDescent="0.2">
      <c r="A770" s="1126" t="s">
        <v>1352</v>
      </c>
      <c r="B770" s="1127">
        <v>225</v>
      </c>
      <c r="C770" s="1128">
        <v>0</v>
      </c>
      <c r="D770" s="1128">
        <v>43.67</v>
      </c>
      <c r="E770" s="1126"/>
    </row>
    <row r="771" spans="1:5" x14ac:dyDescent="0.2">
      <c r="A771" s="1126" t="s">
        <v>1353</v>
      </c>
      <c r="B771" s="1127">
        <v>182</v>
      </c>
      <c r="C771" s="1128">
        <v>0</v>
      </c>
      <c r="D771" s="1128">
        <v>49.7</v>
      </c>
      <c r="E771" s="1126"/>
    </row>
    <row r="772" spans="1:5" x14ac:dyDescent="0.2">
      <c r="A772" s="1126" t="s">
        <v>1354</v>
      </c>
      <c r="B772" s="1127">
        <v>209</v>
      </c>
      <c r="C772" s="1128">
        <v>0</v>
      </c>
      <c r="D772" s="1128">
        <v>25.36</v>
      </c>
      <c r="E772" s="1126"/>
    </row>
    <row r="773" spans="1:5" x14ac:dyDescent="0.2">
      <c r="A773" s="1126" t="s">
        <v>1355</v>
      </c>
      <c r="B773" s="1127">
        <v>371</v>
      </c>
      <c r="C773" s="1128">
        <v>0</v>
      </c>
      <c r="D773" s="1128">
        <v>43.54</v>
      </c>
      <c r="E773" s="1126"/>
    </row>
    <row r="774" spans="1:5" x14ac:dyDescent="0.2">
      <c r="A774" s="1126" t="s">
        <v>1356</v>
      </c>
      <c r="B774" s="1127">
        <v>156</v>
      </c>
      <c r="C774" s="1128">
        <v>0</v>
      </c>
      <c r="D774" s="1128">
        <v>18.309999999999999</v>
      </c>
      <c r="E774" s="1126"/>
    </row>
    <row r="775" spans="1:5" x14ac:dyDescent="0.2">
      <c r="A775" s="1126" t="s">
        <v>1357</v>
      </c>
      <c r="B775" s="1127">
        <v>82</v>
      </c>
      <c r="C775" s="1128">
        <v>7.3</v>
      </c>
      <c r="D775" s="1128">
        <v>63.67</v>
      </c>
      <c r="E775" s="1126"/>
    </row>
    <row r="776" spans="1:5" x14ac:dyDescent="0.2">
      <c r="A776" s="1126" t="s">
        <v>1358</v>
      </c>
      <c r="B776" s="1127">
        <v>156</v>
      </c>
      <c r="C776" s="1128">
        <v>0</v>
      </c>
      <c r="D776" s="1128">
        <v>50.81</v>
      </c>
      <c r="E776" s="1126"/>
    </row>
    <row r="777" spans="1:5" x14ac:dyDescent="0.2">
      <c r="A777" s="1126" t="s">
        <v>1359</v>
      </c>
      <c r="B777" s="1127">
        <v>237</v>
      </c>
      <c r="C777" s="1128">
        <v>0</v>
      </c>
      <c r="D777" s="1128">
        <v>69.08</v>
      </c>
      <c r="E777" s="1126"/>
    </row>
    <row r="778" spans="1:5" x14ac:dyDescent="0.2">
      <c r="A778" s="1126" t="s">
        <v>1360</v>
      </c>
      <c r="B778" s="1127">
        <v>211</v>
      </c>
      <c r="C778" s="1128">
        <v>0</v>
      </c>
      <c r="D778" s="1128">
        <v>130.63</v>
      </c>
      <c r="E778" s="1126"/>
    </row>
    <row r="779" spans="1:5" x14ac:dyDescent="0.2">
      <c r="A779" s="1126" t="s">
        <v>1361</v>
      </c>
      <c r="B779" s="1127">
        <v>165</v>
      </c>
      <c r="C779" s="1128">
        <v>0</v>
      </c>
      <c r="D779" s="1128">
        <v>24.75</v>
      </c>
      <c r="E779" s="1126"/>
    </row>
    <row r="780" spans="1:5" x14ac:dyDescent="0.2">
      <c r="A780" s="1126" t="s">
        <v>1362</v>
      </c>
      <c r="B780" s="1127">
        <v>110</v>
      </c>
      <c r="C780" s="1128">
        <v>0</v>
      </c>
      <c r="D780" s="1128">
        <v>34.1</v>
      </c>
      <c r="E780" s="1126"/>
    </row>
    <row r="781" spans="1:5" x14ac:dyDescent="0.2">
      <c r="A781" s="1126" t="s">
        <v>1363</v>
      </c>
      <c r="B781" s="1127">
        <v>71</v>
      </c>
      <c r="C781" s="1128">
        <v>0</v>
      </c>
      <c r="D781" s="1128">
        <v>4.45</v>
      </c>
      <c r="E781" s="1126"/>
    </row>
    <row r="782" spans="1:5" x14ac:dyDescent="0.2">
      <c r="A782" s="1126" t="s">
        <v>1364</v>
      </c>
      <c r="B782" s="1127">
        <v>131</v>
      </c>
      <c r="C782" s="1128">
        <v>0</v>
      </c>
      <c r="D782" s="1128">
        <v>58.23</v>
      </c>
      <c r="E782" s="1126"/>
    </row>
    <row r="783" spans="1:5" x14ac:dyDescent="0.2">
      <c r="A783" s="1126" t="s">
        <v>1365</v>
      </c>
      <c r="B783" s="1127">
        <v>89</v>
      </c>
      <c r="C783" s="1128">
        <v>0</v>
      </c>
      <c r="D783" s="1128">
        <v>46.01</v>
      </c>
      <c r="E783" s="1126"/>
    </row>
    <row r="784" spans="1:5" x14ac:dyDescent="0.2">
      <c r="A784" s="1126" t="s">
        <v>1366</v>
      </c>
      <c r="B784" s="1127">
        <v>172</v>
      </c>
      <c r="C784" s="1128">
        <v>32.15</v>
      </c>
      <c r="D784" s="1128">
        <v>150.38</v>
      </c>
      <c r="E784" s="1126"/>
    </row>
    <row r="785" spans="1:5" x14ac:dyDescent="0.2">
      <c r="A785" s="1126" t="s">
        <v>1367</v>
      </c>
      <c r="B785" s="1127">
        <v>67</v>
      </c>
      <c r="C785" s="1128">
        <v>5.99</v>
      </c>
      <c r="D785" s="1128">
        <v>52.05</v>
      </c>
      <c r="E785" s="1126"/>
    </row>
    <row r="786" spans="1:5" x14ac:dyDescent="0.2">
      <c r="A786" s="1126" t="s">
        <v>1368</v>
      </c>
      <c r="B786" s="1127">
        <v>110</v>
      </c>
      <c r="C786" s="1128">
        <v>0</v>
      </c>
      <c r="D786" s="1128">
        <v>0</v>
      </c>
      <c r="E786" s="1126"/>
    </row>
    <row r="787" spans="1:5" x14ac:dyDescent="0.2">
      <c r="A787" s="1126" t="s">
        <v>1369</v>
      </c>
      <c r="B787" s="1127">
        <v>145</v>
      </c>
      <c r="C787" s="1128">
        <v>124.48</v>
      </c>
      <c r="D787" s="1128">
        <v>224.15</v>
      </c>
      <c r="E787" s="1126"/>
    </row>
    <row r="788" spans="1:5" x14ac:dyDescent="0.2">
      <c r="A788" s="1126" t="s">
        <v>1370</v>
      </c>
      <c r="B788" s="1127">
        <v>443</v>
      </c>
      <c r="C788" s="1128">
        <v>10.75</v>
      </c>
      <c r="D788" s="1128">
        <v>315.26</v>
      </c>
      <c r="E788" s="1126"/>
    </row>
    <row r="789" spans="1:5" x14ac:dyDescent="0.2">
      <c r="A789" s="1126" t="s">
        <v>1371</v>
      </c>
      <c r="B789" s="1127">
        <v>186</v>
      </c>
      <c r="C789" s="1128">
        <v>0</v>
      </c>
      <c r="D789" s="1128">
        <v>43.69</v>
      </c>
      <c r="E789" s="1126"/>
    </row>
    <row r="790" spans="1:5" x14ac:dyDescent="0.2">
      <c r="A790" s="1126" t="s">
        <v>1372</v>
      </c>
      <c r="B790" s="1127">
        <v>140</v>
      </c>
      <c r="C790" s="1128">
        <v>236.51</v>
      </c>
      <c r="D790" s="1128">
        <v>332.74</v>
      </c>
      <c r="E790" s="1126"/>
    </row>
    <row r="791" spans="1:5" x14ac:dyDescent="0.2">
      <c r="A791" s="1126" t="s">
        <v>1373</v>
      </c>
      <c r="B791" s="1127">
        <v>243</v>
      </c>
      <c r="C791" s="1128">
        <v>0</v>
      </c>
      <c r="D791" s="1128">
        <v>23.79</v>
      </c>
      <c r="E791" s="1126"/>
    </row>
    <row r="792" spans="1:5" x14ac:dyDescent="0.2">
      <c r="A792" s="1126" t="s">
        <v>1374</v>
      </c>
      <c r="B792" s="1127">
        <v>511</v>
      </c>
      <c r="C792" s="1128">
        <v>1006.41</v>
      </c>
      <c r="D792" s="1128">
        <v>1357.65</v>
      </c>
      <c r="E792" s="1126"/>
    </row>
    <row r="793" spans="1:5" x14ac:dyDescent="0.2">
      <c r="A793" s="1126" t="s">
        <v>1375</v>
      </c>
      <c r="B793" s="1127">
        <v>283</v>
      </c>
      <c r="C793" s="1128">
        <v>0</v>
      </c>
      <c r="D793" s="1128">
        <v>179.99</v>
      </c>
      <c r="E793" s="1126"/>
    </row>
    <row r="794" spans="1:5" x14ac:dyDescent="0.2">
      <c r="A794" s="1126" t="s">
        <v>1376</v>
      </c>
      <c r="B794" s="1127">
        <v>166</v>
      </c>
      <c r="C794" s="1128">
        <v>0</v>
      </c>
      <c r="D794" s="1128">
        <v>56.57</v>
      </c>
      <c r="E794" s="1126"/>
    </row>
    <row r="795" spans="1:5" x14ac:dyDescent="0.2">
      <c r="A795" s="1126" t="s">
        <v>1377</v>
      </c>
      <c r="B795" s="1127">
        <v>212</v>
      </c>
      <c r="C795" s="1128">
        <v>36.03</v>
      </c>
      <c r="D795" s="1128">
        <v>181.75</v>
      </c>
      <c r="E795" s="1126"/>
    </row>
    <row r="796" spans="1:5" x14ac:dyDescent="0.2">
      <c r="A796" s="1126" t="s">
        <v>1378</v>
      </c>
      <c r="B796" s="1127">
        <v>169</v>
      </c>
      <c r="C796" s="1128">
        <v>191.95</v>
      </c>
      <c r="D796" s="1128">
        <v>308.12</v>
      </c>
      <c r="E796" s="1126"/>
    </row>
    <row r="797" spans="1:5" x14ac:dyDescent="0.2">
      <c r="A797" s="1126" t="s">
        <v>1379</v>
      </c>
      <c r="B797" s="1127">
        <v>116</v>
      </c>
      <c r="C797" s="1128">
        <v>0</v>
      </c>
      <c r="D797" s="1128">
        <v>40.340000000000003</v>
      </c>
      <c r="E797" s="1126"/>
    </row>
    <row r="798" spans="1:5" x14ac:dyDescent="0.2">
      <c r="A798" s="1126" t="s">
        <v>1380</v>
      </c>
      <c r="B798" s="1127">
        <v>72</v>
      </c>
      <c r="C798" s="1128">
        <v>0</v>
      </c>
      <c r="D798" s="1128">
        <v>34.07</v>
      </c>
      <c r="E798" s="1126"/>
    </row>
    <row r="799" spans="1:5" x14ac:dyDescent="0.2">
      <c r="A799" s="1126" t="s">
        <v>1381</v>
      </c>
      <c r="B799" s="1127">
        <v>344</v>
      </c>
      <c r="C799" s="1128">
        <v>0</v>
      </c>
      <c r="D799" s="1128">
        <v>11.46</v>
      </c>
      <c r="E799" s="1126"/>
    </row>
    <row r="800" spans="1:5" x14ac:dyDescent="0.2">
      <c r="A800" s="1126" t="s">
        <v>1382</v>
      </c>
      <c r="B800" s="1127">
        <v>168</v>
      </c>
      <c r="C800" s="1128">
        <v>0</v>
      </c>
      <c r="D800" s="1128">
        <v>53.98</v>
      </c>
      <c r="E800" s="1126"/>
    </row>
    <row r="801" spans="1:5" x14ac:dyDescent="0.2">
      <c r="A801" s="1126" t="s">
        <v>1383</v>
      </c>
      <c r="B801" s="1127">
        <v>302</v>
      </c>
      <c r="C801" s="1128">
        <v>145.47</v>
      </c>
      <c r="D801" s="1128">
        <v>353.05</v>
      </c>
      <c r="E801" s="1126"/>
    </row>
    <row r="802" spans="1:5" x14ac:dyDescent="0.2">
      <c r="A802" s="1126" t="s">
        <v>1384</v>
      </c>
      <c r="B802" s="1127">
        <v>528</v>
      </c>
      <c r="C802" s="1128">
        <v>0</v>
      </c>
      <c r="D802" s="1128">
        <v>189.68</v>
      </c>
      <c r="E802" s="1126"/>
    </row>
    <row r="803" spans="1:5" x14ac:dyDescent="0.2">
      <c r="A803" s="1126" t="s">
        <v>1385</v>
      </c>
      <c r="B803" s="1127">
        <v>148</v>
      </c>
      <c r="C803" s="1128">
        <v>34.67</v>
      </c>
      <c r="D803" s="1128">
        <v>136.4</v>
      </c>
      <c r="E803" s="1126"/>
    </row>
    <row r="804" spans="1:5" x14ac:dyDescent="0.2">
      <c r="A804" s="1126" t="s">
        <v>1386</v>
      </c>
      <c r="B804" s="1127">
        <v>165</v>
      </c>
      <c r="C804" s="1128">
        <v>72.7</v>
      </c>
      <c r="D804" s="1128">
        <v>186.12</v>
      </c>
      <c r="E804" s="1126"/>
    </row>
    <row r="805" spans="1:5" x14ac:dyDescent="0.2">
      <c r="A805" s="1126" t="s">
        <v>1387</v>
      </c>
      <c r="B805" s="1127">
        <v>297</v>
      </c>
      <c r="C805" s="1128">
        <v>0</v>
      </c>
      <c r="D805" s="1128">
        <v>92.65</v>
      </c>
      <c r="E805" s="1126"/>
    </row>
    <row r="806" spans="1:5" x14ac:dyDescent="0.2">
      <c r="A806" s="1126" t="s">
        <v>1388</v>
      </c>
      <c r="B806" s="1127">
        <v>146</v>
      </c>
      <c r="C806" s="1128">
        <v>0</v>
      </c>
      <c r="D806" s="1128">
        <v>19.18</v>
      </c>
      <c r="E806" s="1126"/>
    </row>
    <row r="807" spans="1:5" x14ac:dyDescent="0.2">
      <c r="A807" s="1126" t="s">
        <v>1389</v>
      </c>
      <c r="B807" s="1127">
        <v>234</v>
      </c>
      <c r="C807" s="1128">
        <v>0</v>
      </c>
      <c r="D807" s="1128">
        <v>9.65</v>
      </c>
      <c r="E807" s="1126"/>
    </row>
    <row r="808" spans="1:5" x14ac:dyDescent="0.2">
      <c r="A808" s="1126" t="s">
        <v>1390</v>
      </c>
      <c r="B808" s="1127">
        <v>216</v>
      </c>
      <c r="C808" s="1128">
        <v>104.61</v>
      </c>
      <c r="D808" s="1128">
        <v>253.08</v>
      </c>
      <c r="E808" s="1126"/>
    </row>
    <row r="809" spans="1:5" x14ac:dyDescent="0.2">
      <c r="A809" s="1126" t="s">
        <v>1391</v>
      </c>
      <c r="B809" s="1127">
        <v>375</v>
      </c>
      <c r="C809" s="1128">
        <v>0</v>
      </c>
      <c r="D809" s="1128">
        <v>170.81</v>
      </c>
      <c r="E809" s="1126"/>
    </row>
    <row r="810" spans="1:5" x14ac:dyDescent="0.2">
      <c r="A810" s="1126" t="s">
        <v>1392</v>
      </c>
      <c r="B810" s="1127">
        <v>418</v>
      </c>
      <c r="C810" s="1128">
        <v>333.61</v>
      </c>
      <c r="D810" s="1128">
        <v>620.92999999999995</v>
      </c>
      <c r="E810" s="1126"/>
    </row>
    <row r="811" spans="1:5" x14ac:dyDescent="0.2">
      <c r="A811" s="1126" t="s">
        <v>1393</v>
      </c>
      <c r="B811" s="1127">
        <v>207</v>
      </c>
      <c r="C811" s="1128">
        <v>0</v>
      </c>
      <c r="D811" s="1128">
        <v>78.209999999999994</v>
      </c>
      <c r="E811" s="1126"/>
    </row>
    <row r="812" spans="1:5" x14ac:dyDescent="0.2">
      <c r="A812" s="1126" t="s">
        <v>1394</v>
      </c>
      <c r="B812" s="1127">
        <v>350</v>
      </c>
      <c r="C812" s="1128">
        <v>1132.27</v>
      </c>
      <c r="D812" s="1128">
        <v>1372.84</v>
      </c>
      <c r="E812" s="1126"/>
    </row>
    <row r="813" spans="1:5" x14ac:dyDescent="0.2">
      <c r="A813" s="1126" t="s">
        <v>1395</v>
      </c>
      <c r="B813" s="1127">
        <v>101</v>
      </c>
      <c r="C813" s="1128">
        <v>0</v>
      </c>
      <c r="D813" s="1128">
        <v>13.44</v>
      </c>
      <c r="E813" s="1126"/>
    </row>
    <row r="814" spans="1:5" x14ac:dyDescent="0.2">
      <c r="A814" s="1126" t="s">
        <v>1396</v>
      </c>
      <c r="B814" s="1127">
        <v>186</v>
      </c>
      <c r="C814" s="1128">
        <v>443.58</v>
      </c>
      <c r="D814" s="1128">
        <v>571.42999999999995</v>
      </c>
      <c r="E814" s="1126"/>
    </row>
    <row r="815" spans="1:5" x14ac:dyDescent="0.2">
      <c r="A815" s="1126" t="s">
        <v>1397</v>
      </c>
      <c r="B815" s="1127">
        <v>253</v>
      </c>
      <c r="C815" s="1128">
        <v>0</v>
      </c>
      <c r="D815" s="1128">
        <v>29.65</v>
      </c>
      <c r="E815" s="1126"/>
    </row>
    <row r="816" spans="1:5" x14ac:dyDescent="0.2">
      <c r="A816" s="1126" t="s">
        <v>1398</v>
      </c>
      <c r="B816" s="1127">
        <v>109</v>
      </c>
      <c r="C816" s="1128">
        <v>0</v>
      </c>
      <c r="D816" s="1128">
        <v>10.52</v>
      </c>
      <c r="E816" s="1126"/>
    </row>
    <row r="817" spans="1:5" x14ac:dyDescent="0.2">
      <c r="A817" s="1126" t="s">
        <v>1399</v>
      </c>
      <c r="B817" s="1127">
        <v>175</v>
      </c>
      <c r="C817" s="1128">
        <v>25.23</v>
      </c>
      <c r="D817" s="1128">
        <v>145.52000000000001</v>
      </c>
      <c r="E817" s="1126"/>
    </row>
    <row r="818" spans="1:5" x14ac:dyDescent="0.2">
      <c r="A818" s="1126" t="s">
        <v>1400</v>
      </c>
      <c r="B818" s="1127">
        <v>263</v>
      </c>
      <c r="C818" s="1128">
        <v>477.53</v>
      </c>
      <c r="D818" s="1128">
        <v>658.31</v>
      </c>
      <c r="E818" s="1126"/>
    </row>
    <row r="819" spans="1:5" x14ac:dyDescent="0.2">
      <c r="A819" s="1126" t="s">
        <v>1401</v>
      </c>
      <c r="B819" s="1127">
        <v>157</v>
      </c>
      <c r="C819" s="1128">
        <v>0</v>
      </c>
      <c r="D819" s="1128">
        <v>41.08</v>
      </c>
      <c r="E819" s="1126"/>
    </row>
    <row r="820" spans="1:5" x14ac:dyDescent="0.2">
      <c r="A820" s="1126" t="s">
        <v>1402</v>
      </c>
      <c r="B820" s="1127">
        <v>73</v>
      </c>
      <c r="C820" s="1128">
        <v>0</v>
      </c>
      <c r="D820" s="1128">
        <v>15.92</v>
      </c>
      <c r="E820" s="1126"/>
    </row>
    <row r="821" spans="1:5" x14ac:dyDescent="0.2">
      <c r="A821" s="1126" t="s">
        <v>1403</v>
      </c>
      <c r="B821" s="1127">
        <v>279</v>
      </c>
      <c r="C821" s="1128">
        <v>0</v>
      </c>
      <c r="D821" s="1128">
        <v>71.67</v>
      </c>
      <c r="E821" s="1126"/>
    </row>
    <row r="822" spans="1:5" x14ac:dyDescent="0.2">
      <c r="A822" s="1126" t="s">
        <v>1404</v>
      </c>
      <c r="B822" s="1127">
        <v>200</v>
      </c>
      <c r="C822" s="1128">
        <v>0</v>
      </c>
      <c r="D822" s="1128">
        <v>40.6</v>
      </c>
      <c r="E822" s="1126"/>
    </row>
    <row r="823" spans="1:5" x14ac:dyDescent="0.2">
      <c r="A823" s="1126" t="s">
        <v>1405</v>
      </c>
      <c r="B823" s="1127">
        <v>165</v>
      </c>
      <c r="C823" s="1128">
        <v>0</v>
      </c>
      <c r="D823" s="1128">
        <v>4.7300000000000004</v>
      </c>
      <c r="E823" s="1126"/>
    </row>
    <row r="824" spans="1:5" x14ac:dyDescent="0.2">
      <c r="A824" s="1126" t="s">
        <v>1406</v>
      </c>
      <c r="B824" s="1127">
        <v>288</v>
      </c>
      <c r="C824" s="1128">
        <v>0</v>
      </c>
      <c r="D824" s="1128">
        <v>60.11</v>
      </c>
      <c r="E824" s="1126"/>
    </row>
    <row r="825" spans="1:5" x14ac:dyDescent="0.2">
      <c r="A825" s="1126" t="s">
        <v>1407</v>
      </c>
      <c r="B825" s="1127">
        <v>344</v>
      </c>
      <c r="C825" s="1128">
        <v>0</v>
      </c>
      <c r="D825" s="1128">
        <v>70.22</v>
      </c>
      <c r="E825" s="1126"/>
    </row>
    <row r="826" spans="1:5" x14ac:dyDescent="0.2">
      <c r="A826" s="1126" t="s">
        <v>1408</v>
      </c>
      <c r="B826" s="1127">
        <v>407</v>
      </c>
      <c r="C826" s="1128">
        <v>0</v>
      </c>
      <c r="D826" s="1128">
        <v>20.57</v>
      </c>
      <c r="E826" s="1126"/>
    </row>
    <row r="827" spans="1:5" x14ac:dyDescent="0.2">
      <c r="A827" s="1126" t="s">
        <v>1409</v>
      </c>
      <c r="B827" s="1127">
        <v>49</v>
      </c>
      <c r="C827" s="1128">
        <v>0</v>
      </c>
      <c r="D827" s="1128">
        <v>14.84</v>
      </c>
      <c r="E827" s="1126"/>
    </row>
    <row r="828" spans="1:5" x14ac:dyDescent="0.2">
      <c r="A828" s="1126" t="s">
        <v>1410</v>
      </c>
      <c r="B828" s="1127">
        <v>52</v>
      </c>
      <c r="C828" s="1128">
        <v>14.39</v>
      </c>
      <c r="D828" s="1128">
        <v>50.13</v>
      </c>
      <c r="E828" s="1126"/>
    </row>
    <row r="829" spans="1:5" x14ac:dyDescent="0.2">
      <c r="A829" s="1126" t="s">
        <v>1411</v>
      </c>
      <c r="B829" s="1127">
        <v>80</v>
      </c>
      <c r="C829" s="1128">
        <v>0</v>
      </c>
      <c r="D829" s="1128">
        <v>5.73</v>
      </c>
      <c r="E829" s="1126"/>
    </row>
    <row r="830" spans="1:5" x14ac:dyDescent="0.2">
      <c r="A830" s="1126" t="s">
        <v>1412</v>
      </c>
      <c r="B830" s="1127">
        <v>347</v>
      </c>
      <c r="C830" s="1128">
        <v>0</v>
      </c>
      <c r="D830" s="1128">
        <v>146.43</v>
      </c>
      <c r="E830" s="1126"/>
    </row>
    <row r="831" spans="1:5" x14ac:dyDescent="0.2">
      <c r="A831" s="1126" t="s">
        <v>1413</v>
      </c>
      <c r="B831" s="1127">
        <v>308</v>
      </c>
      <c r="C831" s="1128">
        <v>0</v>
      </c>
      <c r="D831" s="1128">
        <v>29.45</v>
      </c>
      <c r="E831" s="1126"/>
    </row>
    <row r="832" spans="1:5" x14ac:dyDescent="0.2">
      <c r="A832" s="1126" t="s">
        <v>1414</v>
      </c>
      <c r="B832" s="1127">
        <v>196</v>
      </c>
      <c r="C832" s="1128">
        <v>156.02000000000001</v>
      </c>
      <c r="D832" s="1128">
        <v>290.74</v>
      </c>
      <c r="E832" s="1126"/>
    </row>
    <row r="833" spans="1:5" x14ac:dyDescent="0.2">
      <c r="A833" s="1126" t="s">
        <v>1415</v>
      </c>
      <c r="B833" s="1127">
        <v>100</v>
      </c>
      <c r="C833" s="1128">
        <v>0</v>
      </c>
      <c r="D833" s="1128">
        <v>58.58</v>
      </c>
      <c r="E833" s="1126"/>
    </row>
    <row r="834" spans="1:5" x14ac:dyDescent="0.2">
      <c r="A834" s="1126" t="s">
        <v>1416</v>
      </c>
      <c r="B834" s="1127">
        <v>135</v>
      </c>
      <c r="C834" s="1128">
        <v>0</v>
      </c>
      <c r="D834" s="1128">
        <v>17.11</v>
      </c>
      <c r="E834" s="1126"/>
    </row>
    <row r="835" spans="1:5" x14ac:dyDescent="0.2">
      <c r="A835" s="1126" t="s">
        <v>1417</v>
      </c>
      <c r="B835" s="1127">
        <v>257</v>
      </c>
      <c r="C835" s="1128">
        <v>0</v>
      </c>
      <c r="D835" s="1128">
        <v>55.17</v>
      </c>
      <c r="E835" s="1126"/>
    </row>
    <row r="836" spans="1:5" x14ac:dyDescent="0.2">
      <c r="A836" s="1126" t="s">
        <v>1418</v>
      </c>
      <c r="B836" s="1127">
        <v>129</v>
      </c>
      <c r="C836" s="1128">
        <v>71.73</v>
      </c>
      <c r="D836" s="1128">
        <v>160.4</v>
      </c>
      <c r="E836" s="1126"/>
    </row>
    <row r="837" spans="1:5" x14ac:dyDescent="0.2">
      <c r="A837" s="1126" t="s">
        <v>1419</v>
      </c>
      <c r="B837" s="1127">
        <v>178</v>
      </c>
      <c r="C837" s="1128">
        <v>93.95</v>
      </c>
      <c r="D837" s="1128">
        <v>216.3</v>
      </c>
      <c r="E837" s="1126"/>
    </row>
    <row r="838" spans="1:5" x14ac:dyDescent="0.2">
      <c r="A838" s="1126" t="s">
        <v>1420</v>
      </c>
      <c r="B838" s="1127">
        <v>307</v>
      </c>
      <c r="C838" s="1128">
        <v>0</v>
      </c>
      <c r="D838" s="1128">
        <v>43.01</v>
      </c>
      <c r="E838" s="1126"/>
    </row>
    <row r="839" spans="1:5" x14ac:dyDescent="0.2">
      <c r="A839" s="1126" t="s">
        <v>1421</v>
      </c>
      <c r="B839" s="1127">
        <v>135</v>
      </c>
      <c r="C839" s="1128">
        <v>0</v>
      </c>
      <c r="D839" s="1128">
        <v>0</v>
      </c>
      <c r="E839" s="1126"/>
    </row>
    <row r="840" spans="1:5" x14ac:dyDescent="0.2">
      <c r="A840" s="1126" t="s">
        <v>1422</v>
      </c>
      <c r="B840" s="1127">
        <v>207</v>
      </c>
      <c r="C840" s="1128">
        <v>738.43</v>
      </c>
      <c r="D840" s="1128">
        <v>880.71</v>
      </c>
      <c r="E840" s="1126"/>
    </row>
    <row r="841" spans="1:5" x14ac:dyDescent="0.2">
      <c r="A841" s="1126" t="s">
        <v>1423</v>
      </c>
      <c r="B841" s="1127">
        <v>197</v>
      </c>
      <c r="C841" s="1128">
        <v>46.3</v>
      </c>
      <c r="D841" s="1128">
        <v>181.72</v>
      </c>
      <c r="E841" s="1126"/>
    </row>
    <row r="842" spans="1:5" x14ac:dyDescent="0.2">
      <c r="A842" s="1126" t="s">
        <v>1424</v>
      </c>
      <c r="B842" s="1127">
        <v>104</v>
      </c>
      <c r="C842" s="1128">
        <v>18.260000000000002</v>
      </c>
      <c r="D842" s="1128">
        <v>89.75</v>
      </c>
      <c r="E842" s="1126"/>
    </row>
    <row r="843" spans="1:5" x14ac:dyDescent="0.2">
      <c r="A843" s="1126" t="s">
        <v>1425</v>
      </c>
      <c r="B843" s="1127">
        <v>332</v>
      </c>
      <c r="C843" s="1128">
        <v>85.26</v>
      </c>
      <c r="D843" s="1128">
        <v>313.47000000000003</v>
      </c>
      <c r="E843" s="1126"/>
    </row>
    <row r="844" spans="1:5" x14ac:dyDescent="0.2">
      <c r="A844" s="1126" t="s">
        <v>1426</v>
      </c>
      <c r="B844" s="1127">
        <v>367</v>
      </c>
      <c r="C844" s="1128">
        <v>0</v>
      </c>
      <c r="D844" s="1128">
        <v>42.06</v>
      </c>
      <c r="E844" s="1126"/>
    </row>
    <row r="845" spans="1:5" x14ac:dyDescent="0.2">
      <c r="A845" s="1126" t="s">
        <v>1427</v>
      </c>
      <c r="B845" s="1127">
        <v>90</v>
      </c>
      <c r="C845" s="1128">
        <v>0</v>
      </c>
      <c r="D845" s="1128">
        <v>15.28</v>
      </c>
      <c r="E845" s="1126"/>
    </row>
    <row r="846" spans="1:5" x14ac:dyDescent="0.2">
      <c r="A846" s="1126" t="s">
        <v>1428</v>
      </c>
      <c r="B846" s="1127">
        <v>56</v>
      </c>
      <c r="C846" s="1128">
        <v>0</v>
      </c>
      <c r="D846" s="1128">
        <v>25.19</v>
      </c>
      <c r="E846" s="1126"/>
    </row>
    <row r="847" spans="1:5" x14ac:dyDescent="0.2">
      <c r="A847" s="1126" t="s">
        <v>1429</v>
      </c>
      <c r="B847" s="1127">
        <v>257</v>
      </c>
      <c r="C847" s="1128">
        <v>0</v>
      </c>
      <c r="D847" s="1128">
        <v>78.040000000000006</v>
      </c>
      <c r="E847" s="1126"/>
    </row>
    <row r="848" spans="1:5" x14ac:dyDescent="0.2">
      <c r="A848" s="1126" t="s">
        <v>1430</v>
      </c>
      <c r="B848" s="1127">
        <v>173</v>
      </c>
      <c r="C848" s="1128">
        <v>88.06</v>
      </c>
      <c r="D848" s="1128">
        <v>206.97</v>
      </c>
      <c r="E848" s="1126"/>
    </row>
    <row r="849" spans="1:5" x14ac:dyDescent="0.2">
      <c r="A849" s="1126" t="s">
        <v>1431</v>
      </c>
      <c r="B849" s="1127">
        <v>188</v>
      </c>
      <c r="C849" s="1128">
        <v>0</v>
      </c>
      <c r="D849" s="1128">
        <v>8.7799999999999994</v>
      </c>
      <c r="E849" s="1126"/>
    </row>
    <row r="850" spans="1:5" x14ac:dyDescent="0.2">
      <c r="A850" s="1126" t="s">
        <v>1432</v>
      </c>
      <c r="B850" s="1127">
        <v>563</v>
      </c>
      <c r="C850" s="1128">
        <v>0</v>
      </c>
      <c r="D850" s="1128">
        <v>145.47</v>
      </c>
      <c r="E850" s="1126"/>
    </row>
    <row r="851" spans="1:5" x14ac:dyDescent="0.2">
      <c r="A851" s="1126" t="s">
        <v>1433</v>
      </c>
      <c r="B851" s="1127">
        <v>314</v>
      </c>
      <c r="C851" s="1128">
        <v>0</v>
      </c>
      <c r="D851" s="1128">
        <v>99.37</v>
      </c>
      <c r="E851" s="1126"/>
    </row>
    <row r="852" spans="1:5" x14ac:dyDescent="0.2">
      <c r="A852" s="1126" t="s">
        <v>1434</v>
      </c>
      <c r="B852" s="1127">
        <v>118</v>
      </c>
      <c r="C852" s="1128">
        <v>0</v>
      </c>
      <c r="D852" s="1128">
        <v>38.33</v>
      </c>
      <c r="E852" s="1126"/>
    </row>
    <row r="853" spans="1:5" x14ac:dyDescent="0.2">
      <c r="A853" s="1126" t="s">
        <v>1435</v>
      </c>
      <c r="B853" s="1127">
        <v>245</v>
      </c>
      <c r="C853" s="1128">
        <v>189.32</v>
      </c>
      <c r="D853" s="1128">
        <v>357.73</v>
      </c>
      <c r="E853" s="1126"/>
    </row>
    <row r="854" spans="1:5" x14ac:dyDescent="0.2">
      <c r="A854" s="1126" t="s">
        <v>1436</v>
      </c>
      <c r="B854" s="1127">
        <v>80</v>
      </c>
      <c r="C854" s="1128">
        <v>0</v>
      </c>
      <c r="D854" s="1128">
        <v>0</v>
      </c>
      <c r="E854" s="1126"/>
    </row>
    <row r="855" spans="1:5" x14ac:dyDescent="0.2">
      <c r="A855" s="1126" t="s">
        <v>1437</v>
      </c>
      <c r="B855" s="1127">
        <v>293</v>
      </c>
      <c r="C855" s="1128">
        <v>0</v>
      </c>
      <c r="D855" s="1128">
        <v>144.88</v>
      </c>
      <c r="E855" s="1126"/>
    </row>
    <row r="856" spans="1:5" x14ac:dyDescent="0.2">
      <c r="A856" s="1126" t="s">
        <v>1438</v>
      </c>
      <c r="B856" s="1127">
        <v>515</v>
      </c>
      <c r="C856" s="1128">
        <v>0</v>
      </c>
      <c r="D856" s="1128">
        <v>243.6</v>
      </c>
      <c r="E856" s="1126"/>
    </row>
    <row r="857" spans="1:5" x14ac:dyDescent="0.2">
      <c r="A857" s="1126" t="s">
        <v>1439</v>
      </c>
      <c r="B857" s="1127">
        <v>54</v>
      </c>
      <c r="C857" s="1128">
        <v>0</v>
      </c>
      <c r="D857" s="1128">
        <v>0</v>
      </c>
      <c r="E857" s="1126"/>
    </row>
    <row r="858" spans="1:5" x14ac:dyDescent="0.2">
      <c r="A858" s="1126" t="s">
        <v>1440</v>
      </c>
      <c r="B858" s="1127">
        <v>278</v>
      </c>
      <c r="C858" s="1128">
        <v>0</v>
      </c>
      <c r="D858" s="1128">
        <v>101.1</v>
      </c>
      <c r="E858" s="1126"/>
    </row>
    <row r="859" spans="1:5" x14ac:dyDescent="0.2">
      <c r="A859" s="1126" t="s">
        <v>1441</v>
      </c>
      <c r="B859" s="1127">
        <v>284</v>
      </c>
      <c r="C859" s="1128">
        <v>418.77</v>
      </c>
      <c r="D859" s="1128">
        <v>613.98</v>
      </c>
      <c r="E859" s="1126"/>
    </row>
    <row r="860" spans="1:5" x14ac:dyDescent="0.2">
      <c r="A860" s="1126" t="s">
        <v>1442</v>
      </c>
      <c r="B860" s="1127">
        <v>110</v>
      </c>
      <c r="C860" s="1128">
        <v>0</v>
      </c>
      <c r="D860" s="1128">
        <v>9.31</v>
      </c>
      <c r="E860" s="1126"/>
    </row>
    <row r="861" spans="1:5" x14ac:dyDescent="0.2">
      <c r="A861" s="1126" t="s">
        <v>1443</v>
      </c>
      <c r="B861" s="1127">
        <v>228</v>
      </c>
      <c r="C861" s="1128">
        <v>0</v>
      </c>
      <c r="D861" s="1128">
        <v>44.14</v>
      </c>
      <c r="E861" s="1126"/>
    </row>
    <row r="862" spans="1:5" x14ac:dyDescent="0.2">
      <c r="A862" s="1126" t="s">
        <v>1444</v>
      </c>
      <c r="B862" s="1127">
        <v>137</v>
      </c>
      <c r="C862" s="1128">
        <v>74.34</v>
      </c>
      <c r="D862" s="1128">
        <v>168.51</v>
      </c>
      <c r="E862" s="1126"/>
    </row>
    <row r="863" spans="1:5" x14ac:dyDescent="0.2">
      <c r="A863" s="1126" t="s">
        <v>1445</v>
      </c>
      <c r="B863" s="1127">
        <v>134</v>
      </c>
      <c r="C863" s="1128">
        <v>12.63</v>
      </c>
      <c r="D863" s="1128">
        <v>104.73</v>
      </c>
      <c r="E863" s="1126"/>
    </row>
    <row r="864" spans="1:5" x14ac:dyDescent="0.2">
      <c r="A864" s="1126" t="s">
        <v>1446</v>
      </c>
      <c r="B864" s="1127">
        <v>36</v>
      </c>
      <c r="C864" s="1128">
        <v>0</v>
      </c>
      <c r="D864" s="1128">
        <v>17.18</v>
      </c>
      <c r="E864" s="1126" t="s">
        <v>669</v>
      </c>
    </row>
    <row r="865" spans="1:5" x14ac:dyDescent="0.2">
      <c r="A865" s="1126" t="s">
        <v>1447</v>
      </c>
      <c r="B865" s="1127">
        <v>262</v>
      </c>
      <c r="C865" s="1128">
        <v>0</v>
      </c>
      <c r="D865" s="1128">
        <v>55.44</v>
      </c>
      <c r="E865" s="1126"/>
    </row>
    <row r="866" spans="1:5" x14ac:dyDescent="0.2">
      <c r="A866" s="1126" t="s">
        <v>1448</v>
      </c>
      <c r="B866" s="1127">
        <v>131</v>
      </c>
      <c r="C866" s="1128">
        <v>274.41000000000003</v>
      </c>
      <c r="D866" s="1128">
        <v>364.45</v>
      </c>
      <c r="E866" s="1126"/>
    </row>
    <row r="867" spans="1:5" x14ac:dyDescent="0.2">
      <c r="A867" s="1126" t="s">
        <v>1449</v>
      </c>
      <c r="B867" s="1127">
        <v>81</v>
      </c>
      <c r="C867" s="1128">
        <v>265.13</v>
      </c>
      <c r="D867" s="1128">
        <v>320.81</v>
      </c>
      <c r="E867" s="1126"/>
    </row>
    <row r="868" spans="1:5" x14ac:dyDescent="0.2">
      <c r="A868" s="1126" t="s">
        <v>1450</v>
      </c>
      <c r="B868" s="1127">
        <v>212</v>
      </c>
      <c r="C868" s="1128">
        <v>0</v>
      </c>
      <c r="D868" s="1128">
        <v>24.94</v>
      </c>
      <c r="E868" s="1126"/>
    </row>
    <row r="869" spans="1:5" x14ac:dyDescent="0.2">
      <c r="A869" s="1126" t="s">
        <v>1451</v>
      </c>
      <c r="B869" s="1127">
        <v>103</v>
      </c>
      <c r="C869" s="1128">
        <v>0</v>
      </c>
      <c r="D869" s="1128">
        <v>16.3</v>
      </c>
      <c r="E869" s="1126"/>
    </row>
    <row r="870" spans="1:5" x14ac:dyDescent="0.2">
      <c r="A870" s="1126" t="s">
        <v>1452</v>
      </c>
      <c r="B870" s="1127">
        <v>51</v>
      </c>
      <c r="C870" s="1128">
        <v>12.56</v>
      </c>
      <c r="D870" s="1128">
        <v>47.61</v>
      </c>
      <c r="E870" s="1126"/>
    </row>
    <row r="871" spans="1:5" x14ac:dyDescent="0.2">
      <c r="A871" s="1126" t="s">
        <v>1453</v>
      </c>
      <c r="B871" s="1127">
        <v>112</v>
      </c>
      <c r="C871" s="1128">
        <v>117.61</v>
      </c>
      <c r="D871" s="1128">
        <v>194.59</v>
      </c>
      <c r="E871" s="1126"/>
    </row>
    <row r="872" spans="1:5" x14ac:dyDescent="0.2">
      <c r="A872" s="1126" t="s">
        <v>1454</v>
      </c>
      <c r="B872" s="1127">
        <v>41</v>
      </c>
      <c r="C872" s="1128">
        <v>66.569999999999993</v>
      </c>
      <c r="D872" s="1128">
        <v>94.75</v>
      </c>
      <c r="E872" s="1126"/>
    </row>
    <row r="873" spans="1:5" x14ac:dyDescent="0.2">
      <c r="A873" s="1126" t="s">
        <v>1455</v>
      </c>
      <c r="B873" s="1127">
        <v>16</v>
      </c>
      <c r="C873" s="1128">
        <v>0</v>
      </c>
      <c r="D873" s="1128">
        <v>0</v>
      </c>
      <c r="E873" s="1126" t="s">
        <v>669</v>
      </c>
    </row>
    <row r="874" spans="1:5" x14ac:dyDescent="0.2">
      <c r="A874" s="1126" t="s">
        <v>1456</v>
      </c>
      <c r="B874" s="1127">
        <v>113</v>
      </c>
      <c r="C874" s="1128">
        <v>0</v>
      </c>
      <c r="D874" s="1128">
        <v>34.28</v>
      </c>
      <c r="E874" s="1126"/>
    </row>
    <row r="875" spans="1:5" x14ac:dyDescent="0.2">
      <c r="A875" s="1126" t="s">
        <v>1457</v>
      </c>
      <c r="B875" s="1127">
        <v>197</v>
      </c>
      <c r="C875" s="1128">
        <v>0</v>
      </c>
      <c r="D875" s="1128">
        <v>34.880000000000003</v>
      </c>
      <c r="E875" s="1126"/>
    </row>
    <row r="876" spans="1:5" x14ac:dyDescent="0.2">
      <c r="A876" s="1126" t="s">
        <v>1458</v>
      </c>
      <c r="B876" s="1127">
        <v>423</v>
      </c>
      <c r="C876" s="1128">
        <v>429.66</v>
      </c>
      <c r="D876" s="1128">
        <v>720.42</v>
      </c>
      <c r="E876" s="1126"/>
    </row>
    <row r="877" spans="1:5" x14ac:dyDescent="0.2">
      <c r="A877" s="1126" t="s">
        <v>1459</v>
      </c>
      <c r="B877" s="1127">
        <v>286</v>
      </c>
      <c r="C877" s="1128">
        <v>0</v>
      </c>
      <c r="D877" s="1128">
        <v>186.03</v>
      </c>
      <c r="E877" s="1126"/>
    </row>
    <row r="878" spans="1:5" x14ac:dyDescent="0.2">
      <c r="A878" s="1126" t="s">
        <v>1460</v>
      </c>
      <c r="B878" s="1127">
        <v>223</v>
      </c>
      <c r="C878" s="1128">
        <v>0</v>
      </c>
      <c r="D878" s="1128">
        <v>125.29</v>
      </c>
      <c r="E878" s="1126"/>
    </row>
    <row r="879" spans="1:5" x14ac:dyDescent="0.2">
      <c r="A879" s="1126" t="s">
        <v>1461</v>
      </c>
      <c r="B879" s="1127">
        <v>127</v>
      </c>
      <c r="C879" s="1128">
        <v>0</v>
      </c>
      <c r="D879" s="1128">
        <v>56.48</v>
      </c>
      <c r="E879" s="1126"/>
    </row>
    <row r="880" spans="1:5" x14ac:dyDescent="0.2">
      <c r="A880" s="1126" t="s">
        <v>1462</v>
      </c>
      <c r="B880" s="1127">
        <v>51</v>
      </c>
      <c r="C880" s="1128">
        <v>0</v>
      </c>
      <c r="D880" s="1128">
        <v>15.95</v>
      </c>
      <c r="E880" s="1126"/>
    </row>
    <row r="881" spans="1:5" x14ac:dyDescent="0.2">
      <c r="A881" s="1126" t="s">
        <v>1463</v>
      </c>
      <c r="B881" s="1127">
        <v>106</v>
      </c>
      <c r="C881" s="1128">
        <v>0</v>
      </c>
      <c r="D881" s="1128">
        <v>18.13</v>
      </c>
      <c r="E881" s="1126"/>
    </row>
    <row r="882" spans="1:5" x14ac:dyDescent="0.2">
      <c r="A882" s="1126" t="s">
        <v>1464</v>
      </c>
      <c r="B882" s="1127">
        <v>180</v>
      </c>
      <c r="C882" s="1128">
        <v>0</v>
      </c>
      <c r="D882" s="1128">
        <v>53.66</v>
      </c>
      <c r="E882" s="1126"/>
    </row>
    <row r="883" spans="1:5" x14ac:dyDescent="0.2">
      <c r="A883" s="1126" t="s">
        <v>1465</v>
      </c>
      <c r="B883" s="1127">
        <v>110</v>
      </c>
      <c r="C883" s="1128">
        <v>0</v>
      </c>
      <c r="D883" s="1128">
        <v>35.729999999999997</v>
      </c>
      <c r="E883" s="1126"/>
    </row>
    <row r="884" spans="1:5" x14ac:dyDescent="0.2">
      <c r="A884" s="1126" t="s">
        <v>1466</v>
      </c>
      <c r="B884" s="1127">
        <v>263</v>
      </c>
      <c r="C884" s="1128">
        <v>0</v>
      </c>
      <c r="D884" s="1128">
        <v>10.79</v>
      </c>
      <c r="E884" s="1126"/>
    </row>
    <row r="885" spans="1:5" x14ac:dyDescent="0.2">
      <c r="A885" s="1126" t="s">
        <v>1467</v>
      </c>
      <c r="B885" s="1127">
        <v>192</v>
      </c>
      <c r="C885" s="1128">
        <v>94.93</v>
      </c>
      <c r="D885" s="1128">
        <v>226.9</v>
      </c>
      <c r="E885" s="1126"/>
    </row>
    <row r="886" spans="1:5" x14ac:dyDescent="0.2">
      <c r="A886" s="1126" t="s">
        <v>1468</v>
      </c>
      <c r="B886" s="1127">
        <v>65</v>
      </c>
      <c r="C886" s="1128">
        <v>0</v>
      </c>
      <c r="D886" s="1128">
        <v>23.13</v>
      </c>
      <c r="E886" s="1126"/>
    </row>
    <row r="887" spans="1:5" x14ac:dyDescent="0.2">
      <c r="A887" s="1126" t="s">
        <v>1469</v>
      </c>
      <c r="B887" s="1127">
        <v>106</v>
      </c>
      <c r="C887" s="1128">
        <v>7.02</v>
      </c>
      <c r="D887" s="1128">
        <v>79.88</v>
      </c>
      <c r="E887" s="1126"/>
    </row>
    <row r="888" spans="1:5" x14ac:dyDescent="0.2">
      <c r="A888" s="1126" t="s">
        <v>1470</v>
      </c>
      <c r="B888" s="1127">
        <v>125</v>
      </c>
      <c r="C888" s="1128">
        <v>0</v>
      </c>
      <c r="D888" s="1128">
        <v>74.55</v>
      </c>
      <c r="E888" s="1126"/>
    </row>
    <row r="889" spans="1:5" x14ac:dyDescent="0.2">
      <c r="A889" s="1126" t="s">
        <v>1471</v>
      </c>
      <c r="B889" s="1127">
        <v>223</v>
      </c>
      <c r="C889" s="1128">
        <v>0</v>
      </c>
      <c r="D889" s="1128">
        <v>13.31</v>
      </c>
      <c r="E889" s="1126"/>
    </row>
    <row r="890" spans="1:5" x14ac:dyDescent="0.2">
      <c r="A890" s="1126" t="s">
        <v>1472</v>
      </c>
      <c r="B890" s="1127">
        <v>214</v>
      </c>
      <c r="C890" s="1128">
        <v>0</v>
      </c>
      <c r="D890" s="1128">
        <v>0</v>
      </c>
      <c r="E890" s="1126"/>
    </row>
    <row r="891" spans="1:5" x14ac:dyDescent="0.2">
      <c r="A891" s="1126" t="s">
        <v>1473</v>
      </c>
      <c r="B891" s="1127">
        <v>287</v>
      </c>
      <c r="C891" s="1128">
        <v>0</v>
      </c>
      <c r="D891" s="1128">
        <v>95.44</v>
      </c>
      <c r="E891" s="1126"/>
    </row>
    <row r="892" spans="1:5" x14ac:dyDescent="0.2">
      <c r="A892" s="1126" t="s">
        <v>1474</v>
      </c>
      <c r="B892" s="1127">
        <v>98</v>
      </c>
      <c r="C892" s="1128">
        <v>0</v>
      </c>
      <c r="D892" s="1128">
        <v>4.46</v>
      </c>
      <c r="E892" s="1126"/>
    </row>
    <row r="893" spans="1:5" x14ac:dyDescent="0.2">
      <c r="A893" s="1126" t="s">
        <v>1475</v>
      </c>
      <c r="B893" s="1127">
        <v>40</v>
      </c>
      <c r="C893" s="1128">
        <v>0</v>
      </c>
      <c r="D893" s="1128">
        <v>20.260000000000002</v>
      </c>
      <c r="E893" s="1126" t="s">
        <v>669</v>
      </c>
    </row>
    <row r="894" spans="1:5" x14ac:dyDescent="0.2">
      <c r="A894" s="1126" t="s">
        <v>1476</v>
      </c>
      <c r="B894" s="1127">
        <v>172</v>
      </c>
      <c r="C894" s="1128">
        <v>0</v>
      </c>
      <c r="D894" s="1128">
        <v>5.73</v>
      </c>
      <c r="E894" s="1126"/>
    </row>
    <row r="895" spans="1:5" x14ac:dyDescent="0.2">
      <c r="A895" s="1126" t="s">
        <v>1477</v>
      </c>
      <c r="B895" s="1127">
        <v>173</v>
      </c>
      <c r="C895" s="1128">
        <v>0</v>
      </c>
      <c r="D895" s="1128">
        <v>58.25</v>
      </c>
      <c r="E895" s="1126"/>
    </row>
    <row r="896" spans="1:5" x14ac:dyDescent="0.2">
      <c r="A896" s="1126" t="s">
        <v>1478</v>
      </c>
      <c r="B896" s="1127">
        <v>103</v>
      </c>
      <c r="C896" s="1128">
        <v>0</v>
      </c>
      <c r="D896" s="1128">
        <v>33.89</v>
      </c>
      <c r="E896" s="1126"/>
    </row>
    <row r="897" spans="1:5" x14ac:dyDescent="0.2">
      <c r="A897" s="1126" t="s">
        <v>1479</v>
      </c>
      <c r="B897" s="1127">
        <v>114</v>
      </c>
      <c r="C897" s="1128">
        <v>20.48</v>
      </c>
      <c r="D897" s="1128">
        <v>98.84</v>
      </c>
      <c r="E897" s="1126"/>
    </row>
    <row r="898" spans="1:5" x14ac:dyDescent="0.2">
      <c r="A898" s="1126" t="s">
        <v>1480</v>
      </c>
      <c r="B898" s="1127">
        <v>210</v>
      </c>
      <c r="C898" s="1128">
        <v>0</v>
      </c>
      <c r="D898" s="1128">
        <v>85.63</v>
      </c>
      <c r="E898" s="1126"/>
    </row>
    <row r="899" spans="1:5" x14ac:dyDescent="0.2">
      <c r="A899" s="1126" t="s">
        <v>1481</v>
      </c>
      <c r="B899" s="1127">
        <v>51</v>
      </c>
      <c r="C899" s="1128">
        <v>6.66</v>
      </c>
      <c r="D899" s="1128">
        <v>41.71</v>
      </c>
      <c r="E899" s="1126"/>
    </row>
    <row r="900" spans="1:5" x14ac:dyDescent="0.2">
      <c r="A900" s="1126" t="s">
        <v>1482</v>
      </c>
      <c r="B900" s="1127">
        <v>168</v>
      </c>
      <c r="C900" s="1128">
        <v>17.989999999999998</v>
      </c>
      <c r="D900" s="1128">
        <v>133.47</v>
      </c>
      <c r="E900" s="1126"/>
    </row>
    <row r="901" spans="1:5" x14ac:dyDescent="0.2">
      <c r="A901" s="1126" t="s">
        <v>1483</v>
      </c>
      <c r="B901" s="1127">
        <v>188</v>
      </c>
      <c r="C901" s="1128">
        <v>0</v>
      </c>
      <c r="D901" s="1128">
        <v>113.02</v>
      </c>
      <c r="E901" s="1126"/>
    </row>
    <row r="902" spans="1:5" x14ac:dyDescent="0.2">
      <c r="A902" s="1126" t="s">
        <v>1484</v>
      </c>
      <c r="B902" s="1127">
        <v>91</v>
      </c>
      <c r="C902" s="1128">
        <v>0</v>
      </c>
      <c r="D902" s="1128">
        <v>39.700000000000003</v>
      </c>
      <c r="E902" s="1126"/>
    </row>
    <row r="903" spans="1:5" x14ac:dyDescent="0.2">
      <c r="A903" s="1126" t="s">
        <v>1485</v>
      </c>
      <c r="B903" s="1127">
        <v>69</v>
      </c>
      <c r="C903" s="1128">
        <v>0.27</v>
      </c>
      <c r="D903" s="1128">
        <v>47.7</v>
      </c>
      <c r="E903" s="1126"/>
    </row>
    <row r="904" spans="1:5" x14ac:dyDescent="0.2">
      <c r="A904" s="1126" t="s">
        <v>1486</v>
      </c>
      <c r="B904" s="1127">
        <v>88</v>
      </c>
      <c r="C904" s="1128">
        <v>0</v>
      </c>
      <c r="D904" s="1128">
        <v>50.06</v>
      </c>
      <c r="E904" s="1126"/>
    </row>
    <row r="905" spans="1:5" x14ac:dyDescent="0.2">
      <c r="A905" s="1126" t="s">
        <v>1487</v>
      </c>
      <c r="B905" s="1127">
        <v>242</v>
      </c>
      <c r="C905" s="1128">
        <v>0</v>
      </c>
      <c r="D905" s="1128">
        <v>13.31</v>
      </c>
      <c r="E905" s="1126"/>
    </row>
    <row r="906" spans="1:5" x14ac:dyDescent="0.2">
      <c r="A906" s="1126" t="s">
        <v>1488</v>
      </c>
      <c r="B906" s="1127">
        <v>133</v>
      </c>
      <c r="C906" s="1128">
        <v>0</v>
      </c>
      <c r="D906" s="1128">
        <v>76.540000000000006</v>
      </c>
      <c r="E906" s="1126"/>
    </row>
    <row r="907" spans="1:5" x14ac:dyDescent="0.2">
      <c r="A907" s="1126" t="s">
        <v>1489</v>
      </c>
      <c r="B907" s="1127">
        <v>51</v>
      </c>
      <c r="C907" s="1128">
        <v>0</v>
      </c>
      <c r="D907" s="1128">
        <v>30.98</v>
      </c>
      <c r="E907" s="1126"/>
    </row>
    <row r="908" spans="1:5" x14ac:dyDescent="0.2">
      <c r="A908" s="1126" t="s">
        <v>1490</v>
      </c>
      <c r="B908" s="1127">
        <v>41</v>
      </c>
      <c r="C908" s="1128">
        <v>0</v>
      </c>
      <c r="D908" s="1128">
        <v>0</v>
      </c>
      <c r="E908" s="1126"/>
    </row>
    <row r="909" spans="1:5" x14ac:dyDescent="0.2">
      <c r="A909" s="1126" t="s">
        <v>1491</v>
      </c>
      <c r="B909" s="1127">
        <v>133</v>
      </c>
      <c r="C909" s="1128">
        <v>38.65</v>
      </c>
      <c r="D909" s="1128">
        <v>130.07</v>
      </c>
      <c r="E909" s="1126"/>
    </row>
    <row r="910" spans="1:5" x14ac:dyDescent="0.2">
      <c r="A910" s="1126" t="s">
        <v>1492</v>
      </c>
      <c r="B910" s="1127">
        <v>262</v>
      </c>
      <c r="C910" s="1128">
        <v>0</v>
      </c>
      <c r="D910" s="1128">
        <v>145.83000000000001</v>
      </c>
      <c r="E910" s="1126"/>
    </row>
    <row r="911" spans="1:5" x14ac:dyDescent="0.2">
      <c r="A911" s="1126" t="s">
        <v>1493</v>
      </c>
      <c r="B911" s="1127">
        <v>445</v>
      </c>
      <c r="C911" s="1128">
        <v>0</v>
      </c>
      <c r="D911" s="1128">
        <v>37.36</v>
      </c>
      <c r="E911" s="1126"/>
    </row>
    <row r="912" spans="1:5" x14ac:dyDescent="0.2">
      <c r="A912" s="1126" t="s">
        <v>1494</v>
      </c>
      <c r="B912" s="1127">
        <v>219</v>
      </c>
      <c r="C912" s="1128">
        <v>0</v>
      </c>
      <c r="D912" s="1128">
        <v>144.19</v>
      </c>
      <c r="E912" s="1126"/>
    </row>
    <row r="913" spans="1:5" x14ac:dyDescent="0.2">
      <c r="A913" s="1126" t="s">
        <v>1495</v>
      </c>
      <c r="B913" s="1127">
        <v>265</v>
      </c>
      <c r="C913" s="1128">
        <v>0</v>
      </c>
      <c r="D913" s="1128">
        <v>144</v>
      </c>
      <c r="E913" s="1126"/>
    </row>
    <row r="914" spans="1:5" x14ac:dyDescent="0.2">
      <c r="A914" s="1126" t="s">
        <v>1496</v>
      </c>
      <c r="B914" s="1127">
        <v>192</v>
      </c>
      <c r="C914" s="1128">
        <v>0</v>
      </c>
      <c r="D914" s="1128">
        <v>92.13</v>
      </c>
      <c r="E914" s="1126"/>
    </row>
    <row r="915" spans="1:5" x14ac:dyDescent="0.2">
      <c r="A915" s="1126" t="s">
        <v>1497</v>
      </c>
      <c r="B915" s="1127">
        <v>93</v>
      </c>
      <c r="C915" s="1128">
        <v>0</v>
      </c>
      <c r="D915" s="1128">
        <v>38.49</v>
      </c>
      <c r="E915" s="1126"/>
    </row>
    <row r="916" spans="1:5" x14ac:dyDescent="0.2">
      <c r="A916" s="1126" t="s">
        <v>1498</v>
      </c>
      <c r="B916" s="1127">
        <v>66</v>
      </c>
      <c r="C916" s="1128">
        <v>0</v>
      </c>
      <c r="D916" s="1128">
        <v>4.37</v>
      </c>
      <c r="E916" s="1126"/>
    </row>
    <row r="917" spans="1:5" x14ac:dyDescent="0.2">
      <c r="A917" s="1126" t="s">
        <v>1499</v>
      </c>
      <c r="B917" s="1127">
        <v>83</v>
      </c>
      <c r="C917" s="1128">
        <v>47.73</v>
      </c>
      <c r="D917" s="1128">
        <v>104.78</v>
      </c>
      <c r="E917" s="1126"/>
    </row>
    <row r="918" spans="1:5" x14ac:dyDescent="0.2">
      <c r="A918" s="1126" t="s">
        <v>1500</v>
      </c>
      <c r="B918" s="1127">
        <v>63</v>
      </c>
      <c r="C918" s="1128">
        <v>18.47</v>
      </c>
      <c r="D918" s="1128">
        <v>61.77</v>
      </c>
      <c r="E918" s="1126"/>
    </row>
    <row r="919" spans="1:5" x14ac:dyDescent="0.2">
      <c r="A919" s="1126" t="s">
        <v>1501</v>
      </c>
      <c r="B919" s="1127">
        <v>399</v>
      </c>
      <c r="C919" s="1128">
        <v>0</v>
      </c>
      <c r="D919" s="1128">
        <v>145.35</v>
      </c>
      <c r="E919" s="1126"/>
    </row>
    <row r="920" spans="1:5" x14ac:dyDescent="0.2">
      <c r="A920" s="1126" t="s">
        <v>1502</v>
      </c>
      <c r="B920" s="1127">
        <v>200</v>
      </c>
      <c r="C920" s="1128">
        <v>0</v>
      </c>
      <c r="D920" s="1128">
        <v>84.59</v>
      </c>
      <c r="E920" s="1126"/>
    </row>
    <row r="921" spans="1:5" x14ac:dyDescent="0.2">
      <c r="A921" s="1126" t="s">
        <v>1503</v>
      </c>
      <c r="B921" s="1127">
        <v>86</v>
      </c>
      <c r="C921" s="1128">
        <v>0</v>
      </c>
      <c r="D921" s="1128">
        <v>4.99</v>
      </c>
      <c r="E921" s="1126"/>
    </row>
    <row r="922" spans="1:5" x14ac:dyDescent="0.2">
      <c r="A922" s="1126" t="s">
        <v>1504</v>
      </c>
      <c r="B922" s="1127">
        <v>247</v>
      </c>
      <c r="C922" s="1128">
        <v>122.57</v>
      </c>
      <c r="D922" s="1128">
        <v>292.35000000000002</v>
      </c>
      <c r="E922" s="1126"/>
    </row>
    <row r="923" spans="1:5" x14ac:dyDescent="0.2">
      <c r="A923" s="1126" t="s">
        <v>1505</v>
      </c>
      <c r="B923" s="1127">
        <v>102</v>
      </c>
      <c r="C923" s="1128">
        <v>0</v>
      </c>
      <c r="D923" s="1128">
        <v>13.18</v>
      </c>
      <c r="E923" s="1126"/>
    </row>
    <row r="924" spans="1:5" x14ac:dyDescent="0.2">
      <c r="A924" s="1126" t="s">
        <v>1506</v>
      </c>
      <c r="B924" s="1127">
        <v>134</v>
      </c>
      <c r="C924" s="1128">
        <v>0</v>
      </c>
      <c r="D924" s="1128">
        <v>47.33</v>
      </c>
      <c r="E924" s="1126"/>
    </row>
    <row r="925" spans="1:5" x14ac:dyDescent="0.2">
      <c r="A925" s="1126" t="s">
        <v>1507</v>
      </c>
      <c r="B925" s="1127">
        <v>221</v>
      </c>
      <c r="C925" s="1128">
        <v>0</v>
      </c>
      <c r="D925" s="1128">
        <v>74.95</v>
      </c>
      <c r="E925" s="1126"/>
    </row>
    <row r="926" spans="1:5" x14ac:dyDescent="0.2">
      <c r="A926" s="1126" t="s">
        <v>1508</v>
      </c>
      <c r="B926" s="1127">
        <v>158</v>
      </c>
      <c r="C926" s="1128">
        <v>0</v>
      </c>
      <c r="D926" s="1128">
        <v>47.47</v>
      </c>
      <c r="E926" s="1126"/>
    </row>
    <row r="927" spans="1:5" x14ac:dyDescent="0.2">
      <c r="A927" s="1126" t="s">
        <v>1509</v>
      </c>
      <c r="B927" s="1127">
        <v>171</v>
      </c>
      <c r="C927" s="1128">
        <v>4.21</v>
      </c>
      <c r="D927" s="1128">
        <v>121.75</v>
      </c>
      <c r="E927" s="1126"/>
    </row>
    <row r="928" spans="1:5" x14ac:dyDescent="0.2">
      <c r="A928" s="1126" t="s">
        <v>1510</v>
      </c>
      <c r="B928" s="1127">
        <v>153</v>
      </c>
      <c r="C928" s="1128">
        <v>0</v>
      </c>
      <c r="D928" s="1128">
        <v>62.87</v>
      </c>
      <c r="E928" s="1126"/>
    </row>
    <row r="929" spans="1:5" x14ac:dyDescent="0.2">
      <c r="A929" s="1126" t="s">
        <v>1511</v>
      </c>
      <c r="B929" s="1127">
        <v>232</v>
      </c>
      <c r="C929" s="1128">
        <v>0</v>
      </c>
      <c r="D929" s="1128">
        <v>100.36</v>
      </c>
      <c r="E929" s="1126"/>
    </row>
    <row r="930" spans="1:5" x14ac:dyDescent="0.2">
      <c r="A930" s="1126" t="s">
        <v>1512</v>
      </c>
      <c r="B930" s="1127">
        <v>68</v>
      </c>
      <c r="C930" s="1128">
        <v>0</v>
      </c>
      <c r="D930" s="1128">
        <v>9.84</v>
      </c>
      <c r="E930" s="1126"/>
    </row>
    <row r="931" spans="1:5" x14ac:dyDescent="0.2">
      <c r="A931" s="1126" t="s">
        <v>1513</v>
      </c>
      <c r="B931" s="1127">
        <v>232</v>
      </c>
      <c r="C931" s="1128">
        <v>0</v>
      </c>
      <c r="D931" s="1128">
        <v>41.92</v>
      </c>
      <c r="E931" s="1126"/>
    </row>
    <row r="932" spans="1:5" x14ac:dyDescent="0.2">
      <c r="A932" s="1126" t="s">
        <v>1514</v>
      </c>
      <c r="B932" s="1127">
        <v>222</v>
      </c>
      <c r="C932" s="1128">
        <v>0</v>
      </c>
      <c r="D932" s="1128">
        <v>103.34</v>
      </c>
      <c r="E932" s="1126"/>
    </row>
    <row r="933" spans="1:5" x14ac:dyDescent="0.2">
      <c r="A933" s="1126" t="s">
        <v>1515</v>
      </c>
      <c r="B933" s="1127">
        <v>54</v>
      </c>
      <c r="C933" s="1128">
        <v>0</v>
      </c>
      <c r="D933" s="1128">
        <v>17.96</v>
      </c>
      <c r="E933" s="1126"/>
    </row>
    <row r="934" spans="1:5" x14ac:dyDescent="0.2">
      <c r="A934" s="1126" t="s">
        <v>1516</v>
      </c>
      <c r="B934" s="1127">
        <v>214</v>
      </c>
      <c r="C934" s="1128">
        <v>0</v>
      </c>
      <c r="D934" s="1128">
        <v>120.88</v>
      </c>
      <c r="E934" s="1126"/>
    </row>
    <row r="935" spans="1:5" x14ac:dyDescent="0.2">
      <c r="A935" s="1126" t="s">
        <v>1517</v>
      </c>
      <c r="B935" s="1127">
        <v>112</v>
      </c>
      <c r="C935" s="1128">
        <v>0</v>
      </c>
      <c r="D935" s="1128">
        <v>18.48</v>
      </c>
      <c r="E935" s="1126"/>
    </row>
    <row r="936" spans="1:5" x14ac:dyDescent="0.2">
      <c r="A936" s="1126" t="s">
        <v>1518</v>
      </c>
      <c r="B936" s="1127">
        <v>121</v>
      </c>
      <c r="C936" s="1128">
        <v>0</v>
      </c>
      <c r="D936" s="1128">
        <v>51.48</v>
      </c>
      <c r="E936" s="1126"/>
    </row>
    <row r="937" spans="1:5" x14ac:dyDescent="0.2">
      <c r="A937" s="1126" t="s">
        <v>1519</v>
      </c>
      <c r="B937" s="1127">
        <v>95</v>
      </c>
      <c r="C937" s="1128">
        <v>0</v>
      </c>
      <c r="D937" s="1128">
        <v>4.91</v>
      </c>
      <c r="E937" s="1126"/>
    </row>
    <row r="938" spans="1:5" x14ac:dyDescent="0.2">
      <c r="A938" s="1126" t="s">
        <v>1520</v>
      </c>
      <c r="B938" s="1127">
        <v>67</v>
      </c>
      <c r="C938" s="1128">
        <v>52.02</v>
      </c>
      <c r="D938" s="1128">
        <v>98.07</v>
      </c>
      <c r="E938" s="1126"/>
    </row>
    <row r="939" spans="1:5" x14ac:dyDescent="0.2">
      <c r="A939" s="1126" t="s">
        <v>1521</v>
      </c>
      <c r="B939" s="1127">
        <v>97</v>
      </c>
      <c r="C939" s="1128">
        <v>0</v>
      </c>
      <c r="D939" s="1128">
        <v>57.49</v>
      </c>
      <c r="E939" s="1126"/>
    </row>
    <row r="940" spans="1:5" x14ac:dyDescent="0.2">
      <c r="A940" s="1126" t="s">
        <v>1522</v>
      </c>
      <c r="B940" s="1127">
        <v>92</v>
      </c>
      <c r="C940" s="1128">
        <v>0</v>
      </c>
      <c r="D940" s="1128">
        <v>51.11</v>
      </c>
      <c r="E940" s="1126"/>
    </row>
    <row r="941" spans="1:5" x14ac:dyDescent="0.2">
      <c r="A941" s="1126" t="s">
        <v>1523</v>
      </c>
      <c r="B941" s="1127">
        <v>96</v>
      </c>
      <c r="C941" s="1128">
        <v>42.36</v>
      </c>
      <c r="D941" s="1128">
        <v>108.35</v>
      </c>
      <c r="E941" s="1126"/>
    </row>
    <row r="942" spans="1:5" x14ac:dyDescent="0.2">
      <c r="A942" s="1126" t="s">
        <v>1524</v>
      </c>
      <c r="B942" s="1127">
        <v>84</v>
      </c>
      <c r="C942" s="1128">
        <v>0</v>
      </c>
      <c r="D942" s="1128">
        <v>16.68</v>
      </c>
      <c r="E942" s="1126"/>
    </row>
    <row r="943" spans="1:5" x14ac:dyDescent="0.2">
      <c r="A943" s="1126" t="s">
        <v>1525</v>
      </c>
      <c r="B943" s="1127">
        <v>35</v>
      </c>
      <c r="C943" s="1128">
        <v>1.49</v>
      </c>
      <c r="D943" s="1128">
        <v>25.55</v>
      </c>
      <c r="E943" s="1126" t="s">
        <v>669</v>
      </c>
    </row>
    <row r="944" spans="1:5" x14ac:dyDescent="0.2">
      <c r="A944" s="1126" t="s">
        <v>1526</v>
      </c>
      <c r="B944" s="1127">
        <v>213</v>
      </c>
      <c r="C944" s="1128">
        <v>0</v>
      </c>
      <c r="D944" s="1128">
        <v>66.180000000000007</v>
      </c>
      <c r="E944" s="1126"/>
    </row>
    <row r="945" spans="1:5" x14ac:dyDescent="0.2">
      <c r="A945" s="1126" t="s">
        <v>1527</v>
      </c>
      <c r="B945" s="1127">
        <v>40</v>
      </c>
      <c r="C945" s="1128">
        <v>0</v>
      </c>
      <c r="D945" s="1128">
        <v>16.05</v>
      </c>
      <c r="E945" s="1126" t="s">
        <v>669</v>
      </c>
    </row>
    <row r="946" spans="1:5" x14ac:dyDescent="0.2">
      <c r="A946" s="1126" t="s">
        <v>1528</v>
      </c>
      <c r="B946" s="1127">
        <v>31</v>
      </c>
      <c r="C946" s="1128">
        <v>0</v>
      </c>
      <c r="D946" s="1128">
        <v>14.19</v>
      </c>
      <c r="E946" s="1126" t="s">
        <v>669</v>
      </c>
    </row>
    <row r="947" spans="1:5" x14ac:dyDescent="0.2">
      <c r="A947" s="1126" t="s">
        <v>1529</v>
      </c>
      <c r="B947" s="1127">
        <v>96</v>
      </c>
      <c r="C947" s="1128">
        <v>0</v>
      </c>
      <c r="D947" s="1128">
        <v>52.09</v>
      </c>
      <c r="E947" s="1126"/>
    </row>
    <row r="948" spans="1:5" x14ac:dyDescent="0.2">
      <c r="A948" s="1126" t="s">
        <v>1530</v>
      </c>
      <c r="B948" s="1127">
        <v>50</v>
      </c>
      <c r="C948" s="1128">
        <v>0</v>
      </c>
      <c r="D948" s="1128">
        <v>18.2</v>
      </c>
      <c r="E948" s="1126"/>
    </row>
    <row r="949" spans="1:5" x14ac:dyDescent="0.2">
      <c r="A949" s="1126" t="s">
        <v>1531</v>
      </c>
      <c r="B949" s="1127">
        <v>23</v>
      </c>
      <c r="C949" s="1128">
        <v>0</v>
      </c>
      <c r="D949" s="1128">
        <v>4.79</v>
      </c>
      <c r="E949" s="1126" t="s">
        <v>669</v>
      </c>
    </row>
    <row r="950" spans="1:5" x14ac:dyDescent="0.2">
      <c r="A950" s="1126" t="s">
        <v>1532</v>
      </c>
      <c r="B950" s="1127">
        <v>59</v>
      </c>
      <c r="C950" s="1128">
        <v>0</v>
      </c>
      <c r="D950" s="1128">
        <v>6.02</v>
      </c>
      <c r="E950" s="1126"/>
    </row>
    <row r="951" spans="1:5" x14ac:dyDescent="0.2">
      <c r="A951" s="1126" t="s">
        <v>1533</v>
      </c>
      <c r="B951" s="1127">
        <v>120</v>
      </c>
      <c r="C951" s="1128">
        <v>0</v>
      </c>
      <c r="D951" s="1128">
        <v>79.88</v>
      </c>
      <c r="E951" s="1126"/>
    </row>
    <row r="952" spans="1:5" x14ac:dyDescent="0.2">
      <c r="A952" s="1126" t="s">
        <v>1534</v>
      </c>
      <c r="B952" s="1127">
        <v>57</v>
      </c>
      <c r="C952" s="1128">
        <v>0</v>
      </c>
      <c r="D952" s="1128">
        <v>31.58</v>
      </c>
      <c r="E952" s="1126"/>
    </row>
    <row r="953" spans="1:5" x14ac:dyDescent="0.2">
      <c r="A953" s="1126" t="s">
        <v>1535</v>
      </c>
      <c r="B953" s="1127">
        <v>151</v>
      </c>
      <c r="C953" s="1128">
        <v>1.91</v>
      </c>
      <c r="D953" s="1128">
        <v>105.7</v>
      </c>
      <c r="E953" s="1126"/>
    </row>
    <row r="954" spans="1:5" x14ac:dyDescent="0.2">
      <c r="A954" s="1126" t="s">
        <v>1536</v>
      </c>
      <c r="B954" s="1127">
        <v>115</v>
      </c>
      <c r="C954" s="1128">
        <v>0</v>
      </c>
      <c r="D954" s="1128">
        <v>64.14</v>
      </c>
      <c r="E954" s="1126"/>
    </row>
    <row r="955" spans="1:5" x14ac:dyDescent="0.2">
      <c r="A955" s="1126" t="s">
        <v>1537</v>
      </c>
      <c r="B955" s="1127">
        <v>69</v>
      </c>
      <c r="C955" s="1128">
        <v>0</v>
      </c>
      <c r="D955" s="1128">
        <v>23.41</v>
      </c>
      <c r="E955" s="1126"/>
    </row>
    <row r="956" spans="1:5" x14ac:dyDescent="0.2">
      <c r="A956" s="1126" t="s">
        <v>1538</v>
      </c>
      <c r="B956" s="1127">
        <v>183</v>
      </c>
      <c r="C956" s="1128">
        <v>0</v>
      </c>
      <c r="D956" s="1128">
        <v>112.25</v>
      </c>
      <c r="E956" s="1126"/>
    </row>
    <row r="957" spans="1:5" x14ac:dyDescent="0.2">
      <c r="A957" s="1126" t="s">
        <v>1539</v>
      </c>
      <c r="B957" s="1127">
        <v>95</v>
      </c>
      <c r="C957" s="1128">
        <v>0</v>
      </c>
      <c r="D957" s="1128">
        <v>14.36</v>
      </c>
      <c r="E957" s="1126"/>
    </row>
    <row r="958" spans="1:5" x14ac:dyDescent="0.2">
      <c r="A958" s="1126" t="s">
        <v>1540</v>
      </c>
      <c r="B958" s="1127">
        <v>72</v>
      </c>
      <c r="C958" s="1128">
        <v>0</v>
      </c>
      <c r="D958" s="1128">
        <v>13.81</v>
      </c>
      <c r="E958" s="1126"/>
    </row>
    <row r="959" spans="1:5" x14ac:dyDescent="0.2">
      <c r="A959" s="1126" t="s">
        <v>1541</v>
      </c>
      <c r="B959" s="1127">
        <v>85</v>
      </c>
      <c r="C959" s="1128">
        <v>0</v>
      </c>
      <c r="D959" s="1128">
        <v>21.25</v>
      </c>
      <c r="E959" s="1126"/>
    </row>
    <row r="960" spans="1:5" x14ac:dyDescent="0.2">
      <c r="A960" s="1126" t="s">
        <v>1542</v>
      </c>
      <c r="B960" s="1127">
        <v>38</v>
      </c>
      <c r="C960" s="1128">
        <v>0</v>
      </c>
      <c r="D960" s="1128">
        <v>23.38</v>
      </c>
      <c r="E960" s="1126" t="s">
        <v>669</v>
      </c>
    </row>
    <row r="961" spans="1:5" x14ac:dyDescent="0.2">
      <c r="A961" s="1126" t="s">
        <v>1543</v>
      </c>
      <c r="B961" s="1127">
        <v>247</v>
      </c>
      <c r="C961" s="1128">
        <v>0</v>
      </c>
      <c r="D961" s="1128">
        <v>50.07</v>
      </c>
      <c r="E961" s="1126"/>
    </row>
    <row r="962" spans="1:5" x14ac:dyDescent="0.2">
      <c r="A962" s="1126" t="s">
        <v>1544</v>
      </c>
      <c r="B962" s="1127">
        <v>72</v>
      </c>
      <c r="C962" s="1128">
        <v>0</v>
      </c>
      <c r="D962" s="1128">
        <v>32.86</v>
      </c>
      <c r="E962" s="1126"/>
    </row>
    <row r="963" spans="1:5" x14ac:dyDescent="0.2">
      <c r="A963" s="1126" t="s">
        <v>1545</v>
      </c>
      <c r="B963" s="1127">
        <v>96</v>
      </c>
      <c r="C963" s="1128">
        <v>0</v>
      </c>
      <c r="D963" s="1128">
        <v>0</v>
      </c>
      <c r="E963" s="1126"/>
    </row>
    <row r="964" spans="1:5" x14ac:dyDescent="0.2">
      <c r="A964" s="1126" t="s">
        <v>1546</v>
      </c>
      <c r="B964" s="1127">
        <v>40</v>
      </c>
      <c r="C964" s="1128">
        <v>10.33</v>
      </c>
      <c r="D964" s="1128">
        <v>37.82</v>
      </c>
      <c r="E964" s="1126" t="s">
        <v>669</v>
      </c>
    </row>
    <row r="965" spans="1:5" x14ac:dyDescent="0.2">
      <c r="A965" s="1126" t="s">
        <v>1547</v>
      </c>
      <c r="B965" s="1127">
        <v>198</v>
      </c>
      <c r="C965" s="1128">
        <v>0</v>
      </c>
      <c r="D965" s="1128">
        <v>87.83</v>
      </c>
      <c r="E965" s="1126"/>
    </row>
    <row r="966" spans="1:5" x14ac:dyDescent="0.2">
      <c r="A966" s="1126" t="s">
        <v>1548</v>
      </c>
      <c r="B966" s="1127">
        <v>65</v>
      </c>
      <c r="C966" s="1128">
        <v>0</v>
      </c>
      <c r="D966" s="1128">
        <v>34.1</v>
      </c>
      <c r="E966" s="1126"/>
    </row>
    <row r="967" spans="1:5" x14ac:dyDescent="0.2">
      <c r="A967" s="1126" t="s">
        <v>1549</v>
      </c>
      <c r="B967" s="1127">
        <v>228</v>
      </c>
      <c r="C967" s="1128">
        <v>27.64</v>
      </c>
      <c r="D967" s="1128">
        <v>184.36</v>
      </c>
      <c r="E967" s="1126"/>
    </row>
    <row r="968" spans="1:5" x14ac:dyDescent="0.2">
      <c r="A968" s="1126" t="s">
        <v>1550</v>
      </c>
      <c r="B968" s="1127">
        <v>45</v>
      </c>
      <c r="C968" s="1128">
        <v>0</v>
      </c>
      <c r="D968" s="1128">
        <v>4.9000000000000004</v>
      </c>
      <c r="E968" s="1126"/>
    </row>
    <row r="969" spans="1:5" x14ac:dyDescent="0.2">
      <c r="A969" s="1126" t="s">
        <v>1551</v>
      </c>
      <c r="B969" s="1127">
        <v>172</v>
      </c>
      <c r="C969" s="1128">
        <v>0</v>
      </c>
      <c r="D969" s="1128">
        <v>81.03</v>
      </c>
      <c r="E969" s="1126"/>
    </row>
    <row r="970" spans="1:5" x14ac:dyDescent="0.2">
      <c r="A970" s="1126" t="s">
        <v>1552</v>
      </c>
      <c r="B970" s="1127">
        <v>107</v>
      </c>
      <c r="C970" s="1128">
        <v>0</v>
      </c>
      <c r="D970" s="1128">
        <v>55.27</v>
      </c>
      <c r="E970" s="1126"/>
    </row>
    <row r="971" spans="1:5" x14ac:dyDescent="0.2">
      <c r="A971" s="1126" t="s">
        <v>1553</v>
      </c>
      <c r="B971" s="1127">
        <v>149</v>
      </c>
      <c r="C971" s="1128">
        <v>0</v>
      </c>
      <c r="D971" s="1128">
        <v>54.4</v>
      </c>
      <c r="E971" s="1126"/>
    </row>
    <row r="972" spans="1:5" x14ac:dyDescent="0.2">
      <c r="A972" s="1126" t="s">
        <v>1554</v>
      </c>
      <c r="B972" s="1127">
        <v>88</v>
      </c>
      <c r="C972" s="1128">
        <v>0</v>
      </c>
      <c r="D972" s="1128">
        <v>35.090000000000003</v>
      </c>
      <c r="E972" s="1126"/>
    </row>
    <row r="973" spans="1:5" x14ac:dyDescent="0.2">
      <c r="A973" s="1126" t="s">
        <v>1555</v>
      </c>
      <c r="B973" s="1127">
        <v>142</v>
      </c>
      <c r="C973" s="1128">
        <v>0</v>
      </c>
      <c r="D973" s="1128">
        <v>56.13</v>
      </c>
      <c r="E973" s="1126"/>
    </row>
    <row r="974" spans="1:5" x14ac:dyDescent="0.2">
      <c r="A974" s="1126" t="s">
        <v>1556</v>
      </c>
      <c r="B974" s="1127">
        <v>44</v>
      </c>
      <c r="C974" s="1128">
        <v>2.2799999999999998</v>
      </c>
      <c r="D974" s="1128">
        <v>32.520000000000003</v>
      </c>
      <c r="E974" s="1126"/>
    </row>
    <row r="975" spans="1:5" x14ac:dyDescent="0.2">
      <c r="A975" s="1126" t="s">
        <v>1557</v>
      </c>
      <c r="B975" s="1127">
        <v>79</v>
      </c>
      <c r="C975" s="1128">
        <v>0</v>
      </c>
      <c r="D975" s="1128">
        <v>5.29</v>
      </c>
      <c r="E975" s="1126"/>
    </row>
    <row r="976" spans="1:5" x14ac:dyDescent="0.2">
      <c r="A976" s="1126" t="s">
        <v>1558</v>
      </c>
      <c r="B976" s="1127">
        <v>210</v>
      </c>
      <c r="C976" s="1128">
        <v>0</v>
      </c>
      <c r="D976" s="1128">
        <v>138.61000000000001</v>
      </c>
      <c r="E976" s="1126"/>
    </row>
    <row r="977" spans="1:5" x14ac:dyDescent="0.2">
      <c r="A977" s="1126" t="s">
        <v>1559</v>
      </c>
      <c r="B977" s="1127">
        <v>41</v>
      </c>
      <c r="C977" s="1128">
        <v>6.9</v>
      </c>
      <c r="D977" s="1128">
        <v>35.08</v>
      </c>
      <c r="E977" s="1126"/>
    </row>
    <row r="978" spans="1:5" x14ac:dyDescent="0.2">
      <c r="A978" s="1126" t="s">
        <v>1560</v>
      </c>
      <c r="B978" s="1127">
        <v>54</v>
      </c>
      <c r="C978" s="1128">
        <v>8.92</v>
      </c>
      <c r="D978" s="1128">
        <v>46.04</v>
      </c>
      <c r="E978" s="1126"/>
    </row>
    <row r="979" spans="1:5" x14ac:dyDescent="0.2">
      <c r="A979" s="1126" t="s">
        <v>1561</v>
      </c>
      <c r="B979" s="1127">
        <v>119</v>
      </c>
      <c r="C979" s="1128">
        <v>0</v>
      </c>
      <c r="D979" s="1128">
        <v>45.82</v>
      </c>
      <c r="E979" s="1126"/>
    </row>
    <row r="980" spans="1:5" x14ac:dyDescent="0.2">
      <c r="A980" s="1126" t="s">
        <v>1562</v>
      </c>
      <c r="B980" s="1127">
        <v>307</v>
      </c>
      <c r="C980" s="1128">
        <v>0</v>
      </c>
      <c r="D980" s="1128">
        <v>155.19</v>
      </c>
      <c r="E980" s="1126"/>
    </row>
    <row r="981" spans="1:5" x14ac:dyDescent="0.2">
      <c r="A981" s="1126" t="s">
        <v>1563</v>
      </c>
      <c r="B981" s="1127">
        <v>239</v>
      </c>
      <c r="C981" s="1128">
        <v>0</v>
      </c>
      <c r="D981" s="1128">
        <v>128.82</v>
      </c>
      <c r="E981" s="1126"/>
    </row>
    <row r="982" spans="1:5" x14ac:dyDescent="0.2">
      <c r="A982" s="1126" t="s">
        <v>1564</v>
      </c>
      <c r="B982" s="1127">
        <v>105</v>
      </c>
      <c r="C982" s="1128">
        <v>0</v>
      </c>
      <c r="D982" s="1128">
        <v>26.9</v>
      </c>
      <c r="E982" s="1126"/>
    </row>
    <row r="983" spans="1:5" x14ac:dyDescent="0.2">
      <c r="A983" s="1126" t="s">
        <v>1565</v>
      </c>
      <c r="B983" s="1127">
        <v>149</v>
      </c>
      <c r="C983" s="1128">
        <v>0</v>
      </c>
      <c r="D983" s="1128">
        <v>45.02</v>
      </c>
      <c r="E983" s="1126"/>
    </row>
    <row r="984" spans="1:5" x14ac:dyDescent="0.2">
      <c r="A984" s="1126" t="s">
        <v>1566</v>
      </c>
      <c r="B984" s="1127">
        <v>100</v>
      </c>
      <c r="C984" s="1128">
        <v>176.7</v>
      </c>
      <c r="D984" s="1128">
        <v>245.43</v>
      </c>
      <c r="E984" s="1126"/>
    </row>
    <row r="985" spans="1:5" x14ac:dyDescent="0.2">
      <c r="A985" s="1126" t="s">
        <v>1567</v>
      </c>
      <c r="B985" s="1127">
        <v>86</v>
      </c>
      <c r="C985" s="1128">
        <v>0</v>
      </c>
      <c r="D985" s="1128">
        <v>57.41</v>
      </c>
      <c r="E985" s="1126"/>
    </row>
    <row r="986" spans="1:5" x14ac:dyDescent="0.2">
      <c r="A986" s="1126" t="s">
        <v>1568</v>
      </c>
      <c r="B986" s="1127">
        <v>249</v>
      </c>
      <c r="C986" s="1128">
        <v>0</v>
      </c>
      <c r="D986" s="1128">
        <v>141.38</v>
      </c>
      <c r="E986" s="1126"/>
    </row>
    <row r="987" spans="1:5" x14ac:dyDescent="0.2">
      <c r="A987" s="1126" t="s">
        <v>1569</v>
      </c>
      <c r="B987" s="1127">
        <v>123</v>
      </c>
      <c r="C987" s="1128">
        <v>0</v>
      </c>
      <c r="D987" s="1128">
        <v>25.87</v>
      </c>
      <c r="E987" s="1126"/>
    </row>
    <row r="988" spans="1:5" x14ac:dyDescent="0.2">
      <c r="A988" s="1126" t="s">
        <v>1570</v>
      </c>
      <c r="B988" s="1127">
        <v>107</v>
      </c>
      <c r="C988" s="1128">
        <v>0</v>
      </c>
      <c r="D988" s="1128">
        <v>49.28</v>
      </c>
      <c r="E988" s="1126"/>
    </row>
    <row r="989" spans="1:5" x14ac:dyDescent="0.2">
      <c r="A989" s="1126" t="s">
        <v>1571</v>
      </c>
      <c r="B989" s="1127">
        <v>197</v>
      </c>
      <c r="C989" s="1128">
        <v>0</v>
      </c>
      <c r="D989" s="1128">
        <v>47.2</v>
      </c>
      <c r="E989" s="1126"/>
    </row>
    <row r="990" spans="1:5" x14ac:dyDescent="0.2">
      <c r="A990" s="1126" t="s">
        <v>1572</v>
      </c>
      <c r="B990" s="1127">
        <v>121</v>
      </c>
      <c r="C990" s="1128">
        <v>0</v>
      </c>
      <c r="D990" s="1128">
        <v>26.31</v>
      </c>
      <c r="E990" s="1126"/>
    </row>
    <row r="991" spans="1:5" x14ac:dyDescent="0.2">
      <c r="A991" s="1126" t="s">
        <v>1573</v>
      </c>
      <c r="B991" s="1127">
        <v>244</v>
      </c>
      <c r="C991" s="1128">
        <v>0</v>
      </c>
      <c r="D991" s="1128">
        <v>156.86000000000001</v>
      </c>
      <c r="E991" s="1126"/>
    </row>
    <row r="992" spans="1:5" x14ac:dyDescent="0.2">
      <c r="A992" s="1126" t="s">
        <v>1574</v>
      </c>
      <c r="B992" s="1127">
        <v>179</v>
      </c>
      <c r="C992" s="1128">
        <v>0</v>
      </c>
      <c r="D992" s="1128">
        <v>43</v>
      </c>
      <c r="E992" s="1126"/>
    </row>
    <row r="993" spans="1:5" x14ac:dyDescent="0.2">
      <c r="A993" s="1126" t="s">
        <v>1575</v>
      </c>
      <c r="B993" s="1127">
        <v>88</v>
      </c>
      <c r="C993" s="1128">
        <v>0</v>
      </c>
      <c r="D993" s="1128">
        <v>34.08</v>
      </c>
      <c r="E993" s="1126"/>
    </row>
    <row r="994" spans="1:5" x14ac:dyDescent="0.2">
      <c r="A994" s="1126" t="s">
        <v>1576</v>
      </c>
      <c r="B994" s="1127">
        <v>41</v>
      </c>
      <c r="C994" s="1128">
        <v>0</v>
      </c>
      <c r="D994" s="1128">
        <v>15.54</v>
      </c>
      <c r="E994" s="1126"/>
    </row>
    <row r="995" spans="1:5" x14ac:dyDescent="0.2">
      <c r="A995" s="1126" t="s">
        <v>1577</v>
      </c>
      <c r="B995" s="1127">
        <v>224</v>
      </c>
      <c r="C995" s="1128">
        <v>0</v>
      </c>
      <c r="D995" s="1128">
        <v>100.57</v>
      </c>
      <c r="E995" s="1126"/>
    </row>
    <row r="996" spans="1:5" x14ac:dyDescent="0.2">
      <c r="A996" s="1126" t="s">
        <v>1578</v>
      </c>
      <c r="B996" s="1127">
        <v>67</v>
      </c>
      <c r="C996" s="1128">
        <v>0</v>
      </c>
      <c r="D996" s="1128">
        <v>43.47</v>
      </c>
      <c r="E996" s="1126"/>
    </row>
    <row r="997" spans="1:5" x14ac:dyDescent="0.2">
      <c r="A997" s="1126" t="s">
        <v>1579</v>
      </c>
      <c r="B997" s="1127">
        <v>403</v>
      </c>
      <c r="C997" s="1128">
        <v>890.56</v>
      </c>
      <c r="D997" s="1128">
        <v>1167.57</v>
      </c>
      <c r="E997" s="1126"/>
    </row>
    <row r="998" spans="1:5" x14ac:dyDescent="0.2">
      <c r="A998" s="1126" t="s">
        <v>1580</v>
      </c>
      <c r="B998" s="1127">
        <v>279</v>
      </c>
      <c r="C998" s="1128">
        <v>0</v>
      </c>
      <c r="D998" s="1128">
        <v>123.94</v>
      </c>
      <c r="E998" s="1126"/>
    </row>
    <row r="999" spans="1:5" x14ac:dyDescent="0.2">
      <c r="A999" s="1126" t="s">
        <v>1581</v>
      </c>
      <c r="B999" s="1127">
        <v>82</v>
      </c>
      <c r="C999" s="1128">
        <v>11.63</v>
      </c>
      <c r="D999" s="1128">
        <v>67.989999999999995</v>
      </c>
      <c r="E999" s="1126"/>
    </row>
    <row r="1000" spans="1:5" x14ac:dyDescent="0.2">
      <c r="A1000" s="1126" t="s">
        <v>1582</v>
      </c>
      <c r="B1000" s="1127">
        <v>95</v>
      </c>
      <c r="C1000" s="1128">
        <v>0</v>
      </c>
      <c r="D1000" s="1128">
        <v>35.880000000000003</v>
      </c>
      <c r="E1000" s="1126"/>
    </row>
    <row r="1001" spans="1:5" x14ac:dyDescent="0.2">
      <c r="A1001" s="1126" t="s">
        <v>1583</v>
      </c>
      <c r="B1001" s="1127">
        <v>111</v>
      </c>
      <c r="C1001" s="1128">
        <v>0</v>
      </c>
      <c r="D1001" s="1128">
        <v>4.9400000000000004</v>
      </c>
      <c r="E1001" s="1126"/>
    </row>
    <row r="1002" spans="1:5" x14ac:dyDescent="0.2">
      <c r="A1002" s="1126" t="s">
        <v>1584</v>
      </c>
      <c r="B1002" s="1127">
        <v>169</v>
      </c>
      <c r="C1002" s="1128">
        <v>0</v>
      </c>
      <c r="D1002" s="1128">
        <v>59.04</v>
      </c>
      <c r="E1002" s="1126"/>
    </row>
    <row r="1003" spans="1:5" x14ac:dyDescent="0.2">
      <c r="A1003" s="1126" t="s">
        <v>1585</v>
      </c>
      <c r="B1003" s="1127">
        <v>62</v>
      </c>
      <c r="C1003" s="1128">
        <v>0</v>
      </c>
      <c r="D1003" s="1128">
        <v>9.01</v>
      </c>
      <c r="E1003" s="1126"/>
    </row>
    <row r="1004" spans="1:5" x14ac:dyDescent="0.2">
      <c r="A1004" s="1126" t="s">
        <v>1586</v>
      </c>
      <c r="B1004" s="1127">
        <v>90</v>
      </c>
      <c r="C1004" s="1128">
        <v>0</v>
      </c>
      <c r="D1004" s="1128">
        <v>24</v>
      </c>
      <c r="E1004" s="1126"/>
    </row>
    <row r="1005" spans="1:5" x14ac:dyDescent="0.2">
      <c r="A1005" s="1126" t="s">
        <v>1587</v>
      </c>
      <c r="B1005" s="1127">
        <v>542</v>
      </c>
      <c r="C1005" s="1128">
        <v>0</v>
      </c>
      <c r="D1005" s="1128">
        <v>151.38</v>
      </c>
      <c r="E1005" s="1126"/>
    </row>
    <row r="1006" spans="1:5" x14ac:dyDescent="0.2">
      <c r="A1006" s="1126" t="s">
        <v>1588</v>
      </c>
      <c r="B1006" s="1127">
        <v>72</v>
      </c>
      <c r="C1006" s="1128">
        <v>0</v>
      </c>
      <c r="D1006" s="1128">
        <v>17.3</v>
      </c>
      <c r="E1006" s="1126"/>
    </row>
    <row r="1007" spans="1:5" x14ac:dyDescent="0.2">
      <c r="A1007" s="1126" t="s">
        <v>1589</v>
      </c>
      <c r="B1007" s="1127">
        <v>234</v>
      </c>
      <c r="C1007" s="1128">
        <v>0</v>
      </c>
      <c r="D1007" s="1128">
        <v>71.25</v>
      </c>
      <c r="E1007" s="1126"/>
    </row>
    <row r="1008" spans="1:5" x14ac:dyDescent="0.2">
      <c r="A1008" s="1126" t="s">
        <v>1590</v>
      </c>
      <c r="B1008" s="1127">
        <v>258</v>
      </c>
      <c r="C1008" s="1128">
        <v>0</v>
      </c>
      <c r="D1008" s="1128">
        <v>80.42</v>
      </c>
      <c r="E1008" s="1126"/>
    </row>
    <row r="1009" spans="1:5" x14ac:dyDescent="0.2">
      <c r="A1009" s="1126" t="s">
        <v>1591</v>
      </c>
      <c r="B1009" s="1127">
        <v>81</v>
      </c>
      <c r="C1009" s="1128">
        <v>0</v>
      </c>
      <c r="D1009" s="1128">
        <v>40.18</v>
      </c>
      <c r="E1009" s="1126"/>
    </row>
    <row r="1010" spans="1:5" x14ac:dyDescent="0.2">
      <c r="A1010" s="1126" t="s">
        <v>1592</v>
      </c>
      <c r="B1010" s="1127">
        <v>49</v>
      </c>
      <c r="C1010" s="1128">
        <v>0</v>
      </c>
      <c r="D1010" s="1128">
        <v>21.42</v>
      </c>
      <c r="E1010" s="1126"/>
    </row>
    <row r="1011" spans="1:5" x14ac:dyDescent="0.2">
      <c r="A1011" s="1126" t="s">
        <v>1593</v>
      </c>
      <c r="B1011" s="1127">
        <v>131</v>
      </c>
      <c r="C1011" s="1128">
        <v>0</v>
      </c>
      <c r="D1011" s="1128">
        <v>33.64</v>
      </c>
      <c r="E1011" s="1126"/>
    </row>
    <row r="1012" spans="1:5" x14ac:dyDescent="0.2">
      <c r="A1012" s="1126" t="s">
        <v>1594</v>
      </c>
      <c r="B1012" s="1127">
        <v>200</v>
      </c>
      <c r="C1012" s="1128">
        <v>0</v>
      </c>
      <c r="D1012" s="1128">
        <v>20.57</v>
      </c>
      <c r="E1012" s="1126"/>
    </row>
    <row r="1013" spans="1:5" x14ac:dyDescent="0.2">
      <c r="A1013" s="1126" t="s">
        <v>1595</v>
      </c>
      <c r="B1013" s="1127">
        <v>79</v>
      </c>
      <c r="C1013" s="1128">
        <v>0</v>
      </c>
      <c r="D1013" s="1128">
        <v>34.409999999999997</v>
      </c>
      <c r="E1013" s="1126"/>
    </row>
    <row r="1014" spans="1:5" x14ac:dyDescent="0.2">
      <c r="A1014" s="1126" t="s">
        <v>1596</v>
      </c>
      <c r="B1014" s="1127">
        <v>92</v>
      </c>
      <c r="C1014" s="1128">
        <v>0</v>
      </c>
      <c r="D1014" s="1128">
        <v>38.17</v>
      </c>
      <c r="E1014" s="1126"/>
    </row>
    <row r="1015" spans="1:5" x14ac:dyDescent="0.2">
      <c r="A1015" s="1126" t="s">
        <v>1597</v>
      </c>
      <c r="B1015" s="1127">
        <v>67</v>
      </c>
      <c r="C1015" s="1128">
        <v>0</v>
      </c>
      <c r="D1015" s="1128">
        <v>16.170000000000002</v>
      </c>
      <c r="E1015" s="1126"/>
    </row>
    <row r="1016" spans="1:5" x14ac:dyDescent="0.2">
      <c r="A1016" s="1126" t="s">
        <v>1598</v>
      </c>
      <c r="B1016" s="1127">
        <v>271</v>
      </c>
      <c r="C1016" s="1128">
        <v>0</v>
      </c>
      <c r="D1016" s="1128">
        <v>21.1</v>
      </c>
      <c r="E1016" s="1126"/>
    </row>
    <row r="1017" spans="1:5" x14ac:dyDescent="0.2">
      <c r="A1017" s="1126" t="s">
        <v>1599</v>
      </c>
      <c r="B1017" s="1127">
        <v>121</v>
      </c>
      <c r="C1017" s="1128">
        <v>0</v>
      </c>
      <c r="D1017" s="1128">
        <v>65.61</v>
      </c>
      <c r="E1017" s="1126"/>
    </row>
    <row r="1018" spans="1:5" x14ac:dyDescent="0.2">
      <c r="A1018" s="1126" t="s">
        <v>1600</v>
      </c>
      <c r="B1018" s="1127">
        <v>182</v>
      </c>
      <c r="C1018" s="1128">
        <v>0</v>
      </c>
      <c r="D1018" s="1128">
        <v>93.78</v>
      </c>
      <c r="E1018" s="1126"/>
    </row>
    <row r="1019" spans="1:5" x14ac:dyDescent="0.2">
      <c r="A1019" s="1126" t="s">
        <v>1601</v>
      </c>
      <c r="B1019" s="1127">
        <v>94</v>
      </c>
      <c r="C1019" s="1128">
        <v>0</v>
      </c>
      <c r="D1019" s="1128">
        <v>24.63</v>
      </c>
      <c r="E1019" s="1126"/>
    </row>
    <row r="1020" spans="1:5" x14ac:dyDescent="0.2">
      <c r="A1020" s="1126" t="s">
        <v>1602</v>
      </c>
      <c r="B1020" s="1127">
        <v>86</v>
      </c>
      <c r="C1020" s="1128">
        <v>9.23</v>
      </c>
      <c r="D1020" s="1128">
        <v>68.34</v>
      </c>
      <c r="E1020" s="1126"/>
    </row>
    <row r="1021" spans="1:5" x14ac:dyDescent="0.2">
      <c r="A1021" s="1126" t="s">
        <v>1603</v>
      </c>
      <c r="B1021" s="1127">
        <v>118</v>
      </c>
      <c r="C1021" s="1128">
        <v>0</v>
      </c>
      <c r="D1021" s="1128">
        <v>51.21</v>
      </c>
      <c r="E1021" s="1126"/>
    </row>
    <row r="1022" spans="1:5" x14ac:dyDescent="0.2">
      <c r="A1022" s="1126" t="s">
        <v>1604</v>
      </c>
      <c r="B1022" s="1127">
        <v>39</v>
      </c>
      <c r="C1022" s="1128">
        <v>0</v>
      </c>
      <c r="D1022" s="1128">
        <v>4.45</v>
      </c>
      <c r="E1022" s="1126" t="s">
        <v>669</v>
      </c>
    </row>
    <row r="1023" spans="1:5" x14ac:dyDescent="0.2">
      <c r="A1023" s="1126" t="s">
        <v>1605</v>
      </c>
      <c r="B1023" s="1127">
        <v>58</v>
      </c>
      <c r="C1023" s="1128">
        <v>0</v>
      </c>
      <c r="D1023" s="1128">
        <v>21</v>
      </c>
      <c r="E1023" s="1126"/>
    </row>
    <row r="1024" spans="1:5" x14ac:dyDescent="0.2">
      <c r="A1024" s="1126" t="s">
        <v>1606</v>
      </c>
      <c r="B1024" s="1127">
        <v>62</v>
      </c>
      <c r="C1024" s="1128">
        <v>0</v>
      </c>
      <c r="D1024" s="1128">
        <v>40.07</v>
      </c>
      <c r="E1024" s="1126"/>
    </row>
    <row r="1025" spans="1:5" x14ac:dyDescent="0.2">
      <c r="A1025" s="1126" t="s">
        <v>1607</v>
      </c>
      <c r="B1025" s="1127">
        <v>88</v>
      </c>
      <c r="C1025" s="1128">
        <v>0</v>
      </c>
      <c r="D1025" s="1128">
        <v>18.190000000000001</v>
      </c>
      <c r="E1025" s="1126"/>
    </row>
    <row r="1026" spans="1:5" x14ac:dyDescent="0.2">
      <c r="A1026" s="1126" t="s">
        <v>1608</v>
      </c>
      <c r="B1026" s="1127">
        <v>157</v>
      </c>
      <c r="C1026" s="1128">
        <v>0</v>
      </c>
      <c r="D1026" s="1128">
        <v>16.36</v>
      </c>
      <c r="E1026" s="1126"/>
    </row>
    <row r="1027" spans="1:5" x14ac:dyDescent="0.2">
      <c r="A1027" s="1126" t="s">
        <v>1609</v>
      </c>
      <c r="B1027" s="1127">
        <v>193</v>
      </c>
      <c r="C1027" s="1128">
        <v>0</v>
      </c>
      <c r="D1027" s="1128">
        <v>62.49</v>
      </c>
      <c r="E1027" s="1126"/>
    </row>
    <row r="1028" spans="1:5" x14ac:dyDescent="0.2">
      <c r="A1028" s="1126" t="s">
        <v>1610</v>
      </c>
      <c r="B1028" s="1127">
        <v>100</v>
      </c>
      <c r="C1028" s="1128">
        <v>0</v>
      </c>
      <c r="D1028" s="1128">
        <v>33.33</v>
      </c>
      <c r="E1028" s="1126"/>
    </row>
    <row r="1029" spans="1:5" x14ac:dyDescent="0.2">
      <c r="A1029" s="1126" t="s">
        <v>1611</v>
      </c>
      <c r="B1029" s="1127">
        <v>87</v>
      </c>
      <c r="C1029" s="1128">
        <v>0</v>
      </c>
      <c r="D1029" s="1128">
        <v>58.1</v>
      </c>
      <c r="E1029" s="1126"/>
    </row>
    <row r="1030" spans="1:5" x14ac:dyDescent="0.2">
      <c r="A1030" s="1126" t="s">
        <v>1612</v>
      </c>
      <c r="B1030" s="1127">
        <v>202</v>
      </c>
      <c r="C1030" s="1128">
        <v>29.9</v>
      </c>
      <c r="D1030" s="1128">
        <v>168.75</v>
      </c>
      <c r="E1030" s="1126"/>
    </row>
    <row r="1031" spans="1:5" x14ac:dyDescent="0.2">
      <c r="A1031" s="1126" t="s">
        <v>1613</v>
      </c>
      <c r="B1031" s="1127">
        <v>141</v>
      </c>
      <c r="C1031" s="1128">
        <v>0</v>
      </c>
      <c r="D1031" s="1128">
        <v>30.42</v>
      </c>
      <c r="E1031" s="1126"/>
    </row>
    <row r="1032" spans="1:5" x14ac:dyDescent="0.2">
      <c r="A1032" s="1126" t="s">
        <v>1614</v>
      </c>
      <c r="B1032" s="1127">
        <v>45</v>
      </c>
      <c r="C1032" s="1128">
        <v>14.03</v>
      </c>
      <c r="D1032" s="1128">
        <v>44.96</v>
      </c>
      <c r="E1032" s="1126"/>
    </row>
    <row r="1033" spans="1:5" x14ac:dyDescent="0.2">
      <c r="A1033" s="1126" t="s">
        <v>1615</v>
      </c>
      <c r="B1033" s="1127">
        <v>144</v>
      </c>
      <c r="C1033" s="1128">
        <v>0</v>
      </c>
      <c r="D1033" s="1128">
        <v>67.81</v>
      </c>
      <c r="E1033" s="1126"/>
    </row>
    <row r="1034" spans="1:5" x14ac:dyDescent="0.2">
      <c r="A1034" s="1126" t="s">
        <v>1616</v>
      </c>
      <c r="B1034" s="1127">
        <v>166</v>
      </c>
      <c r="C1034" s="1128">
        <v>0</v>
      </c>
      <c r="D1034" s="1128">
        <v>38.229999999999997</v>
      </c>
      <c r="E1034" s="1126"/>
    </row>
    <row r="1035" spans="1:5" x14ac:dyDescent="0.2">
      <c r="A1035" s="1126" t="s">
        <v>1617</v>
      </c>
      <c r="B1035" s="1127">
        <v>136</v>
      </c>
      <c r="C1035" s="1128">
        <v>0</v>
      </c>
      <c r="D1035" s="1128">
        <v>53.57</v>
      </c>
      <c r="E1035" s="1126"/>
    </row>
    <row r="1036" spans="1:5" x14ac:dyDescent="0.2">
      <c r="A1036" s="1126" t="s">
        <v>1618</v>
      </c>
      <c r="B1036" s="1127">
        <v>56</v>
      </c>
      <c r="C1036" s="1128">
        <v>0</v>
      </c>
      <c r="D1036" s="1128">
        <v>14.59</v>
      </c>
      <c r="E1036" s="1126"/>
    </row>
    <row r="1037" spans="1:5" x14ac:dyDescent="0.2">
      <c r="A1037" s="1126" t="s">
        <v>1619</v>
      </c>
      <c r="B1037" s="1127">
        <v>69</v>
      </c>
      <c r="C1037" s="1128">
        <v>0</v>
      </c>
      <c r="D1037" s="1128">
        <v>15.54</v>
      </c>
      <c r="E1037" s="1126"/>
    </row>
    <row r="1038" spans="1:5" x14ac:dyDescent="0.2">
      <c r="A1038" s="1126" t="s">
        <v>1620</v>
      </c>
      <c r="B1038" s="1127">
        <v>152</v>
      </c>
      <c r="C1038" s="1128">
        <v>0</v>
      </c>
      <c r="D1038" s="1128">
        <v>85.84</v>
      </c>
      <c r="E1038" s="1126"/>
    </row>
    <row r="1039" spans="1:5" x14ac:dyDescent="0.2">
      <c r="A1039" s="1126" t="s">
        <v>1621</v>
      </c>
      <c r="B1039" s="1127">
        <v>113</v>
      </c>
      <c r="C1039" s="1128">
        <v>0</v>
      </c>
      <c r="D1039" s="1128">
        <v>20.38</v>
      </c>
      <c r="E1039" s="1126"/>
    </row>
    <row r="1040" spans="1:5" x14ac:dyDescent="0.2">
      <c r="A1040" s="1126" t="s">
        <v>1622</v>
      </c>
      <c r="B1040" s="1127">
        <v>139</v>
      </c>
      <c r="C1040" s="1128">
        <v>0</v>
      </c>
      <c r="D1040" s="1128">
        <v>80.599999999999994</v>
      </c>
      <c r="E1040" s="1126"/>
    </row>
    <row r="1041" spans="1:5" x14ac:dyDescent="0.2">
      <c r="A1041" s="1126" t="s">
        <v>1623</v>
      </c>
      <c r="B1041" s="1127">
        <v>211</v>
      </c>
      <c r="C1041" s="1128">
        <v>0</v>
      </c>
      <c r="D1041" s="1128">
        <v>56.23</v>
      </c>
      <c r="E1041" s="1126"/>
    </row>
    <row r="1042" spans="1:5" x14ac:dyDescent="0.2">
      <c r="A1042" s="1126" t="s">
        <v>1624</v>
      </c>
      <c r="B1042" s="1127">
        <v>108</v>
      </c>
      <c r="C1042" s="1128">
        <v>0</v>
      </c>
      <c r="D1042" s="1128">
        <v>67.930000000000007</v>
      </c>
      <c r="E1042" s="1126"/>
    </row>
    <row r="1043" spans="1:5" x14ac:dyDescent="0.2">
      <c r="A1043" s="1126" t="s">
        <v>1625</v>
      </c>
      <c r="B1043" s="1127">
        <v>305</v>
      </c>
      <c r="C1043" s="1128">
        <v>0</v>
      </c>
      <c r="D1043" s="1128">
        <v>0</v>
      </c>
      <c r="E1043" s="1126"/>
    </row>
    <row r="1044" spans="1:5" x14ac:dyDescent="0.2">
      <c r="A1044" s="1126" t="s">
        <v>1626</v>
      </c>
      <c r="B1044" s="1127">
        <v>57</v>
      </c>
      <c r="C1044" s="1128">
        <v>0</v>
      </c>
      <c r="D1044" s="1128">
        <v>14.11</v>
      </c>
      <c r="E1044" s="1126"/>
    </row>
    <row r="1045" spans="1:5" x14ac:dyDescent="0.2">
      <c r="A1045" s="1126" t="s">
        <v>1627</v>
      </c>
      <c r="B1045" s="1127">
        <v>247</v>
      </c>
      <c r="C1045" s="1128">
        <v>0</v>
      </c>
      <c r="D1045" s="1128">
        <v>0</v>
      </c>
      <c r="E1045" s="1126"/>
    </row>
    <row r="1046" spans="1:5" x14ac:dyDescent="0.2">
      <c r="A1046" s="1126" t="s">
        <v>1628</v>
      </c>
      <c r="B1046" s="1127">
        <v>501</v>
      </c>
      <c r="C1046" s="1128">
        <v>0</v>
      </c>
      <c r="D1046" s="1128">
        <v>141.61000000000001</v>
      </c>
      <c r="E1046" s="1126"/>
    </row>
    <row r="1047" spans="1:5" x14ac:dyDescent="0.2">
      <c r="A1047" s="1126" t="s">
        <v>1629</v>
      </c>
      <c r="B1047" s="1127">
        <v>98</v>
      </c>
      <c r="C1047" s="1128">
        <v>70.22</v>
      </c>
      <c r="D1047" s="1128">
        <v>137.58000000000001</v>
      </c>
      <c r="E1047" s="1126"/>
    </row>
    <row r="1048" spans="1:5" x14ac:dyDescent="0.2">
      <c r="A1048" s="1126" t="s">
        <v>1630</v>
      </c>
      <c r="B1048" s="1127">
        <v>215</v>
      </c>
      <c r="C1048" s="1128">
        <v>0</v>
      </c>
      <c r="D1048" s="1128">
        <v>48.58</v>
      </c>
      <c r="E1048" s="1126"/>
    </row>
    <row r="1049" spans="1:5" x14ac:dyDescent="0.2">
      <c r="A1049" s="1126" t="s">
        <v>1631</v>
      </c>
      <c r="B1049" s="1127">
        <v>378</v>
      </c>
      <c r="C1049" s="1128">
        <v>0</v>
      </c>
      <c r="D1049" s="1128">
        <v>45.97</v>
      </c>
      <c r="E1049" s="1126"/>
    </row>
    <row r="1050" spans="1:5" x14ac:dyDescent="0.2">
      <c r="A1050" s="1126" t="s">
        <v>1632</v>
      </c>
      <c r="B1050" s="1127">
        <v>441</v>
      </c>
      <c r="C1050" s="1128">
        <v>0</v>
      </c>
      <c r="D1050" s="1128">
        <v>31.6</v>
      </c>
      <c r="E1050" s="1126"/>
    </row>
    <row r="1051" spans="1:5" x14ac:dyDescent="0.2">
      <c r="A1051" s="1126" t="s">
        <v>1633</v>
      </c>
      <c r="B1051" s="1127">
        <v>853</v>
      </c>
      <c r="C1051" s="1128">
        <v>79.819999999999993</v>
      </c>
      <c r="D1051" s="1128">
        <v>666.14</v>
      </c>
      <c r="E1051" s="1126"/>
    </row>
    <row r="1052" spans="1:5" x14ac:dyDescent="0.2">
      <c r="A1052" s="1126" t="s">
        <v>1634</v>
      </c>
      <c r="B1052" s="1127">
        <v>1747</v>
      </c>
      <c r="C1052" s="1128">
        <v>0</v>
      </c>
      <c r="D1052" s="1128">
        <v>838.12</v>
      </c>
      <c r="E1052" s="1126"/>
    </row>
    <row r="1053" spans="1:5" x14ac:dyDescent="0.2">
      <c r="A1053" s="1126" t="s">
        <v>1635</v>
      </c>
      <c r="B1053" s="1127">
        <v>290</v>
      </c>
      <c r="C1053" s="1128">
        <v>0</v>
      </c>
      <c r="D1053" s="1128">
        <v>0</v>
      </c>
      <c r="E1053" s="1126"/>
    </row>
    <row r="1054" spans="1:5" x14ac:dyDescent="0.2">
      <c r="A1054" s="1126" t="s">
        <v>1636</v>
      </c>
      <c r="B1054" s="1127">
        <v>436</v>
      </c>
      <c r="C1054" s="1128">
        <v>0</v>
      </c>
      <c r="D1054" s="1128">
        <v>52.82</v>
      </c>
      <c r="E1054" s="1126"/>
    </row>
    <row r="1055" spans="1:5" x14ac:dyDescent="0.2">
      <c r="A1055" s="1126" t="s">
        <v>1637</v>
      </c>
      <c r="B1055" s="1127">
        <v>301</v>
      </c>
      <c r="C1055" s="1128">
        <v>0</v>
      </c>
      <c r="D1055" s="1128">
        <v>5.43</v>
      </c>
      <c r="E1055" s="1126"/>
    </row>
    <row r="1056" spans="1:5" x14ac:dyDescent="0.2">
      <c r="A1056" s="1126" t="s">
        <v>1638</v>
      </c>
      <c r="B1056" s="1127">
        <v>252</v>
      </c>
      <c r="C1056" s="1128">
        <v>0</v>
      </c>
      <c r="D1056" s="1128">
        <v>10.27</v>
      </c>
      <c r="E1056" s="1126"/>
    </row>
    <row r="1057" spans="1:5" x14ac:dyDescent="0.2">
      <c r="A1057" s="1126" t="s">
        <v>1639</v>
      </c>
      <c r="B1057" s="1127">
        <v>337</v>
      </c>
      <c r="C1057" s="1128">
        <v>0</v>
      </c>
      <c r="D1057" s="1128">
        <v>57.43</v>
      </c>
      <c r="E1057" s="1126"/>
    </row>
    <row r="1058" spans="1:5" x14ac:dyDescent="0.2">
      <c r="A1058" s="1126" t="s">
        <v>1640</v>
      </c>
      <c r="B1058" s="1127">
        <v>239</v>
      </c>
      <c r="C1058" s="1128">
        <v>0</v>
      </c>
      <c r="D1058" s="1128">
        <v>0</v>
      </c>
      <c r="E1058" s="1126"/>
    </row>
    <row r="1059" spans="1:5" x14ac:dyDescent="0.2">
      <c r="A1059" s="1126" t="s">
        <v>1641</v>
      </c>
      <c r="B1059" s="1127">
        <v>235</v>
      </c>
      <c r="C1059" s="1128">
        <v>0</v>
      </c>
      <c r="D1059" s="1128">
        <v>33.020000000000003</v>
      </c>
      <c r="E1059" s="1126"/>
    </row>
    <row r="1060" spans="1:5" x14ac:dyDescent="0.2">
      <c r="A1060" s="1126" t="s">
        <v>1642</v>
      </c>
      <c r="B1060" s="1127">
        <v>244</v>
      </c>
      <c r="C1060" s="1128">
        <v>0</v>
      </c>
      <c r="D1060" s="1128">
        <v>0</v>
      </c>
      <c r="E1060" s="1126"/>
    </row>
    <row r="1061" spans="1:5" x14ac:dyDescent="0.2">
      <c r="A1061" s="1126" t="s">
        <v>1643</v>
      </c>
      <c r="B1061" s="1127">
        <v>73</v>
      </c>
      <c r="C1061" s="1128">
        <v>0</v>
      </c>
      <c r="D1061" s="1128">
        <v>24.34</v>
      </c>
      <c r="E1061" s="1126"/>
    </row>
    <row r="1062" spans="1:5" x14ac:dyDescent="0.2">
      <c r="A1062" s="1126" t="s">
        <v>1644</v>
      </c>
      <c r="B1062" s="1127">
        <v>217</v>
      </c>
      <c r="C1062" s="1128">
        <v>0</v>
      </c>
      <c r="D1062" s="1128">
        <v>13.26</v>
      </c>
      <c r="E1062" s="1126"/>
    </row>
    <row r="1063" spans="1:5" x14ac:dyDescent="0.2">
      <c r="A1063" s="1126" t="s">
        <v>1645</v>
      </c>
      <c r="B1063" s="1127">
        <v>233</v>
      </c>
      <c r="C1063" s="1128">
        <v>0</v>
      </c>
      <c r="D1063" s="1128">
        <v>0</v>
      </c>
      <c r="E1063" s="1126"/>
    </row>
    <row r="1064" spans="1:5" x14ac:dyDescent="0.2">
      <c r="A1064" s="1126" t="s">
        <v>1646</v>
      </c>
      <c r="B1064" s="1127">
        <v>186</v>
      </c>
      <c r="C1064" s="1128">
        <v>0</v>
      </c>
      <c r="D1064" s="1128">
        <v>22.36</v>
      </c>
      <c r="E1064" s="1126"/>
    </row>
    <row r="1065" spans="1:5" x14ac:dyDescent="0.2">
      <c r="A1065" s="1126" t="s">
        <v>1647</v>
      </c>
      <c r="B1065" s="1127">
        <v>135</v>
      </c>
      <c r="C1065" s="1128">
        <v>0</v>
      </c>
      <c r="D1065" s="1128">
        <v>11.46</v>
      </c>
      <c r="E1065" s="1126"/>
    </row>
    <row r="1066" spans="1:5" x14ac:dyDescent="0.2">
      <c r="A1066" s="1126" t="s">
        <v>1648</v>
      </c>
      <c r="B1066" s="1127">
        <v>114</v>
      </c>
      <c r="C1066" s="1128">
        <v>0</v>
      </c>
      <c r="D1066" s="1128">
        <v>14.74</v>
      </c>
      <c r="E1066" s="1126"/>
    </row>
    <row r="1067" spans="1:5" x14ac:dyDescent="0.2">
      <c r="A1067" s="1126" t="s">
        <v>1649</v>
      </c>
      <c r="B1067" s="1127">
        <v>244</v>
      </c>
      <c r="C1067" s="1128">
        <v>0</v>
      </c>
      <c r="D1067" s="1128">
        <v>0</v>
      </c>
      <c r="E1067" s="1126"/>
    </row>
    <row r="1068" spans="1:5" x14ac:dyDescent="0.2">
      <c r="A1068" s="1126" t="s">
        <v>1650</v>
      </c>
      <c r="B1068" s="1127">
        <v>233</v>
      </c>
      <c r="C1068" s="1128">
        <v>0</v>
      </c>
      <c r="D1068" s="1128">
        <v>11.94</v>
      </c>
      <c r="E1068" s="1126"/>
    </row>
    <row r="1069" spans="1:5" x14ac:dyDescent="0.2">
      <c r="A1069" s="1126" t="s">
        <v>1651</v>
      </c>
      <c r="B1069" s="1127">
        <v>61</v>
      </c>
      <c r="C1069" s="1128">
        <v>0</v>
      </c>
      <c r="D1069" s="1128">
        <v>25.28</v>
      </c>
      <c r="E1069" s="1126"/>
    </row>
    <row r="1070" spans="1:5" x14ac:dyDescent="0.2">
      <c r="A1070" s="1126" t="s">
        <v>1652</v>
      </c>
      <c r="B1070" s="1127">
        <v>116</v>
      </c>
      <c r="C1070" s="1128">
        <v>0</v>
      </c>
      <c r="D1070" s="1128">
        <v>55.4</v>
      </c>
      <c r="E1070" s="1126"/>
    </row>
    <row r="1071" spans="1:5" x14ac:dyDescent="0.2">
      <c r="A1071" s="1126" t="s">
        <v>1653</v>
      </c>
      <c r="B1071" s="1127">
        <v>156</v>
      </c>
      <c r="C1071" s="1128">
        <v>83.23</v>
      </c>
      <c r="D1071" s="1128">
        <v>190.46</v>
      </c>
      <c r="E1071" s="1126"/>
    </row>
    <row r="1072" spans="1:5" x14ac:dyDescent="0.2">
      <c r="A1072" s="1126" t="s">
        <v>1654</v>
      </c>
      <c r="B1072" s="1127">
        <v>71</v>
      </c>
      <c r="C1072" s="1128">
        <v>0</v>
      </c>
      <c r="D1072" s="1128">
        <v>20.16</v>
      </c>
      <c r="E1072" s="1126"/>
    </row>
    <row r="1073" spans="1:5" x14ac:dyDescent="0.2">
      <c r="A1073" s="1126" t="s">
        <v>1655</v>
      </c>
      <c r="B1073" s="1127">
        <v>169</v>
      </c>
      <c r="C1073" s="1128">
        <v>0</v>
      </c>
      <c r="D1073" s="1128">
        <v>101.79</v>
      </c>
      <c r="E1073" s="1126"/>
    </row>
    <row r="1074" spans="1:5" x14ac:dyDescent="0.2">
      <c r="A1074" s="1126" t="s">
        <v>1656</v>
      </c>
      <c r="B1074" s="1127">
        <v>163</v>
      </c>
      <c r="C1074" s="1128">
        <v>0</v>
      </c>
      <c r="D1074" s="1128">
        <v>92.6</v>
      </c>
      <c r="E1074" s="1126"/>
    </row>
    <row r="1075" spans="1:5" x14ac:dyDescent="0.2">
      <c r="A1075" s="1126" t="s">
        <v>1657</v>
      </c>
      <c r="B1075" s="1127">
        <v>32</v>
      </c>
      <c r="C1075" s="1128">
        <v>0</v>
      </c>
      <c r="D1075" s="1128">
        <v>0</v>
      </c>
      <c r="E1075" s="1126" t="s">
        <v>669</v>
      </c>
    </row>
    <row r="1076" spans="1:5" x14ac:dyDescent="0.2">
      <c r="A1076" s="1126" t="s">
        <v>1658</v>
      </c>
      <c r="B1076" s="1127">
        <v>73</v>
      </c>
      <c r="C1076" s="1128">
        <v>1.28</v>
      </c>
      <c r="D1076" s="1128">
        <v>51.45</v>
      </c>
      <c r="E1076" s="1126"/>
    </row>
    <row r="1077" spans="1:5" x14ac:dyDescent="0.2">
      <c r="A1077" s="1126" t="s">
        <v>1659</v>
      </c>
      <c r="B1077" s="1127">
        <v>113</v>
      </c>
      <c r="C1077" s="1128">
        <v>0</v>
      </c>
      <c r="D1077" s="1128">
        <v>77.08</v>
      </c>
      <c r="E1077" s="1126"/>
    </row>
    <row r="1078" spans="1:5" x14ac:dyDescent="0.2">
      <c r="A1078" s="1126" t="s">
        <v>1660</v>
      </c>
      <c r="B1078" s="1127">
        <v>61</v>
      </c>
      <c r="C1078" s="1128">
        <v>0</v>
      </c>
      <c r="D1078" s="1128">
        <v>37.049999999999997</v>
      </c>
      <c r="E1078" s="1126"/>
    </row>
    <row r="1079" spans="1:5" x14ac:dyDescent="0.2">
      <c r="A1079" s="1126" t="s">
        <v>1661</v>
      </c>
      <c r="B1079" s="1127">
        <v>210</v>
      </c>
      <c r="C1079" s="1128">
        <v>0</v>
      </c>
      <c r="D1079" s="1128">
        <v>63.94</v>
      </c>
      <c r="E1079" s="1126"/>
    </row>
    <row r="1080" spans="1:5" x14ac:dyDescent="0.2">
      <c r="A1080" s="1126" t="s">
        <v>1662</v>
      </c>
      <c r="B1080" s="1127">
        <v>90</v>
      </c>
      <c r="C1080" s="1128">
        <v>0</v>
      </c>
      <c r="D1080" s="1128">
        <v>52.24</v>
      </c>
      <c r="E1080" s="1126"/>
    </row>
    <row r="1081" spans="1:5" x14ac:dyDescent="0.2">
      <c r="A1081" s="1126" t="s">
        <v>1663</v>
      </c>
      <c r="B1081" s="1127">
        <v>200</v>
      </c>
      <c r="C1081" s="1128">
        <v>60.19</v>
      </c>
      <c r="D1081" s="1128">
        <v>197.66</v>
      </c>
      <c r="E1081" s="1126"/>
    </row>
    <row r="1082" spans="1:5" x14ac:dyDescent="0.2">
      <c r="A1082" s="1126" t="s">
        <v>1664</v>
      </c>
      <c r="B1082" s="1127">
        <v>68</v>
      </c>
      <c r="C1082" s="1128">
        <v>49.82</v>
      </c>
      <c r="D1082" s="1128">
        <v>96.56</v>
      </c>
      <c r="E1082" s="1126"/>
    </row>
    <row r="1083" spans="1:5" x14ac:dyDescent="0.2">
      <c r="A1083" s="1126" t="s">
        <v>1665</v>
      </c>
      <c r="B1083" s="1127">
        <v>377</v>
      </c>
      <c r="C1083" s="1128">
        <v>253.09</v>
      </c>
      <c r="D1083" s="1128">
        <v>512.23</v>
      </c>
      <c r="E1083" s="1126"/>
    </row>
    <row r="1084" spans="1:5" x14ac:dyDescent="0.2">
      <c r="A1084" s="1126" t="s">
        <v>1666</v>
      </c>
      <c r="B1084" s="1127">
        <v>282</v>
      </c>
      <c r="C1084" s="1128">
        <v>0</v>
      </c>
      <c r="D1084" s="1128">
        <v>107.49</v>
      </c>
      <c r="E1084" s="1126"/>
    </row>
    <row r="1085" spans="1:5" x14ac:dyDescent="0.2">
      <c r="A1085" s="1126" t="s">
        <v>1667</v>
      </c>
      <c r="B1085" s="1127">
        <v>253</v>
      </c>
      <c r="C1085" s="1128">
        <v>0</v>
      </c>
      <c r="D1085" s="1128">
        <v>106.91</v>
      </c>
      <c r="E1085" s="1126"/>
    </row>
    <row r="1086" spans="1:5" x14ac:dyDescent="0.2">
      <c r="A1086" s="1126" t="s">
        <v>1668</v>
      </c>
      <c r="B1086" s="1127">
        <v>183</v>
      </c>
      <c r="C1086" s="1128">
        <v>0</v>
      </c>
      <c r="D1086" s="1128">
        <v>80.84</v>
      </c>
      <c r="E1086" s="1126"/>
    </row>
    <row r="1087" spans="1:5" x14ac:dyDescent="0.2">
      <c r="A1087" s="1126" t="s">
        <v>1669</v>
      </c>
      <c r="B1087" s="1127">
        <v>49</v>
      </c>
      <c r="C1087" s="1128">
        <v>0</v>
      </c>
      <c r="D1087" s="1128">
        <v>28.95</v>
      </c>
      <c r="E1087" s="1126"/>
    </row>
    <row r="1088" spans="1:5" x14ac:dyDescent="0.2">
      <c r="A1088" s="1126" t="s">
        <v>1670</v>
      </c>
      <c r="B1088" s="1127">
        <v>57</v>
      </c>
      <c r="C1088" s="1128">
        <v>75.48</v>
      </c>
      <c r="D1088" s="1128">
        <v>114.66</v>
      </c>
      <c r="E1088" s="1126"/>
    </row>
    <row r="1089" spans="1:5" x14ac:dyDescent="0.2">
      <c r="A1089" s="1126" t="s">
        <v>1671</v>
      </c>
      <c r="B1089" s="1127">
        <v>77</v>
      </c>
      <c r="C1089" s="1128">
        <v>0</v>
      </c>
      <c r="D1089" s="1128">
        <v>41.6</v>
      </c>
      <c r="E1089" s="1126"/>
    </row>
    <row r="1090" spans="1:5" x14ac:dyDescent="0.2">
      <c r="A1090" s="1126" t="s">
        <v>1672</v>
      </c>
      <c r="B1090" s="1127">
        <v>358</v>
      </c>
      <c r="C1090" s="1128">
        <v>0</v>
      </c>
      <c r="D1090" s="1128">
        <v>100.56</v>
      </c>
      <c r="E1090" s="1126"/>
    </row>
    <row r="1091" spans="1:5" x14ac:dyDescent="0.2">
      <c r="A1091" s="1126" t="s">
        <v>1673</v>
      </c>
      <c r="B1091" s="1127">
        <v>247</v>
      </c>
      <c r="C1091" s="1128">
        <v>0</v>
      </c>
      <c r="D1091" s="1128">
        <v>140.51</v>
      </c>
      <c r="E1091" s="1126"/>
    </row>
    <row r="1092" spans="1:5" x14ac:dyDescent="0.2">
      <c r="A1092" s="1126" t="s">
        <v>1674</v>
      </c>
      <c r="B1092" s="1127">
        <v>146</v>
      </c>
      <c r="C1092" s="1128">
        <v>0</v>
      </c>
      <c r="D1092" s="1128">
        <v>19.920000000000002</v>
      </c>
      <c r="E1092" s="1126"/>
    </row>
    <row r="1093" spans="1:5" x14ac:dyDescent="0.2">
      <c r="A1093" s="1126" t="s">
        <v>1675</v>
      </c>
      <c r="B1093" s="1127">
        <v>43</v>
      </c>
      <c r="C1093" s="1128">
        <v>0</v>
      </c>
      <c r="D1093" s="1128">
        <v>11.7</v>
      </c>
      <c r="E1093" s="1126"/>
    </row>
    <row r="1094" spans="1:5" x14ac:dyDescent="0.2">
      <c r="A1094" s="1126" t="s">
        <v>1676</v>
      </c>
      <c r="B1094" s="1127">
        <v>367</v>
      </c>
      <c r="C1094" s="1128">
        <v>0</v>
      </c>
      <c r="D1094" s="1128">
        <v>227.11</v>
      </c>
      <c r="E1094" s="1126"/>
    </row>
    <row r="1095" spans="1:5" x14ac:dyDescent="0.2">
      <c r="A1095" s="1126" t="s">
        <v>1677</v>
      </c>
      <c r="B1095" s="1127">
        <v>106</v>
      </c>
      <c r="C1095" s="1128">
        <v>0</v>
      </c>
      <c r="D1095" s="1128">
        <v>62.85</v>
      </c>
      <c r="E1095" s="1126"/>
    </row>
    <row r="1096" spans="1:5" x14ac:dyDescent="0.2">
      <c r="A1096" s="1126" t="s">
        <v>1678</v>
      </c>
      <c r="B1096" s="1127">
        <v>73</v>
      </c>
      <c r="C1096" s="1128">
        <v>77.989999999999995</v>
      </c>
      <c r="D1096" s="1128">
        <v>128.16999999999999</v>
      </c>
      <c r="E1096" s="1126"/>
    </row>
    <row r="1097" spans="1:5" x14ac:dyDescent="0.2">
      <c r="A1097" s="1126" t="s">
        <v>1679</v>
      </c>
      <c r="B1097" s="1127">
        <v>191</v>
      </c>
      <c r="C1097" s="1128">
        <v>4.97</v>
      </c>
      <c r="D1097" s="1128">
        <v>136.26</v>
      </c>
      <c r="E1097" s="1126"/>
    </row>
    <row r="1098" spans="1:5" x14ac:dyDescent="0.2">
      <c r="A1098" s="1126" t="s">
        <v>1680</v>
      </c>
      <c r="B1098" s="1127">
        <v>76</v>
      </c>
      <c r="C1098" s="1128">
        <v>0</v>
      </c>
      <c r="D1098" s="1128">
        <v>11.16</v>
      </c>
      <c r="E1098" s="1126"/>
    </row>
    <row r="1099" spans="1:5" x14ac:dyDescent="0.2">
      <c r="A1099" s="1126" t="s">
        <v>1681</v>
      </c>
      <c r="B1099" s="1127">
        <v>329</v>
      </c>
      <c r="C1099" s="1128">
        <v>192.14</v>
      </c>
      <c r="D1099" s="1128">
        <v>418.28</v>
      </c>
      <c r="E1099" s="1126"/>
    </row>
    <row r="1100" spans="1:5" x14ac:dyDescent="0.2">
      <c r="A1100" s="1126" t="s">
        <v>1682</v>
      </c>
      <c r="B1100" s="1127">
        <v>209</v>
      </c>
      <c r="C1100" s="1128">
        <v>0</v>
      </c>
      <c r="D1100" s="1128">
        <v>46.13</v>
      </c>
      <c r="E1100" s="1126"/>
    </row>
    <row r="1101" spans="1:5" x14ac:dyDescent="0.2">
      <c r="A1101" s="1126" t="s">
        <v>1683</v>
      </c>
      <c r="B1101" s="1127">
        <v>231</v>
      </c>
      <c r="C1101" s="1128">
        <v>64.53</v>
      </c>
      <c r="D1101" s="1128">
        <v>223.31</v>
      </c>
      <c r="E1101" s="1126"/>
    </row>
    <row r="1102" spans="1:5" x14ac:dyDescent="0.2">
      <c r="A1102" s="1126" t="s">
        <v>1684</v>
      </c>
      <c r="B1102" s="1127">
        <v>124</v>
      </c>
      <c r="C1102" s="1128">
        <v>0</v>
      </c>
      <c r="D1102" s="1128">
        <v>43.07</v>
      </c>
      <c r="E1102" s="1126"/>
    </row>
    <row r="1103" spans="1:5" x14ac:dyDescent="0.2">
      <c r="A1103" s="1126" t="s">
        <v>1685</v>
      </c>
      <c r="B1103" s="1127">
        <v>183</v>
      </c>
      <c r="C1103" s="1128">
        <v>292.70999999999998</v>
      </c>
      <c r="D1103" s="1128">
        <v>418.5</v>
      </c>
      <c r="E1103" s="1126"/>
    </row>
    <row r="1104" spans="1:5" x14ac:dyDescent="0.2">
      <c r="A1104" s="1126" t="s">
        <v>1686</v>
      </c>
      <c r="B1104" s="1127">
        <v>112</v>
      </c>
      <c r="C1104" s="1128">
        <v>88.83</v>
      </c>
      <c r="D1104" s="1128">
        <v>165.81</v>
      </c>
      <c r="E1104" s="1126"/>
    </row>
    <row r="1105" spans="1:5" x14ac:dyDescent="0.2">
      <c r="A1105" s="1126" t="s">
        <v>1687</v>
      </c>
      <c r="B1105" s="1127">
        <v>100</v>
      </c>
      <c r="C1105" s="1128">
        <v>34.799999999999997</v>
      </c>
      <c r="D1105" s="1128">
        <v>103.54</v>
      </c>
      <c r="E1105" s="1126"/>
    </row>
    <row r="1106" spans="1:5" x14ac:dyDescent="0.2">
      <c r="A1106" s="1126" t="s">
        <v>1688</v>
      </c>
      <c r="B1106" s="1127">
        <v>191</v>
      </c>
      <c r="C1106" s="1128">
        <v>101.81</v>
      </c>
      <c r="D1106" s="1128">
        <v>233.09</v>
      </c>
      <c r="E1106" s="1126"/>
    </row>
    <row r="1107" spans="1:5" x14ac:dyDescent="0.2">
      <c r="A1107" s="1126" t="s">
        <v>1689</v>
      </c>
      <c r="B1107" s="1127">
        <v>185</v>
      </c>
      <c r="C1107" s="1128">
        <v>0</v>
      </c>
      <c r="D1107" s="1128">
        <v>45.26</v>
      </c>
      <c r="E1107" s="1126"/>
    </row>
    <row r="1108" spans="1:5" x14ac:dyDescent="0.2">
      <c r="A1108" s="1126" t="s">
        <v>1690</v>
      </c>
      <c r="B1108" s="1127">
        <v>119</v>
      </c>
      <c r="C1108" s="1128">
        <v>0</v>
      </c>
      <c r="D1108" s="1128">
        <v>8.9600000000000009</v>
      </c>
      <c r="E1108" s="1126"/>
    </row>
    <row r="1109" spans="1:5" x14ac:dyDescent="0.2">
      <c r="A1109" s="1126" t="s">
        <v>1691</v>
      </c>
      <c r="B1109" s="1127">
        <v>179</v>
      </c>
      <c r="C1109" s="1128">
        <v>108.2</v>
      </c>
      <c r="D1109" s="1128">
        <v>231.23</v>
      </c>
      <c r="E1109" s="1126"/>
    </row>
    <row r="1110" spans="1:5" x14ac:dyDescent="0.2">
      <c r="A1110" s="1126" t="s">
        <v>1692</v>
      </c>
      <c r="B1110" s="1127">
        <v>64</v>
      </c>
      <c r="C1110" s="1128">
        <v>0</v>
      </c>
      <c r="D1110" s="1128">
        <v>15.42</v>
      </c>
      <c r="E1110" s="1126"/>
    </row>
    <row r="1111" spans="1:5" x14ac:dyDescent="0.2">
      <c r="A1111" s="1126" t="s">
        <v>1693</v>
      </c>
      <c r="B1111" s="1127">
        <v>176</v>
      </c>
      <c r="C1111" s="1128">
        <v>10.71</v>
      </c>
      <c r="D1111" s="1128">
        <v>131.69</v>
      </c>
      <c r="E1111" s="1126"/>
    </row>
    <row r="1112" spans="1:5" x14ac:dyDescent="0.2">
      <c r="A1112" s="1126" t="s">
        <v>1694</v>
      </c>
      <c r="B1112" s="1127">
        <v>155</v>
      </c>
      <c r="C1112" s="1128">
        <v>162.13999999999999</v>
      </c>
      <c r="D1112" s="1128">
        <v>268.68</v>
      </c>
      <c r="E1112" s="1126"/>
    </row>
    <row r="1113" spans="1:5" x14ac:dyDescent="0.2">
      <c r="A1113" s="1126" t="s">
        <v>1695</v>
      </c>
      <c r="B1113" s="1127">
        <v>54</v>
      </c>
      <c r="C1113" s="1128">
        <v>0.56999999999999995</v>
      </c>
      <c r="D1113" s="1128">
        <v>37.69</v>
      </c>
      <c r="E1113" s="1126"/>
    </row>
    <row r="1114" spans="1:5" x14ac:dyDescent="0.2">
      <c r="A1114" s="1126" t="s">
        <v>1696</v>
      </c>
      <c r="B1114" s="1127">
        <v>118</v>
      </c>
      <c r="C1114" s="1128">
        <v>354.16</v>
      </c>
      <c r="D1114" s="1128">
        <v>435.26</v>
      </c>
      <c r="E1114" s="1126"/>
    </row>
    <row r="1115" spans="1:5" x14ac:dyDescent="0.2">
      <c r="A1115" s="1126" t="s">
        <v>1697</v>
      </c>
      <c r="B1115" s="1127">
        <v>79</v>
      </c>
      <c r="C1115" s="1128">
        <v>10.7</v>
      </c>
      <c r="D1115" s="1128">
        <v>65</v>
      </c>
      <c r="E1115" s="1126"/>
    </row>
    <row r="1116" spans="1:5" x14ac:dyDescent="0.2">
      <c r="A1116" s="1126" t="s">
        <v>1698</v>
      </c>
      <c r="B1116" s="1127">
        <v>433</v>
      </c>
      <c r="C1116" s="1128">
        <v>0</v>
      </c>
      <c r="D1116" s="1128">
        <v>68.739999999999995</v>
      </c>
      <c r="E1116" s="1126"/>
    </row>
    <row r="1117" spans="1:5" x14ac:dyDescent="0.2">
      <c r="A1117" s="1126" t="s">
        <v>1699</v>
      </c>
      <c r="B1117" s="1127">
        <v>83</v>
      </c>
      <c r="C1117" s="1128">
        <v>16.43</v>
      </c>
      <c r="D1117" s="1128">
        <v>73.48</v>
      </c>
      <c r="E1117" s="1126"/>
    </row>
    <row r="1118" spans="1:5" x14ac:dyDescent="0.2">
      <c r="A1118" s="1126" t="s">
        <v>1700</v>
      </c>
      <c r="B1118" s="1127">
        <v>376</v>
      </c>
      <c r="C1118" s="1128">
        <v>186.08</v>
      </c>
      <c r="D1118" s="1128">
        <v>444.53</v>
      </c>
      <c r="E1118" s="1126"/>
    </row>
    <row r="1119" spans="1:5" x14ac:dyDescent="0.2">
      <c r="A1119" s="1126" t="s">
        <v>1701</v>
      </c>
      <c r="B1119" s="1127">
        <v>355</v>
      </c>
      <c r="C1119" s="1128">
        <v>0</v>
      </c>
      <c r="D1119" s="1128">
        <v>0</v>
      </c>
      <c r="E1119" s="1126"/>
    </row>
    <row r="1120" spans="1:5" x14ac:dyDescent="0.2">
      <c r="A1120" s="1126" t="s">
        <v>1702</v>
      </c>
      <c r="B1120" s="1127">
        <v>196</v>
      </c>
      <c r="C1120" s="1128">
        <v>109.91</v>
      </c>
      <c r="D1120" s="1128">
        <v>244.63</v>
      </c>
      <c r="E1120" s="1126"/>
    </row>
    <row r="1121" spans="1:5" x14ac:dyDescent="0.2">
      <c r="A1121" s="1126" t="s">
        <v>1703</v>
      </c>
      <c r="B1121" s="1127">
        <v>43</v>
      </c>
      <c r="C1121" s="1128">
        <v>76.48</v>
      </c>
      <c r="D1121" s="1128">
        <v>106.03</v>
      </c>
      <c r="E1121" s="1126"/>
    </row>
    <row r="1122" spans="1:5" x14ac:dyDescent="0.2">
      <c r="A1122" s="1126" t="s">
        <v>1704</v>
      </c>
      <c r="B1122" s="1127">
        <v>166</v>
      </c>
      <c r="C1122" s="1128">
        <v>19.03</v>
      </c>
      <c r="D1122" s="1128">
        <v>133.13999999999999</v>
      </c>
      <c r="E1122" s="1126"/>
    </row>
    <row r="1123" spans="1:5" x14ac:dyDescent="0.2">
      <c r="A1123" s="1126" t="s">
        <v>1705</v>
      </c>
      <c r="B1123" s="1127">
        <v>644</v>
      </c>
      <c r="C1123" s="1128">
        <v>0</v>
      </c>
      <c r="D1123" s="1128">
        <v>431.22</v>
      </c>
      <c r="E1123" s="1126"/>
    </row>
    <row r="1124" spans="1:5" x14ac:dyDescent="0.2">
      <c r="A1124" s="1126" t="s">
        <v>1706</v>
      </c>
      <c r="B1124" s="1127">
        <v>56</v>
      </c>
      <c r="C1124" s="1128">
        <v>54.2</v>
      </c>
      <c r="D1124" s="1128">
        <v>92.69</v>
      </c>
      <c r="E1124" s="1126"/>
    </row>
    <row r="1125" spans="1:5" x14ac:dyDescent="0.2">
      <c r="A1125" s="1126" t="s">
        <v>1707</v>
      </c>
      <c r="B1125" s="1127">
        <v>111</v>
      </c>
      <c r="C1125" s="1128">
        <v>53.73</v>
      </c>
      <c r="D1125" s="1128">
        <v>130.03</v>
      </c>
      <c r="E1125" s="1126"/>
    </row>
    <row r="1126" spans="1:5" x14ac:dyDescent="0.2">
      <c r="A1126" s="1126" t="s">
        <v>1708</v>
      </c>
      <c r="B1126" s="1127">
        <v>211</v>
      </c>
      <c r="C1126" s="1128">
        <v>0</v>
      </c>
      <c r="D1126" s="1128">
        <v>51.29</v>
      </c>
      <c r="E1126" s="1126"/>
    </row>
    <row r="1127" spans="1:5" x14ac:dyDescent="0.2">
      <c r="A1127" s="1126" t="s">
        <v>1709</v>
      </c>
      <c r="B1127" s="1127">
        <v>75</v>
      </c>
      <c r="C1127" s="1128">
        <v>55.9</v>
      </c>
      <c r="D1127" s="1128">
        <v>107.45</v>
      </c>
      <c r="E1127" s="1126"/>
    </row>
    <row r="1128" spans="1:5" x14ac:dyDescent="0.2">
      <c r="A1128" s="1126" t="s">
        <v>1710</v>
      </c>
      <c r="B1128" s="1127">
        <v>372</v>
      </c>
      <c r="C1128" s="1128">
        <v>0</v>
      </c>
      <c r="D1128" s="1128">
        <v>178.71</v>
      </c>
      <c r="E1128" s="1126"/>
    </row>
    <row r="1129" spans="1:5" x14ac:dyDescent="0.2">
      <c r="A1129" s="1126" t="s">
        <v>1711</v>
      </c>
      <c r="B1129" s="1127">
        <v>122</v>
      </c>
      <c r="C1129" s="1128">
        <v>0</v>
      </c>
      <c r="D1129" s="1128">
        <v>71.22</v>
      </c>
      <c r="E1129" s="1126"/>
    </row>
    <row r="1130" spans="1:5" x14ac:dyDescent="0.2">
      <c r="A1130" s="1126" t="s">
        <v>1712</v>
      </c>
      <c r="B1130" s="1127">
        <v>145</v>
      </c>
      <c r="C1130" s="1128">
        <v>0</v>
      </c>
      <c r="D1130" s="1128">
        <v>16.059999999999999</v>
      </c>
      <c r="E1130" s="1126"/>
    </row>
    <row r="1131" spans="1:5" x14ac:dyDescent="0.2">
      <c r="A1131" s="1126" t="s">
        <v>1713</v>
      </c>
      <c r="B1131" s="1127">
        <v>66</v>
      </c>
      <c r="C1131" s="1128">
        <v>24.05</v>
      </c>
      <c r="D1131" s="1128">
        <v>69.42</v>
      </c>
      <c r="E1131" s="1126"/>
    </row>
    <row r="1132" spans="1:5" x14ac:dyDescent="0.2">
      <c r="A1132" s="1126" t="s">
        <v>1714</v>
      </c>
      <c r="B1132" s="1127">
        <v>85</v>
      </c>
      <c r="C1132" s="1128">
        <v>198.5</v>
      </c>
      <c r="D1132" s="1128">
        <v>256.92</v>
      </c>
      <c r="E1132" s="1126"/>
    </row>
    <row r="1133" spans="1:5" x14ac:dyDescent="0.2">
      <c r="A1133" s="1126" t="s">
        <v>1715</v>
      </c>
      <c r="B1133" s="1127">
        <v>496</v>
      </c>
      <c r="C1133" s="1128">
        <v>795.12</v>
      </c>
      <c r="D1133" s="1128">
        <v>1136.05</v>
      </c>
      <c r="E1133" s="1126"/>
    </row>
    <row r="1134" spans="1:5" x14ac:dyDescent="0.2">
      <c r="A1134" s="1126" t="s">
        <v>1716</v>
      </c>
      <c r="B1134" s="1127">
        <v>191</v>
      </c>
      <c r="C1134" s="1128">
        <v>0</v>
      </c>
      <c r="D1134" s="1128">
        <v>28.63</v>
      </c>
      <c r="E1134" s="1126"/>
    </row>
    <row r="1135" spans="1:5" x14ac:dyDescent="0.2">
      <c r="A1135" s="1126" t="s">
        <v>1717</v>
      </c>
      <c r="B1135" s="1127">
        <v>224</v>
      </c>
      <c r="C1135" s="1128">
        <v>386.35</v>
      </c>
      <c r="D1135" s="1128">
        <v>540.32000000000005</v>
      </c>
      <c r="E1135" s="1126"/>
    </row>
    <row r="1136" spans="1:5" x14ac:dyDescent="0.2">
      <c r="A1136" s="1126" t="s">
        <v>1718</v>
      </c>
      <c r="B1136" s="1127">
        <v>114</v>
      </c>
      <c r="C1136" s="1128">
        <v>266.23</v>
      </c>
      <c r="D1136" s="1128">
        <v>344.59</v>
      </c>
      <c r="E1136" s="1126"/>
    </row>
    <row r="1137" spans="1:5" x14ac:dyDescent="0.2">
      <c r="A1137" s="1126" t="s">
        <v>1719</v>
      </c>
      <c r="B1137" s="1127">
        <v>183</v>
      </c>
      <c r="C1137" s="1128">
        <v>0</v>
      </c>
      <c r="D1137" s="1128">
        <v>115.74</v>
      </c>
      <c r="E1137" s="1126"/>
    </row>
    <row r="1138" spans="1:5" x14ac:dyDescent="0.2">
      <c r="A1138" s="1126" t="s">
        <v>1720</v>
      </c>
      <c r="B1138" s="1127">
        <v>83</v>
      </c>
      <c r="C1138" s="1128">
        <v>23.05</v>
      </c>
      <c r="D1138" s="1128">
        <v>80.099999999999994</v>
      </c>
      <c r="E1138" s="1126"/>
    </row>
    <row r="1139" spans="1:5" x14ac:dyDescent="0.2">
      <c r="A1139" s="1126" t="s">
        <v>1721</v>
      </c>
      <c r="B1139" s="1127">
        <v>241</v>
      </c>
      <c r="C1139" s="1128">
        <v>292.69</v>
      </c>
      <c r="D1139" s="1128">
        <v>458.35</v>
      </c>
      <c r="E1139" s="1126"/>
    </row>
    <row r="1140" spans="1:5" x14ac:dyDescent="0.2">
      <c r="A1140" s="1126" t="s">
        <v>1722</v>
      </c>
      <c r="B1140" s="1127">
        <v>235</v>
      </c>
      <c r="C1140" s="1128">
        <v>256.39</v>
      </c>
      <c r="D1140" s="1128">
        <v>417.93</v>
      </c>
      <c r="E1140" s="1126"/>
    </row>
    <row r="1141" spans="1:5" x14ac:dyDescent="0.2">
      <c r="A1141" s="1126" t="s">
        <v>1723</v>
      </c>
      <c r="B1141" s="1127">
        <v>34</v>
      </c>
      <c r="C1141" s="1128">
        <v>46.83</v>
      </c>
      <c r="D1141" s="1128">
        <v>70.2</v>
      </c>
      <c r="E1141" s="1126" t="s">
        <v>669</v>
      </c>
    </row>
    <row r="1142" spans="1:5" x14ac:dyDescent="0.2">
      <c r="A1142" s="1126" t="s">
        <v>1724</v>
      </c>
      <c r="B1142" s="1127">
        <v>33</v>
      </c>
      <c r="C1142" s="1128">
        <v>92.48</v>
      </c>
      <c r="D1142" s="1128">
        <v>115.16</v>
      </c>
      <c r="E1142" s="1126" t="s">
        <v>669</v>
      </c>
    </row>
    <row r="1143" spans="1:5" x14ac:dyDescent="0.2">
      <c r="A1143" s="1126" t="s">
        <v>1725</v>
      </c>
      <c r="B1143" s="1127">
        <v>260</v>
      </c>
      <c r="C1143" s="1128">
        <v>0</v>
      </c>
      <c r="D1143" s="1128">
        <v>96.76</v>
      </c>
      <c r="E1143" s="1126"/>
    </row>
    <row r="1144" spans="1:5" x14ac:dyDescent="0.2">
      <c r="A1144" s="1126" t="s">
        <v>1726</v>
      </c>
      <c r="B1144" s="1127">
        <v>325</v>
      </c>
      <c r="C1144" s="1128">
        <v>134.19999999999999</v>
      </c>
      <c r="D1144" s="1128">
        <v>357.59</v>
      </c>
      <c r="E1144" s="1126"/>
    </row>
    <row r="1145" spans="1:5" x14ac:dyDescent="0.2">
      <c r="A1145" s="1126" t="s">
        <v>1727</v>
      </c>
      <c r="B1145" s="1127">
        <v>191</v>
      </c>
      <c r="C1145" s="1128">
        <v>0</v>
      </c>
      <c r="D1145" s="1128">
        <v>19.71</v>
      </c>
      <c r="E1145" s="1126"/>
    </row>
    <row r="1146" spans="1:5" x14ac:dyDescent="0.2">
      <c r="A1146" s="1126" t="s">
        <v>1728</v>
      </c>
      <c r="B1146" s="1127">
        <v>93</v>
      </c>
      <c r="C1146" s="1128">
        <v>0</v>
      </c>
      <c r="D1146" s="1128">
        <v>33.799999999999997</v>
      </c>
      <c r="E1146" s="1126"/>
    </row>
    <row r="1147" spans="1:5" x14ac:dyDescent="0.2">
      <c r="A1147" s="1126" t="s">
        <v>1729</v>
      </c>
      <c r="B1147" s="1127">
        <v>230</v>
      </c>
      <c r="C1147" s="1128">
        <v>88.45</v>
      </c>
      <c r="D1147" s="1128">
        <v>246.55</v>
      </c>
      <c r="E1147" s="1126"/>
    </row>
    <row r="1148" spans="1:5" x14ac:dyDescent="0.2">
      <c r="A1148" s="1126" t="s">
        <v>1730</v>
      </c>
      <c r="B1148" s="1127">
        <v>92</v>
      </c>
      <c r="C1148" s="1128">
        <v>53.41</v>
      </c>
      <c r="D1148" s="1128">
        <v>116.64</v>
      </c>
      <c r="E1148" s="1126"/>
    </row>
    <row r="1149" spans="1:5" x14ac:dyDescent="0.2">
      <c r="A1149" s="1126" t="s">
        <v>1731</v>
      </c>
      <c r="B1149" s="1127">
        <v>151</v>
      </c>
      <c r="C1149" s="1128">
        <v>1.89</v>
      </c>
      <c r="D1149" s="1128">
        <v>105.68</v>
      </c>
      <c r="E1149" s="1126"/>
    </row>
    <row r="1150" spans="1:5" x14ac:dyDescent="0.2">
      <c r="A1150" s="1126" t="s">
        <v>1732</v>
      </c>
      <c r="B1150" s="1127">
        <v>118</v>
      </c>
      <c r="C1150" s="1128">
        <v>38.79</v>
      </c>
      <c r="D1150" s="1128">
        <v>119.9</v>
      </c>
      <c r="E1150" s="1126"/>
    </row>
    <row r="1151" spans="1:5" x14ac:dyDescent="0.2">
      <c r="A1151" s="1126" t="s">
        <v>1733</v>
      </c>
      <c r="B1151" s="1127">
        <v>219</v>
      </c>
      <c r="C1151" s="1128">
        <v>0</v>
      </c>
      <c r="D1151" s="1128">
        <v>96.73</v>
      </c>
      <c r="E1151" s="1126"/>
    </row>
    <row r="1152" spans="1:5" x14ac:dyDescent="0.2">
      <c r="A1152" s="1126" t="s">
        <v>1734</v>
      </c>
      <c r="B1152" s="1127">
        <v>258</v>
      </c>
      <c r="C1152" s="1128">
        <v>0</v>
      </c>
      <c r="D1152" s="1128">
        <v>77.88</v>
      </c>
      <c r="E1152" s="1126"/>
    </row>
    <row r="1153" spans="1:5" x14ac:dyDescent="0.2">
      <c r="A1153" s="1126" t="s">
        <v>1735</v>
      </c>
      <c r="B1153" s="1127">
        <v>407</v>
      </c>
      <c r="C1153" s="1128">
        <v>0</v>
      </c>
      <c r="D1153" s="1128">
        <v>139.83000000000001</v>
      </c>
      <c r="E1153" s="1126"/>
    </row>
    <row r="1154" spans="1:5" x14ac:dyDescent="0.2">
      <c r="A1154" s="1126" t="s">
        <v>1736</v>
      </c>
      <c r="B1154" s="1127">
        <v>240</v>
      </c>
      <c r="C1154" s="1128">
        <v>139.49</v>
      </c>
      <c r="D1154" s="1128">
        <v>304.45999999999998</v>
      </c>
      <c r="E1154" s="1126"/>
    </row>
    <row r="1155" spans="1:5" x14ac:dyDescent="0.2">
      <c r="A1155" s="1126" t="s">
        <v>1737</v>
      </c>
      <c r="B1155" s="1127">
        <v>100</v>
      </c>
      <c r="C1155" s="1128">
        <v>1.34</v>
      </c>
      <c r="D1155" s="1128">
        <v>70.069999999999993</v>
      </c>
      <c r="E1155" s="1126"/>
    </row>
    <row r="1156" spans="1:5" x14ac:dyDescent="0.2">
      <c r="A1156" s="1126" t="s">
        <v>1738</v>
      </c>
      <c r="B1156" s="1127">
        <v>108</v>
      </c>
      <c r="C1156" s="1128">
        <v>0</v>
      </c>
      <c r="D1156" s="1128">
        <v>16.78</v>
      </c>
      <c r="E1156" s="1126"/>
    </row>
    <row r="1157" spans="1:5" x14ac:dyDescent="0.2">
      <c r="A1157" s="1126" t="s">
        <v>1739</v>
      </c>
      <c r="B1157" s="1127">
        <v>109</v>
      </c>
      <c r="C1157" s="1128">
        <v>0</v>
      </c>
      <c r="D1157" s="1128">
        <v>19.09</v>
      </c>
      <c r="E1157" s="1126"/>
    </row>
    <row r="1158" spans="1:5" x14ac:dyDescent="0.2">
      <c r="A1158" s="1126" t="s">
        <v>1740</v>
      </c>
      <c r="B1158" s="1127">
        <v>287</v>
      </c>
      <c r="C1158" s="1128">
        <v>0</v>
      </c>
      <c r="D1158" s="1128">
        <v>84.92</v>
      </c>
      <c r="E1158" s="1126"/>
    </row>
    <row r="1159" spans="1:5" x14ac:dyDescent="0.2">
      <c r="A1159" s="1126" t="s">
        <v>1741</v>
      </c>
      <c r="B1159" s="1127">
        <v>139</v>
      </c>
      <c r="C1159" s="1128">
        <v>14.46</v>
      </c>
      <c r="D1159" s="1128">
        <v>110</v>
      </c>
      <c r="E1159" s="1126"/>
    </row>
    <row r="1160" spans="1:5" x14ac:dyDescent="0.2">
      <c r="A1160" s="1126" t="s">
        <v>1742</v>
      </c>
      <c r="B1160" s="1127">
        <v>103</v>
      </c>
      <c r="C1160" s="1128">
        <v>0</v>
      </c>
      <c r="D1160" s="1128">
        <v>13.72</v>
      </c>
      <c r="E1160" s="1126"/>
    </row>
    <row r="1161" spans="1:5" x14ac:dyDescent="0.2">
      <c r="A1161" s="1126" t="s">
        <v>1743</v>
      </c>
      <c r="B1161" s="1127">
        <v>199</v>
      </c>
      <c r="C1161" s="1128">
        <v>0</v>
      </c>
      <c r="D1161" s="1128">
        <v>22.32</v>
      </c>
      <c r="E1161" s="1126"/>
    </row>
    <row r="1162" spans="1:5" x14ac:dyDescent="0.2">
      <c r="A1162" s="1126" t="s">
        <v>1744</v>
      </c>
      <c r="B1162" s="1127">
        <v>101</v>
      </c>
      <c r="C1162" s="1128">
        <v>0</v>
      </c>
      <c r="D1162" s="1128">
        <v>36.04</v>
      </c>
      <c r="E1162" s="1126"/>
    </row>
    <row r="1163" spans="1:5" x14ac:dyDescent="0.2">
      <c r="A1163" s="1126" t="s">
        <v>1745</v>
      </c>
      <c r="B1163" s="1127">
        <v>260</v>
      </c>
      <c r="C1163" s="1128">
        <v>0</v>
      </c>
      <c r="D1163" s="1128">
        <v>88.6</v>
      </c>
      <c r="E1163" s="1126"/>
    </row>
    <row r="1164" spans="1:5" x14ac:dyDescent="0.2">
      <c r="A1164" s="1126" t="s">
        <v>1746</v>
      </c>
      <c r="B1164" s="1127">
        <v>234</v>
      </c>
      <c r="C1164" s="1128">
        <v>0</v>
      </c>
      <c r="D1164" s="1128">
        <v>72.44</v>
      </c>
      <c r="E1164" s="1126"/>
    </row>
    <row r="1165" spans="1:5" x14ac:dyDescent="0.2">
      <c r="A1165" s="1126" t="s">
        <v>1747</v>
      </c>
      <c r="B1165" s="1127">
        <v>366</v>
      </c>
      <c r="C1165" s="1128">
        <v>0</v>
      </c>
      <c r="D1165" s="1128">
        <v>180.52</v>
      </c>
      <c r="E1165" s="1126"/>
    </row>
    <row r="1166" spans="1:5" x14ac:dyDescent="0.2">
      <c r="A1166" s="1126" t="s">
        <v>1748</v>
      </c>
      <c r="B1166" s="1127">
        <v>103</v>
      </c>
      <c r="C1166" s="1128">
        <v>38.840000000000003</v>
      </c>
      <c r="D1166" s="1128">
        <v>109.64</v>
      </c>
      <c r="E1166" s="1126"/>
    </row>
    <row r="1167" spans="1:5" x14ac:dyDescent="0.2">
      <c r="A1167" s="1126" t="s">
        <v>1749</v>
      </c>
      <c r="B1167" s="1127">
        <v>147</v>
      </c>
      <c r="C1167" s="1128">
        <v>0</v>
      </c>
      <c r="D1167" s="1128">
        <v>50.18</v>
      </c>
      <c r="E1167" s="1126"/>
    </row>
    <row r="1168" spans="1:5" x14ac:dyDescent="0.2">
      <c r="A1168" s="1126" t="s">
        <v>1750</v>
      </c>
      <c r="B1168" s="1127">
        <v>140</v>
      </c>
      <c r="C1168" s="1128">
        <v>0</v>
      </c>
      <c r="D1168" s="1128">
        <v>54.01</v>
      </c>
      <c r="E1168" s="1126"/>
    </row>
    <row r="1169" spans="1:5" x14ac:dyDescent="0.2">
      <c r="A1169" s="1126" t="s">
        <v>1751</v>
      </c>
      <c r="B1169" s="1127">
        <v>116</v>
      </c>
      <c r="C1169" s="1128">
        <v>0</v>
      </c>
      <c r="D1169" s="1128">
        <v>29.02</v>
      </c>
      <c r="E1169" s="1126"/>
    </row>
    <row r="1170" spans="1:5" x14ac:dyDescent="0.2">
      <c r="A1170" s="1126" t="s">
        <v>1752</v>
      </c>
      <c r="B1170" s="1127">
        <v>137</v>
      </c>
      <c r="C1170" s="1128">
        <v>0</v>
      </c>
      <c r="D1170" s="1128">
        <v>65.36</v>
      </c>
      <c r="E1170" s="1126"/>
    </row>
    <row r="1171" spans="1:5" x14ac:dyDescent="0.2">
      <c r="A1171" s="1126" t="s">
        <v>1753</v>
      </c>
      <c r="B1171" s="1127">
        <v>71</v>
      </c>
      <c r="C1171" s="1128">
        <v>0</v>
      </c>
      <c r="D1171" s="1128">
        <v>16.600000000000001</v>
      </c>
      <c r="E1171" s="1126"/>
    </row>
    <row r="1172" spans="1:5" x14ac:dyDescent="0.2">
      <c r="A1172" s="1126" t="s">
        <v>1754</v>
      </c>
      <c r="B1172" s="1127">
        <v>218</v>
      </c>
      <c r="C1172" s="1128">
        <v>0</v>
      </c>
      <c r="D1172" s="1128">
        <v>13.68</v>
      </c>
      <c r="E1172" s="1126"/>
    </row>
    <row r="1173" spans="1:5" x14ac:dyDescent="0.2">
      <c r="A1173" s="1126" t="s">
        <v>1755</v>
      </c>
      <c r="B1173" s="1127">
        <v>124</v>
      </c>
      <c r="C1173" s="1128">
        <v>0</v>
      </c>
      <c r="D1173" s="1128">
        <v>33.94</v>
      </c>
      <c r="E1173" s="1126"/>
    </row>
    <row r="1174" spans="1:5" x14ac:dyDescent="0.2">
      <c r="A1174" s="1126" t="s">
        <v>1756</v>
      </c>
      <c r="B1174" s="1127">
        <v>165</v>
      </c>
      <c r="C1174" s="1128">
        <v>0</v>
      </c>
      <c r="D1174" s="1128">
        <v>24.24</v>
      </c>
      <c r="E1174" s="1126"/>
    </row>
    <row r="1175" spans="1:5" x14ac:dyDescent="0.2">
      <c r="A1175" s="1126" t="s">
        <v>1757</v>
      </c>
      <c r="B1175" s="1127">
        <v>121</v>
      </c>
      <c r="C1175" s="1128">
        <v>0</v>
      </c>
      <c r="D1175" s="1128">
        <v>22.77</v>
      </c>
      <c r="E1175" s="1126"/>
    </row>
    <row r="1176" spans="1:5" x14ac:dyDescent="0.2">
      <c r="A1176" s="1126" t="s">
        <v>1758</v>
      </c>
      <c r="B1176" s="1127">
        <v>138</v>
      </c>
      <c r="C1176" s="1128">
        <v>0</v>
      </c>
      <c r="D1176" s="1128">
        <v>30.1</v>
      </c>
      <c r="E1176" s="1126"/>
    </row>
    <row r="1177" spans="1:5" x14ac:dyDescent="0.2">
      <c r="A1177" s="1126" t="s">
        <v>1759</v>
      </c>
      <c r="B1177" s="1127">
        <v>61</v>
      </c>
      <c r="C1177" s="1128">
        <v>0</v>
      </c>
      <c r="D1177" s="1128">
        <v>32.630000000000003</v>
      </c>
      <c r="E1177" s="1126"/>
    </row>
    <row r="1178" spans="1:5" x14ac:dyDescent="0.2">
      <c r="A1178" s="1126" t="s">
        <v>1760</v>
      </c>
      <c r="B1178" s="1127">
        <v>77</v>
      </c>
      <c r="C1178" s="1128">
        <v>0</v>
      </c>
      <c r="D1178" s="1128">
        <v>0</v>
      </c>
      <c r="E1178" s="1126"/>
    </row>
    <row r="1179" spans="1:5" x14ac:dyDescent="0.2">
      <c r="A1179" s="1126" t="s">
        <v>1761</v>
      </c>
      <c r="B1179" s="1127">
        <v>183</v>
      </c>
      <c r="C1179" s="1128">
        <v>0</v>
      </c>
      <c r="D1179" s="1128">
        <v>36.61</v>
      </c>
      <c r="E1179" s="1126"/>
    </row>
    <row r="1180" spans="1:5" x14ac:dyDescent="0.2">
      <c r="A1180" s="1126" t="s">
        <v>1762</v>
      </c>
      <c r="B1180" s="1127">
        <v>79</v>
      </c>
      <c r="C1180" s="1128">
        <v>0</v>
      </c>
      <c r="D1180" s="1128">
        <v>19.940000000000001</v>
      </c>
      <c r="E1180" s="1126"/>
    </row>
    <row r="1181" spans="1:5" x14ac:dyDescent="0.2">
      <c r="A1181" s="1126" t="s">
        <v>1763</v>
      </c>
      <c r="B1181" s="1127">
        <v>283</v>
      </c>
      <c r="C1181" s="1128">
        <v>412.86</v>
      </c>
      <c r="D1181" s="1128">
        <v>607.38</v>
      </c>
      <c r="E1181" s="1126"/>
    </row>
    <row r="1182" spans="1:5" x14ac:dyDescent="0.2">
      <c r="A1182" s="1126" t="s">
        <v>1764</v>
      </c>
      <c r="B1182" s="1127">
        <v>371</v>
      </c>
      <c r="C1182" s="1128">
        <v>0</v>
      </c>
      <c r="D1182" s="1128">
        <v>177.25</v>
      </c>
      <c r="E1182" s="1126"/>
    </row>
    <row r="1183" spans="1:5" x14ac:dyDescent="0.2">
      <c r="A1183" s="1126" t="s">
        <v>1765</v>
      </c>
      <c r="B1183" s="1127">
        <v>104</v>
      </c>
      <c r="C1183" s="1128">
        <v>0</v>
      </c>
      <c r="D1183" s="1128">
        <v>9.4</v>
      </c>
      <c r="E1183" s="1126"/>
    </row>
    <row r="1184" spans="1:5" x14ac:dyDescent="0.2">
      <c r="A1184" s="1126" t="s">
        <v>1766</v>
      </c>
      <c r="B1184" s="1127">
        <v>275</v>
      </c>
      <c r="C1184" s="1128">
        <v>32.32</v>
      </c>
      <c r="D1184" s="1128">
        <v>221.34</v>
      </c>
      <c r="E1184" s="1126"/>
    </row>
    <row r="1185" spans="1:5" x14ac:dyDescent="0.2">
      <c r="A1185" s="1126" t="s">
        <v>1767</v>
      </c>
      <c r="B1185" s="1127">
        <v>251</v>
      </c>
      <c r="C1185" s="1128">
        <v>0</v>
      </c>
      <c r="D1185" s="1128">
        <v>54.74</v>
      </c>
      <c r="E1185" s="1126"/>
    </row>
    <row r="1186" spans="1:5" x14ac:dyDescent="0.2">
      <c r="A1186" s="1126" t="s">
        <v>1768</v>
      </c>
      <c r="B1186" s="1127">
        <v>295</v>
      </c>
      <c r="C1186" s="1128">
        <v>51.73</v>
      </c>
      <c r="D1186" s="1128">
        <v>254.5</v>
      </c>
      <c r="E1186" s="1126"/>
    </row>
    <row r="1187" spans="1:5" x14ac:dyDescent="0.2">
      <c r="A1187" s="1126" t="s">
        <v>1769</v>
      </c>
      <c r="B1187" s="1127">
        <v>60</v>
      </c>
      <c r="C1187" s="1128">
        <v>0</v>
      </c>
      <c r="D1187" s="1128">
        <v>0</v>
      </c>
      <c r="E1187" s="1126"/>
    </row>
    <row r="1188" spans="1:5" x14ac:dyDescent="0.2">
      <c r="A1188" s="1126" t="s">
        <v>1770</v>
      </c>
      <c r="B1188" s="1127">
        <v>219</v>
      </c>
      <c r="C1188" s="1128">
        <v>0</v>
      </c>
      <c r="D1188" s="1128">
        <v>47.06</v>
      </c>
      <c r="E1188" s="1126"/>
    </row>
    <row r="1189" spans="1:5" x14ac:dyDescent="0.2">
      <c r="A1189" s="1126" t="s">
        <v>1771</v>
      </c>
      <c r="B1189" s="1127">
        <v>85</v>
      </c>
      <c r="C1189" s="1128">
        <v>0</v>
      </c>
      <c r="D1189" s="1128">
        <v>26.26</v>
      </c>
      <c r="E1189" s="1126"/>
    </row>
    <row r="1190" spans="1:5" x14ac:dyDescent="0.2">
      <c r="A1190" s="1126" t="s">
        <v>1772</v>
      </c>
      <c r="B1190" s="1127">
        <v>187</v>
      </c>
      <c r="C1190" s="1128">
        <v>185.61</v>
      </c>
      <c r="D1190" s="1128">
        <v>314.14999999999998</v>
      </c>
      <c r="E1190" s="1126"/>
    </row>
    <row r="1191" spans="1:5" x14ac:dyDescent="0.2">
      <c r="A1191" s="1126" t="s">
        <v>1773</v>
      </c>
      <c r="B1191" s="1127">
        <v>383</v>
      </c>
      <c r="C1191" s="1128">
        <v>0</v>
      </c>
      <c r="D1191" s="1128">
        <v>109.79</v>
      </c>
      <c r="E1191" s="1126"/>
    </row>
    <row r="1192" spans="1:5" x14ac:dyDescent="0.2">
      <c r="A1192" s="1126" t="s">
        <v>1774</v>
      </c>
      <c r="B1192" s="1127">
        <v>300</v>
      </c>
      <c r="C1192" s="1128">
        <v>44.06</v>
      </c>
      <c r="D1192" s="1128">
        <v>250.27</v>
      </c>
      <c r="E1192" s="1126"/>
    </row>
    <row r="1193" spans="1:5" x14ac:dyDescent="0.2">
      <c r="A1193" s="1126" t="s">
        <v>1775</v>
      </c>
      <c r="B1193" s="1127">
        <v>173</v>
      </c>
      <c r="C1193" s="1128">
        <v>0</v>
      </c>
      <c r="D1193" s="1128">
        <v>111.18</v>
      </c>
      <c r="E1193" s="1126"/>
    </row>
    <row r="1194" spans="1:5" x14ac:dyDescent="0.2">
      <c r="A1194" s="1126" t="s">
        <v>1776</v>
      </c>
      <c r="B1194" s="1127">
        <v>148</v>
      </c>
      <c r="C1194" s="1128">
        <v>0</v>
      </c>
      <c r="D1194" s="1128">
        <v>39.18</v>
      </c>
      <c r="E1194" s="1126"/>
    </row>
    <row r="1195" spans="1:5" x14ac:dyDescent="0.2">
      <c r="A1195" s="1126" t="s">
        <v>1777</v>
      </c>
      <c r="B1195" s="1127">
        <v>261</v>
      </c>
      <c r="C1195" s="1128">
        <v>0</v>
      </c>
      <c r="D1195" s="1128">
        <v>9.6</v>
      </c>
      <c r="E1195" s="1126"/>
    </row>
    <row r="1196" spans="1:5" x14ac:dyDescent="0.2">
      <c r="A1196" s="1126" t="s">
        <v>1778</v>
      </c>
      <c r="B1196" s="1127">
        <v>268</v>
      </c>
      <c r="C1196" s="1128">
        <v>66.42</v>
      </c>
      <c r="D1196" s="1128">
        <v>250.64</v>
      </c>
      <c r="E1196" s="1126"/>
    </row>
    <row r="1197" spans="1:5" x14ac:dyDescent="0.2">
      <c r="A1197" s="1126" t="s">
        <v>1779</v>
      </c>
      <c r="B1197" s="1127">
        <v>128</v>
      </c>
      <c r="C1197" s="1128">
        <v>317.49</v>
      </c>
      <c r="D1197" s="1128">
        <v>405.47</v>
      </c>
      <c r="E1197" s="1126"/>
    </row>
    <row r="1198" spans="1:5" x14ac:dyDescent="0.2">
      <c r="A1198" s="1126" t="s">
        <v>1780</v>
      </c>
      <c r="B1198" s="1127">
        <v>185</v>
      </c>
      <c r="C1198" s="1128">
        <v>0</v>
      </c>
      <c r="D1198" s="1128">
        <v>82.27</v>
      </c>
      <c r="E1198" s="1126"/>
    </row>
    <row r="1199" spans="1:5" x14ac:dyDescent="0.2">
      <c r="A1199" s="1126" t="s">
        <v>1781</v>
      </c>
      <c r="B1199" s="1127">
        <v>474</v>
      </c>
      <c r="C1199" s="1128">
        <v>1393.89</v>
      </c>
      <c r="D1199" s="1128">
        <v>1719.7</v>
      </c>
      <c r="E1199" s="1126"/>
    </row>
    <row r="1200" spans="1:5" x14ac:dyDescent="0.2">
      <c r="A1200" s="1126" t="s">
        <v>1782</v>
      </c>
      <c r="B1200" s="1127">
        <v>752</v>
      </c>
      <c r="C1200" s="1128">
        <v>0</v>
      </c>
      <c r="D1200" s="1128">
        <v>80.650000000000006</v>
      </c>
      <c r="E1200" s="1126"/>
    </row>
    <row r="1201" spans="1:5" x14ac:dyDescent="0.2">
      <c r="A1201" s="1126" t="s">
        <v>1783</v>
      </c>
      <c r="B1201" s="1127">
        <v>202</v>
      </c>
      <c r="C1201" s="1128">
        <v>0</v>
      </c>
      <c r="D1201" s="1128">
        <v>135.18</v>
      </c>
      <c r="E1201" s="1126"/>
    </row>
    <row r="1202" spans="1:5" x14ac:dyDescent="0.2">
      <c r="A1202" s="1126" t="s">
        <v>1784</v>
      </c>
      <c r="B1202" s="1127">
        <v>118</v>
      </c>
      <c r="C1202" s="1128">
        <v>0.45</v>
      </c>
      <c r="D1202" s="1128">
        <v>81.56</v>
      </c>
      <c r="E1202" s="1126"/>
    </row>
    <row r="1203" spans="1:5" x14ac:dyDescent="0.2">
      <c r="A1203" s="1126" t="s">
        <v>1785</v>
      </c>
      <c r="B1203" s="1127">
        <v>174</v>
      </c>
      <c r="C1203" s="1128">
        <v>0</v>
      </c>
      <c r="D1203" s="1128">
        <v>38.67</v>
      </c>
      <c r="E1203" s="1126"/>
    </row>
    <row r="1204" spans="1:5" x14ac:dyDescent="0.2">
      <c r="A1204" s="1126" t="s">
        <v>1786</v>
      </c>
      <c r="B1204" s="1127">
        <v>112</v>
      </c>
      <c r="C1204" s="1128">
        <v>0</v>
      </c>
      <c r="D1204" s="1128">
        <v>18.61</v>
      </c>
      <c r="E1204" s="1126"/>
    </row>
    <row r="1205" spans="1:5" x14ac:dyDescent="0.2">
      <c r="A1205" s="1126" t="s">
        <v>1787</v>
      </c>
      <c r="B1205" s="1127">
        <v>284</v>
      </c>
      <c r="C1205" s="1128">
        <v>0</v>
      </c>
      <c r="D1205" s="1128">
        <v>25.98</v>
      </c>
      <c r="E1205" s="1126"/>
    </row>
    <row r="1206" spans="1:5" x14ac:dyDescent="0.2">
      <c r="A1206" s="1126" t="s">
        <v>1788</v>
      </c>
      <c r="B1206" s="1127">
        <v>233</v>
      </c>
      <c r="C1206" s="1128">
        <v>233.35</v>
      </c>
      <c r="D1206" s="1128">
        <v>393.51</v>
      </c>
      <c r="E1206" s="1126"/>
    </row>
    <row r="1207" spans="1:5" x14ac:dyDescent="0.2">
      <c r="A1207" s="1126" t="s">
        <v>1789</v>
      </c>
      <c r="B1207" s="1127">
        <v>307</v>
      </c>
      <c r="C1207" s="1128">
        <v>0</v>
      </c>
      <c r="D1207" s="1128">
        <v>64.37</v>
      </c>
      <c r="E1207" s="1126"/>
    </row>
    <row r="1208" spans="1:5" x14ac:dyDescent="0.2">
      <c r="A1208" s="1126" t="s">
        <v>1790</v>
      </c>
      <c r="B1208" s="1127">
        <v>256</v>
      </c>
      <c r="C1208" s="1128">
        <v>0</v>
      </c>
      <c r="D1208" s="1128">
        <v>170.09</v>
      </c>
      <c r="E1208" s="1126"/>
    </row>
    <row r="1209" spans="1:5" x14ac:dyDescent="0.2">
      <c r="A1209" s="1126" t="s">
        <v>1791</v>
      </c>
      <c r="B1209" s="1127">
        <v>196</v>
      </c>
      <c r="C1209" s="1128">
        <v>0</v>
      </c>
      <c r="D1209" s="1128">
        <v>120.49</v>
      </c>
      <c r="E1209" s="1126"/>
    </row>
    <row r="1210" spans="1:5" x14ac:dyDescent="0.2">
      <c r="A1210" s="1126" t="s">
        <v>1792</v>
      </c>
      <c r="B1210" s="1127">
        <v>378</v>
      </c>
      <c r="C1210" s="1128">
        <v>0</v>
      </c>
      <c r="D1210" s="1128">
        <v>106.4</v>
      </c>
      <c r="E1210" s="1126"/>
    </row>
    <row r="1211" spans="1:5" x14ac:dyDescent="0.2">
      <c r="A1211" s="1126" t="s">
        <v>1793</v>
      </c>
      <c r="B1211" s="1127">
        <v>66</v>
      </c>
      <c r="C1211" s="1128">
        <v>0</v>
      </c>
      <c r="D1211" s="1128">
        <v>29.54</v>
      </c>
      <c r="E1211" s="1126"/>
    </row>
    <row r="1212" spans="1:5" x14ac:dyDescent="0.2">
      <c r="A1212" s="1126" t="s">
        <v>1794</v>
      </c>
      <c r="B1212" s="1127">
        <v>305</v>
      </c>
      <c r="C1212" s="1128">
        <v>0</v>
      </c>
      <c r="D1212" s="1128">
        <v>40.200000000000003</v>
      </c>
      <c r="E1212" s="1126"/>
    </row>
    <row r="1213" spans="1:5" x14ac:dyDescent="0.2">
      <c r="A1213" s="1126" t="s">
        <v>1795</v>
      </c>
      <c r="B1213" s="1127">
        <v>208</v>
      </c>
      <c r="C1213" s="1128">
        <v>0</v>
      </c>
      <c r="D1213" s="1128">
        <v>64.75</v>
      </c>
      <c r="E1213" s="1126"/>
    </row>
    <row r="1214" spans="1:5" x14ac:dyDescent="0.2">
      <c r="A1214" s="1126" t="s">
        <v>1796</v>
      </c>
      <c r="B1214" s="1127">
        <v>422</v>
      </c>
      <c r="C1214" s="1128">
        <v>0</v>
      </c>
      <c r="D1214" s="1128">
        <v>156.79</v>
      </c>
      <c r="E1214" s="1126"/>
    </row>
    <row r="1215" spans="1:5" x14ac:dyDescent="0.2">
      <c r="A1215" s="1126" t="s">
        <v>1797</v>
      </c>
      <c r="B1215" s="1127">
        <v>191</v>
      </c>
      <c r="C1215" s="1128">
        <v>16.489999999999998</v>
      </c>
      <c r="D1215" s="1128">
        <v>147.78</v>
      </c>
      <c r="E1215" s="1126"/>
    </row>
    <row r="1216" spans="1:5" x14ac:dyDescent="0.2">
      <c r="A1216" s="1126" t="s">
        <v>1798</v>
      </c>
      <c r="B1216" s="1127">
        <v>315</v>
      </c>
      <c r="C1216" s="1128">
        <v>0</v>
      </c>
      <c r="D1216" s="1128">
        <v>137.88999999999999</v>
      </c>
      <c r="E1216" s="1126"/>
    </row>
    <row r="1217" spans="1:5" x14ac:dyDescent="0.2">
      <c r="A1217" s="1126" t="s">
        <v>1799</v>
      </c>
      <c r="B1217" s="1127">
        <v>123</v>
      </c>
      <c r="C1217" s="1128">
        <v>0</v>
      </c>
      <c r="D1217" s="1128">
        <v>82.41</v>
      </c>
      <c r="E1217" s="1126"/>
    </row>
    <row r="1218" spans="1:5" x14ac:dyDescent="0.2">
      <c r="A1218" s="1126" t="s">
        <v>1800</v>
      </c>
      <c r="B1218" s="1127">
        <v>231</v>
      </c>
      <c r="C1218" s="1128">
        <v>0</v>
      </c>
      <c r="D1218" s="1128">
        <v>53.42</v>
      </c>
      <c r="E1218" s="1126"/>
    </row>
    <row r="1219" spans="1:5" x14ac:dyDescent="0.2">
      <c r="A1219" s="1126" t="s">
        <v>1801</v>
      </c>
      <c r="B1219" s="1127">
        <v>64</v>
      </c>
      <c r="C1219" s="1128">
        <v>0</v>
      </c>
      <c r="D1219" s="1128">
        <v>22.34</v>
      </c>
      <c r="E1219" s="1126"/>
    </row>
    <row r="1220" spans="1:5" x14ac:dyDescent="0.2">
      <c r="A1220" s="1126" t="s">
        <v>1802</v>
      </c>
      <c r="B1220" s="1127">
        <v>134</v>
      </c>
      <c r="C1220" s="1128">
        <v>10.32</v>
      </c>
      <c r="D1220" s="1128">
        <v>102.42</v>
      </c>
      <c r="E1220" s="1126"/>
    </row>
    <row r="1221" spans="1:5" x14ac:dyDescent="0.2">
      <c r="A1221" s="1126" t="s">
        <v>1803</v>
      </c>
      <c r="B1221" s="1127">
        <v>414</v>
      </c>
      <c r="C1221" s="1128">
        <v>0</v>
      </c>
      <c r="D1221" s="1128">
        <v>63.5</v>
      </c>
      <c r="E1221" s="1126"/>
    </row>
    <row r="1222" spans="1:5" x14ac:dyDescent="0.2">
      <c r="A1222" s="1126" t="s">
        <v>1804</v>
      </c>
      <c r="B1222" s="1127">
        <v>111</v>
      </c>
      <c r="C1222" s="1128">
        <v>0</v>
      </c>
      <c r="D1222" s="1128">
        <v>70.05</v>
      </c>
      <c r="E1222" s="1126"/>
    </row>
    <row r="1223" spans="1:5" x14ac:dyDescent="0.2">
      <c r="A1223" s="1126" t="s">
        <v>1805</v>
      </c>
      <c r="B1223" s="1127">
        <v>233</v>
      </c>
      <c r="C1223" s="1128">
        <v>286.37</v>
      </c>
      <c r="D1223" s="1128">
        <v>446.53</v>
      </c>
      <c r="E1223" s="1126"/>
    </row>
    <row r="1224" spans="1:5" x14ac:dyDescent="0.2">
      <c r="A1224" s="1126" t="s">
        <v>1806</v>
      </c>
      <c r="B1224" s="1127">
        <v>178</v>
      </c>
      <c r="C1224" s="1128">
        <v>0</v>
      </c>
      <c r="D1224" s="1128">
        <v>45.66</v>
      </c>
      <c r="E1224" s="1126"/>
    </row>
    <row r="1225" spans="1:5" x14ac:dyDescent="0.2">
      <c r="A1225" s="1126" t="s">
        <v>1807</v>
      </c>
      <c r="B1225" s="1127">
        <v>301</v>
      </c>
      <c r="C1225" s="1128">
        <v>34.81</v>
      </c>
      <c r="D1225" s="1128">
        <v>241.71</v>
      </c>
      <c r="E1225" s="1126"/>
    </row>
    <row r="1226" spans="1:5" x14ac:dyDescent="0.2">
      <c r="A1226" s="1126" t="s">
        <v>1808</v>
      </c>
      <c r="B1226" s="1127">
        <v>473</v>
      </c>
      <c r="C1226" s="1128">
        <v>0</v>
      </c>
      <c r="D1226" s="1128">
        <v>67.930000000000007</v>
      </c>
      <c r="E1226" s="1126"/>
    </row>
    <row r="1227" spans="1:5" x14ac:dyDescent="0.2">
      <c r="A1227" s="1126" t="s">
        <v>1809</v>
      </c>
      <c r="B1227" s="1127">
        <v>197</v>
      </c>
      <c r="C1227" s="1128">
        <v>0</v>
      </c>
      <c r="D1227" s="1128">
        <v>63.03</v>
      </c>
      <c r="E1227" s="1126"/>
    </row>
    <row r="1228" spans="1:5" x14ac:dyDescent="0.2">
      <c r="A1228" s="1126" t="s">
        <v>1810</v>
      </c>
      <c r="B1228" s="1127">
        <v>59</v>
      </c>
      <c r="C1228" s="1128">
        <v>0</v>
      </c>
      <c r="D1228" s="1128">
        <v>21.06</v>
      </c>
      <c r="E1228" s="1126"/>
    </row>
    <row r="1229" spans="1:5" x14ac:dyDescent="0.2">
      <c r="A1229" s="1126" t="s">
        <v>1811</v>
      </c>
      <c r="B1229" s="1127">
        <v>57</v>
      </c>
      <c r="C1229" s="1128">
        <v>0</v>
      </c>
      <c r="D1229" s="1128">
        <v>32.28</v>
      </c>
      <c r="E1229" s="1126"/>
    </row>
    <row r="1230" spans="1:5" x14ac:dyDescent="0.2">
      <c r="A1230" s="1126" t="s">
        <v>1812</v>
      </c>
      <c r="B1230" s="1127">
        <v>144</v>
      </c>
      <c r="C1230" s="1128">
        <v>0</v>
      </c>
      <c r="D1230" s="1128">
        <v>76.45</v>
      </c>
      <c r="E1230" s="1126"/>
    </row>
    <row r="1231" spans="1:5" x14ac:dyDescent="0.2">
      <c r="A1231" s="1126" t="s">
        <v>1813</v>
      </c>
      <c r="B1231" s="1127">
        <v>500</v>
      </c>
      <c r="C1231" s="1128">
        <v>0</v>
      </c>
      <c r="D1231" s="1128">
        <v>208.93</v>
      </c>
      <c r="E1231" s="1126"/>
    </row>
    <row r="1232" spans="1:5" x14ac:dyDescent="0.2">
      <c r="A1232" s="1126" t="s">
        <v>1814</v>
      </c>
      <c r="B1232" s="1127">
        <v>595</v>
      </c>
      <c r="C1232" s="1128">
        <v>0</v>
      </c>
      <c r="D1232" s="1128">
        <v>177.94</v>
      </c>
      <c r="E1232" s="1126"/>
    </row>
    <row r="1233" spans="1:5" x14ac:dyDescent="0.2">
      <c r="A1233" s="1126" t="s">
        <v>1815</v>
      </c>
      <c r="B1233" s="1127">
        <v>253</v>
      </c>
      <c r="C1233" s="1128">
        <v>0</v>
      </c>
      <c r="D1233" s="1128">
        <v>127.99</v>
      </c>
      <c r="E1233" s="1126"/>
    </row>
    <row r="1234" spans="1:5" x14ac:dyDescent="0.2">
      <c r="A1234" s="1126" t="s">
        <v>1816</v>
      </c>
      <c r="B1234" s="1127">
        <v>181</v>
      </c>
      <c r="C1234" s="1128">
        <v>0</v>
      </c>
      <c r="D1234" s="1128">
        <v>114.92</v>
      </c>
      <c r="E1234" s="1126"/>
    </row>
    <row r="1235" spans="1:5" x14ac:dyDescent="0.2">
      <c r="A1235" s="1126" t="s">
        <v>1817</v>
      </c>
      <c r="B1235" s="1127">
        <v>225</v>
      </c>
      <c r="C1235" s="1128">
        <v>157.55000000000001</v>
      </c>
      <c r="D1235" s="1128">
        <v>312.20999999999998</v>
      </c>
      <c r="E1235" s="1126"/>
    </row>
    <row r="1236" spans="1:5" x14ac:dyDescent="0.2">
      <c r="A1236" s="1126" t="s">
        <v>1818</v>
      </c>
      <c r="B1236" s="1127">
        <v>161</v>
      </c>
      <c r="C1236" s="1128">
        <v>0</v>
      </c>
      <c r="D1236" s="1128">
        <v>63.12</v>
      </c>
      <c r="E1236" s="1126"/>
    </row>
    <row r="1237" spans="1:5" x14ac:dyDescent="0.2">
      <c r="A1237" s="1126" t="s">
        <v>1819</v>
      </c>
      <c r="B1237" s="1127">
        <v>196</v>
      </c>
      <c r="C1237" s="1128">
        <v>0</v>
      </c>
      <c r="D1237" s="1128">
        <v>40.229999999999997</v>
      </c>
      <c r="E1237" s="1126"/>
    </row>
    <row r="1238" spans="1:5" x14ac:dyDescent="0.2">
      <c r="A1238" s="1126" t="s">
        <v>1820</v>
      </c>
      <c r="B1238" s="1127">
        <v>335</v>
      </c>
      <c r="C1238" s="1128">
        <v>0</v>
      </c>
      <c r="D1238" s="1128">
        <v>164.09</v>
      </c>
      <c r="E1238" s="1126"/>
    </row>
    <row r="1239" spans="1:5" x14ac:dyDescent="0.2">
      <c r="A1239" s="1126" t="s">
        <v>1821</v>
      </c>
      <c r="B1239" s="1127">
        <v>152</v>
      </c>
      <c r="C1239" s="1128">
        <v>0</v>
      </c>
      <c r="D1239" s="1128">
        <v>54.79</v>
      </c>
      <c r="E1239" s="1126"/>
    </row>
    <row r="1240" spans="1:5" x14ac:dyDescent="0.2">
      <c r="A1240" s="1126" t="s">
        <v>1822</v>
      </c>
      <c r="B1240" s="1127">
        <v>64</v>
      </c>
      <c r="C1240" s="1128">
        <v>0</v>
      </c>
      <c r="D1240" s="1128">
        <v>5.97</v>
      </c>
      <c r="E1240" s="1126"/>
    </row>
    <row r="1241" spans="1:5" x14ac:dyDescent="0.2">
      <c r="A1241" s="1126" t="s">
        <v>1823</v>
      </c>
      <c r="B1241" s="1127">
        <v>333</v>
      </c>
      <c r="C1241" s="1128">
        <v>0</v>
      </c>
      <c r="D1241" s="1128">
        <v>117</v>
      </c>
      <c r="E1241" s="1126"/>
    </row>
    <row r="1242" spans="1:5" x14ac:dyDescent="0.2">
      <c r="A1242" s="1126" t="s">
        <v>1824</v>
      </c>
      <c r="B1242" s="1127">
        <v>167</v>
      </c>
      <c r="C1242" s="1128">
        <v>0</v>
      </c>
      <c r="D1242" s="1128">
        <v>26.16</v>
      </c>
      <c r="E1242" s="1126"/>
    </row>
    <row r="1243" spans="1:5" x14ac:dyDescent="0.2">
      <c r="A1243" s="1126" t="s">
        <v>1825</v>
      </c>
      <c r="B1243" s="1127">
        <v>200</v>
      </c>
      <c r="C1243" s="1128">
        <v>0</v>
      </c>
      <c r="D1243" s="1128">
        <v>15.74</v>
      </c>
      <c r="E1243" s="1126"/>
    </row>
    <row r="1244" spans="1:5" x14ac:dyDescent="0.2">
      <c r="A1244" s="1126" t="s">
        <v>1826</v>
      </c>
      <c r="B1244" s="1127">
        <v>310</v>
      </c>
      <c r="C1244" s="1128">
        <v>0</v>
      </c>
      <c r="D1244" s="1128">
        <v>100.22</v>
      </c>
      <c r="E1244" s="1126"/>
    </row>
    <row r="1245" spans="1:5" x14ac:dyDescent="0.2">
      <c r="A1245" s="1126" t="s">
        <v>1827</v>
      </c>
      <c r="B1245" s="1127">
        <v>85</v>
      </c>
      <c r="C1245" s="1128">
        <v>0</v>
      </c>
      <c r="D1245" s="1128">
        <v>5.6</v>
      </c>
      <c r="E1245" s="1126"/>
    </row>
    <row r="1246" spans="1:5" x14ac:dyDescent="0.2">
      <c r="A1246" s="1126" t="s">
        <v>1828</v>
      </c>
      <c r="B1246" s="1127">
        <v>713</v>
      </c>
      <c r="C1246" s="1128">
        <v>0</v>
      </c>
      <c r="D1246" s="1128">
        <v>355.69</v>
      </c>
      <c r="E1246" s="1126"/>
    </row>
    <row r="1247" spans="1:5" x14ac:dyDescent="0.2">
      <c r="A1247" s="1126" t="s">
        <v>1829</v>
      </c>
      <c r="B1247" s="1127">
        <v>176</v>
      </c>
      <c r="C1247" s="1128">
        <v>16.22</v>
      </c>
      <c r="D1247" s="1128">
        <v>137.19</v>
      </c>
      <c r="E1247" s="1126"/>
    </row>
    <row r="1248" spans="1:5" x14ac:dyDescent="0.2">
      <c r="A1248" s="1126" t="s">
        <v>1830</v>
      </c>
      <c r="B1248" s="1127">
        <v>215</v>
      </c>
      <c r="C1248" s="1128">
        <v>0</v>
      </c>
      <c r="D1248" s="1128">
        <v>117.46</v>
      </c>
      <c r="E1248" s="1126"/>
    </row>
    <row r="1249" spans="1:5" x14ac:dyDescent="0.2">
      <c r="A1249" s="1126" t="s">
        <v>1831</v>
      </c>
      <c r="B1249" s="1127">
        <v>440</v>
      </c>
      <c r="C1249" s="1128">
        <v>0</v>
      </c>
      <c r="D1249" s="1128">
        <v>217.18</v>
      </c>
      <c r="E1249" s="1126"/>
    </row>
    <row r="1250" spans="1:5" x14ac:dyDescent="0.2">
      <c r="A1250" s="1126" t="s">
        <v>1832</v>
      </c>
      <c r="B1250" s="1127">
        <v>182</v>
      </c>
      <c r="C1250" s="1128">
        <v>0</v>
      </c>
      <c r="D1250" s="1128">
        <v>123.07</v>
      </c>
      <c r="E1250" s="1126"/>
    </row>
    <row r="1251" spans="1:5" x14ac:dyDescent="0.2">
      <c r="A1251" s="1126" t="s">
        <v>1833</v>
      </c>
      <c r="B1251" s="1127">
        <v>105</v>
      </c>
      <c r="C1251" s="1128">
        <v>0</v>
      </c>
      <c r="D1251" s="1128">
        <v>40.630000000000003</v>
      </c>
      <c r="E1251" s="1126"/>
    </row>
    <row r="1252" spans="1:5" x14ac:dyDescent="0.2">
      <c r="A1252" s="1126" t="s">
        <v>1834</v>
      </c>
      <c r="B1252" s="1127">
        <v>100</v>
      </c>
      <c r="C1252" s="1128">
        <v>0</v>
      </c>
      <c r="D1252" s="1128">
        <v>21.32</v>
      </c>
      <c r="E1252" s="1126"/>
    </row>
    <row r="1253" spans="1:5" x14ac:dyDescent="0.2">
      <c r="A1253" s="1126" t="s">
        <v>1835</v>
      </c>
      <c r="B1253" s="1127">
        <v>225</v>
      </c>
      <c r="C1253" s="1128">
        <v>552.19000000000005</v>
      </c>
      <c r="D1253" s="1128">
        <v>706.85</v>
      </c>
      <c r="E1253" s="1126"/>
    </row>
    <row r="1254" spans="1:5" x14ac:dyDescent="0.2">
      <c r="A1254" s="1126" t="s">
        <v>1836</v>
      </c>
      <c r="B1254" s="1127">
        <v>282</v>
      </c>
      <c r="C1254" s="1128">
        <v>0</v>
      </c>
      <c r="D1254" s="1128">
        <v>43.66</v>
      </c>
      <c r="E1254" s="1126"/>
    </row>
    <row r="1255" spans="1:5" x14ac:dyDescent="0.2">
      <c r="A1255" s="1126" t="s">
        <v>1837</v>
      </c>
      <c r="B1255" s="1127">
        <v>237</v>
      </c>
      <c r="C1255" s="1128">
        <v>0</v>
      </c>
      <c r="D1255" s="1128">
        <v>45.03</v>
      </c>
      <c r="E1255" s="1126"/>
    </row>
    <row r="1256" spans="1:5" x14ac:dyDescent="0.2">
      <c r="A1256" s="1126" t="s">
        <v>1838</v>
      </c>
      <c r="B1256" s="1127">
        <v>156</v>
      </c>
      <c r="C1256" s="1128">
        <v>148.79</v>
      </c>
      <c r="D1256" s="1128">
        <v>256.02</v>
      </c>
      <c r="E1256" s="1126"/>
    </row>
    <row r="1257" spans="1:5" x14ac:dyDescent="0.2">
      <c r="A1257" s="1126" t="s">
        <v>1839</v>
      </c>
      <c r="B1257" s="1127">
        <v>131</v>
      </c>
      <c r="C1257" s="1128">
        <v>13.59</v>
      </c>
      <c r="D1257" s="1128">
        <v>103.64</v>
      </c>
      <c r="E1257" s="1126"/>
    </row>
    <row r="1258" spans="1:5" x14ac:dyDescent="0.2">
      <c r="A1258" s="1126" t="s">
        <v>1840</v>
      </c>
      <c r="B1258" s="1127">
        <v>339</v>
      </c>
      <c r="C1258" s="1128">
        <v>0</v>
      </c>
      <c r="D1258" s="1128">
        <v>122.93</v>
      </c>
      <c r="E1258" s="1126"/>
    </row>
    <row r="1259" spans="1:5" x14ac:dyDescent="0.2">
      <c r="A1259" s="1126" t="s">
        <v>1841</v>
      </c>
      <c r="B1259" s="1127">
        <v>173</v>
      </c>
      <c r="C1259" s="1128">
        <v>9.9600000000000009</v>
      </c>
      <c r="D1259" s="1128">
        <v>128.88</v>
      </c>
      <c r="E1259" s="1126"/>
    </row>
    <row r="1260" spans="1:5" x14ac:dyDescent="0.2">
      <c r="A1260" s="1126" t="s">
        <v>1842</v>
      </c>
      <c r="B1260" s="1127">
        <v>105</v>
      </c>
      <c r="C1260" s="1128">
        <v>52.67</v>
      </c>
      <c r="D1260" s="1128">
        <v>124.84</v>
      </c>
      <c r="E1260" s="1126"/>
    </row>
    <row r="1261" spans="1:5" x14ac:dyDescent="0.2">
      <c r="A1261" s="1126" t="s">
        <v>1843</v>
      </c>
      <c r="B1261" s="1127">
        <v>306</v>
      </c>
      <c r="C1261" s="1128">
        <v>19.45</v>
      </c>
      <c r="D1261" s="1128">
        <v>229.78</v>
      </c>
      <c r="E1261" s="1126"/>
    </row>
    <row r="1262" spans="1:5" x14ac:dyDescent="0.2">
      <c r="A1262" s="1126" t="s">
        <v>1844</v>
      </c>
      <c r="B1262" s="1127">
        <v>133</v>
      </c>
      <c r="C1262" s="1128">
        <v>0</v>
      </c>
      <c r="D1262" s="1128">
        <v>19.54</v>
      </c>
      <c r="E1262" s="1126"/>
    </row>
    <row r="1263" spans="1:5" x14ac:dyDescent="0.2">
      <c r="A1263" s="1126" t="s">
        <v>1845</v>
      </c>
      <c r="B1263" s="1127">
        <v>175</v>
      </c>
      <c r="C1263" s="1128">
        <v>82.76</v>
      </c>
      <c r="D1263" s="1128">
        <v>203.05</v>
      </c>
      <c r="E1263" s="1126"/>
    </row>
    <row r="1264" spans="1:5" x14ac:dyDescent="0.2">
      <c r="A1264" s="1126" t="s">
        <v>1846</v>
      </c>
      <c r="B1264" s="1127">
        <v>287</v>
      </c>
      <c r="C1264" s="1128">
        <v>0</v>
      </c>
      <c r="D1264" s="1128">
        <v>72</v>
      </c>
      <c r="E1264" s="1126"/>
    </row>
    <row r="1265" spans="1:5" x14ac:dyDescent="0.2">
      <c r="A1265" s="1126" t="s">
        <v>1847</v>
      </c>
      <c r="B1265" s="1127">
        <v>397</v>
      </c>
      <c r="C1265" s="1128">
        <v>0</v>
      </c>
      <c r="D1265" s="1128">
        <v>137.58000000000001</v>
      </c>
      <c r="E1265" s="1126"/>
    </row>
    <row r="1266" spans="1:5" x14ac:dyDescent="0.2">
      <c r="A1266" s="1126" t="s">
        <v>1848</v>
      </c>
      <c r="B1266" s="1127">
        <v>257</v>
      </c>
      <c r="C1266" s="1128">
        <v>0</v>
      </c>
      <c r="D1266" s="1128">
        <v>118.41</v>
      </c>
      <c r="E1266" s="1126"/>
    </row>
    <row r="1267" spans="1:5" x14ac:dyDescent="0.2">
      <c r="A1267" s="1126" t="s">
        <v>1849</v>
      </c>
      <c r="B1267" s="1127">
        <v>56</v>
      </c>
      <c r="C1267" s="1128">
        <v>1.53</v>
      </c>
      <c r="D1267" s="1128">
        <v>40.020000000000003</v>
      </c>
      <c r="E1267" s="1126"/>
    </row>
    <row r="1268" spans="1:5" x14ac:dyDescent="0.2">
      <c r="A1268" s="1126" t="s">
        <v>1850</v>
      </c>
      <c r="B1268" s="1127">
        <v>219</v>
      </c>
      <c r="C1268" s="1128">
        <v>0</v>
      </c>
      <c r="D1268" s="1128">
        <v>64.84</v>
      </c>
      <c r="E1268" s="1126"/>
    </row>
    <row r="1269" spans="1:5" x14ac:dyDescent="0.2">
      <c r="A1269" s="1126" t="s">
        <v>1851</v>
      </c>
      <c r="B1269" s="1127">
        <v>163</v>
      </c>
      <c r="C1269" s="1128">
        <v>0</v>
      </c>
      <c r="D1269" s="1128">
        <v>68.150000000000006</v>
      </c>
      <c r="E1269" s="1126"/>
    </row>
    <row r="1270" spans="1:5" x14ac:dyDescent="0.2">
      <c r="A1270" s="1126" t="s">
        <v>1852</v>
      </c>
      <c r="B1270" s="1127">
        <v>103</v>
      </c>
      <c r="C1270" s="1128">
        <v>0</v>
      </c>
      <c r="D1270" s="1128">
        <v>37.32</v>
      </c>
      <c r="E1270" s="1126"/>
    </row>
    <row r="1271" spans="1:5" x14ac:dyDescent="0.2">
      <c r="A1271" s="1126" t="s">
        <v>1853</v>
      </c>
      <c r="B1271" s="1127">
        <v>186</v>
      </c>
      <c r="C1271" s="1128">
        <v>0</v>
      </c>
      <c r="D1271" s="1128">
        <v>70.8</v>
      </c>
      <c r="E1271" s="1126"/>
    </row>
    <row r="1272" spans="1:5" x14ac:dyDescent="0.2">
      <c r="A1272" s="1126" t="s">
        <v>1854</v>
      </c>
      <c r="B1272" s="1127">
        <v>616</v>
      </c>
      <c r="C1272" s="1128">
        <v>0</v>
      </c>
      <c r="D1272" s="1128">
        <v>381.39</v>
      </c>
      <c r="E1272" s="1126"/>
    </row>
    <row r="1273" spans="1:5" x14ac:dyDescent="0.2">
      <c r="A1273" s="1126" t="s">
        <v>1855</v>
      </c>
      <c r="B1273" s="1127">
        <v>226</v>
      </c>
      <c r="C1273" s="1128">
        <v>0</v>
      </c>
      <c r="D1273" s="1128">
        <v>120.46</v>
      </c>
      <c r="E1273" s="1126"/>
    </row>
    <row r="1274" spans="1:5" x14ac:dyDescent="0.2">
      <c r="A1274" s="1126" t="s">
        <v>1856</v>
      </c>
      <c r="B1274" s="1127">
        <v>62</v>
      </c>
      <c r="C1274" s="1128">
        <v>0</v>
      </c>
      <c r="D1274" s="1128">
        <v>37.479999999999997</v>
      </c>
      <c r="E1274" s="1126"/>
    </row>
    <row r="1275" spans="1:5" x14ac:dyDescent="0.2">
      <c r="A1275" s="1126" t="s">
        <v>1857</v>
      </c>
      <c r="B1275" s="1127">
        <v>423</v>
      </c>
      <c r="C1275" s="1128">
        <v>0</v>
      </c>
      <c r="D1275" s="1128">
        <v>171.4</v>
      </c>
      <c r="E1275" s="1126"/>
    </row>
    <row r="1276" spans="1:5" x14ac:dyDescent="0.2">
      <c r="A1276" s="1126" t="s">
        <v>1858</v>
      </c>
      <c r="B1276" s="1127">
        <v>516</v>
      </c>
      <c r="C1276" s="1128">
        <v>0</v>
      </c>
      <c r="D1276" s="1128">
        <v>161.86000000000001</v>
      </c>
      <c r="E1276" s="1126"/>
    </row>
    <row r="1277" spans="1:5" x14ac:dyDescent="0.2">
      <c r="A1277" s="1126" t="s">
        <v>1859</v>
      </c>
      <c r="B1277" s="1127">
        <v>152</v>
      </c>
      <c r="C1277" s="1128">
        <v>238.65</v>
      </c>
      <c r="D1277" s="1128">
        <v>343.13</v>
      </c>
      <c r="E1277" s="1126"/>
    </row>
    <row r="1278" spans="1:5" x14ac:dyDescent="0.2">
      <c r="A1278" s="1126" t="s">
        <v>1860</v>
      </c>
      <c r="B1278" s="1127">
        <v>103</v>
      </c>
      <c r="C1278" s="1128">
        <v>0</v>
      </c>
      <c r="D1278" s="1128">
        <v>35.9</v>
      </c>
      <c r="E1278" s="1126"/>
    </row>
    <row r="1279" spans="1:5" x14ac:dyDescent="0.2">
      <c r="A1279" s="1126" t="s">
        <v>1861</v>
      </c>
      <c r="B1279" s="1127">
        <v>282</v>
      </c>
      <c r="C1279" s="1128">
        <v>0</v>
      </c>
      <c r="D1279" s="1128">
        <v>125.83</v>
      </c>
      <c r="E1279" s="1126"/>
    </row>
    <row r="1280" spans="1:5" x14ac:dyDescent="0.2">
      <c r="A1280" s="1126" t="s">
        <v>1862</v>
      </c>
      <c r="B1280" s="1127">
        <v>81</v>
      </c>
      <c r="C1280" s="1128">
        <v>40.99</v>
      </c>
      <c r="D1280" s="1128">
        <v>96.66</v>
      </c>
      <c r="E1280" s="1126"/>
    </row>
    <row r="1281" spans="1:5" x14ac:dyDescent="0.2">
      <c r="A1281" s="1126" t="s">
        <v>1863</v>
      </c>
      <c r="B1281" s="1127">
        <v>64</v>
      </c>
      <c r="C1281" s="1128">
        <v>54.54</v>
      </c>
      <c r="D1281" s="1128">
        <v>98.53</v>
      </c>
      <c r="E1281" s="1126"/>
    </row>
    <row r="1282" spans="1:5" x14ac:dyDescent="0.2">
      <c r="A1282" s="1126" t="s">
        <v>1864</v>
      </c>
      <c r="B1282" s="1127">
        <v>199</v>
      </c>
      <c r="C1282" s="1128">
        <v>0</v>
      </c>
      <c r="D1282" s="1128">
        <v>112.3</v>
      </c>
      <c r="E1282" s="1126"/>
    </row>
    <row r="1283" spans="1:5" x14ac:dyDescent="0.2">
      <c r="A1283" s="1126" t="s">
        <v>1865</v>
      </c>
      <c r="B1283" s="1127">
        <v>312</v>
      </c>
      <c r="C1283" s="1128">
        <v>0</v>
      </c>
      <c r="D1283" s="1128">
        <v>160.62</v>
      </c>
      <c r="E1283" s="1126"/>
    </row>
    <row r="1284" spans="1:5" x14ac:dyDescent="0.2">
      <c r="A1284" s="1126" t="s">
        <v>1866</v>
      </c>
      <c r="B1284" s="1127">
        <v>235</v>
      </c>
      <c r="C1284" s="1128">
        <v>0</v>
      </c>
      <c r="D1284" s="1128">
        <v>0</v>
      </c>
      <c r="E1284" s="1126"/>
    </row>
    <row r="1285" spans="1:5" x14ac:dyDescent="0.2">
      <c r="A1285" s="1126" t="s">
        <v>1867</v>
      </c>
      <c r="B1285" s="1127">
        <v>188</v>
      </c>
      <c r="C1285" s="1128">
        <v>0</v>
      </c>
      <c r="D1285" s="1128">
        <v>87.58</v>
      </c>
      <c r="E1285" s="1126"/>
    </row>
    <row r="1286" spans="1:5" x14ac:dyDescent="0.2">
      <c r="A1286" s="1126" t="s">
        <v>1868</v>
      </c>
      <c r="B1286" s="1127">
        <v>70</v>
      </c>
      <c r="C1286" s="1128">
        <v>0</v>
      </c>
      <c r="D1286" s="1128">
        <v>18.05</v>
      </c>
      <c r="E1286" s="1126"/>
    </row>
    <row r="1287" spans="1:5" x14ac:dyDescent="0.2">
      <c r="A1287" s="1126" t="s">
        <v>1869</v>
      </c>
      <c r="B1287" s="1127">
        <v>239</v>
      </c>
      <c r="C1287" s="1128">
        <v>0</v>
      </c>
      <c r="D1287" s="1128">
        <v>5.73</v>
      </c>
      <c r="E1287" s="1126"/>
    </row>
    <row r="1288" spans="1:5" x14ac:dyDescent="0.2">
      <c r="A1288" s="1126" t="s">
        <v>1870</v>
      </c>
      <c r="B1288" s="1127">
        <v>236</v>
      </c>
      <c r="C1288" s="1128">
        <v>0</v>
      </c>
      <c r="D1288" s="1128">
        <v>158.66999999999999</v>
      </c>
      <c r="E1288" s="1126"/>
    </row>
    <row r="1289" spans="1:5" x14ac:dyDescent="0.2">
      <c r="A1289" s="1126" t="s">
        <v>1871</v>
      </c>
      <c r="B1289" s="1127">
        <v>107</v>
      </c>
      <c r="C1289" s="1128">
        <v>0</v>
      </c>
      <c r="D1289" s="1128">
        <v>14.06</v>
      </c>
      <c r="E1289" s="1126"/>
    </row>
    <row r="1290" spans="1:5" x14ac:dyDescent="0.2">
      <c r="A1290" s="1126" t="s">
        <v>1872</v>
      </c>
      <c r="B1290" s="1127">
        <v>246</v>
      </c>
      <c r="C1290" s="1128">
        <v>151.02000000000001</v>
      </c>
      <c r="D1290" s="1128">
        <v>320.11</v>
      </c>
      <c r="E1290" s="1126"/>
    </row>
    <row r="1291" spans="1:5" x14ac:dyDescent="0.2">
      <c r="A1291" s="1126" t="s">
        <v>1873</v>
      </c>
      <c r="B1291" s="1127">
        <v>331</v>
      </c>
      <c r="C1291" s="1128">
        <v>0</v>
      </c>
      <c r="D1291" s="1128">
        <v>4.8499999999999996</v>
      </c>
      <c r="E1291" s="1126"/>
    </row>
    <row r="1292" spans="1:5" x14ac:dyDescent="0.2">
      <c r="A1292" s="1126" t="s">
        <v>1874</v>
      </c>
      <c r="B1292" s="1127">
        <v>43</v>
      </c>
      <c r="C1292" s="1128">
        <v>32.590000000000003</v>
      </c>
      <c r="D1292" s="1128">
        <v>62.15</v>
      </c>
      <c r="E1292" s="1126"/>
    </row>
    <row r="1293" spans="1:5" x14ac:dyDescent="0.2">
      <c r="A1293" s="1126" t="s">
        <v>1875</v>
      </c>
      <c r="B1293" s="1127">
        <v>128</v>
      </c>
      <c r="C1293" s="1128">
        <v>0</v>
      </c>
      <c r="D1293" s="1128">
        <v>44</v>
      </c>
      <c r="E1293" s="1126"/>
    </row>
    <row r="1294" spans="1:5" x14ac:dyDescent="0.2">
      <c r="A1294" s="1126" t="s">
        <v>1876</v>
      </c>
      <c r="B1294" s="1127">
        <v>172</v>
      </c>
      <c r="C1294" s="1128">
        <v>0</v>
      </c>
      <c r="D1294" s="1128">
        <v>4.4400000000000004</v>
      </c>
      <c r="E1294" s="1126"/>
    </row>
    <row r="1295" spans="1:5" x14ac:dyDescent="0.2">
      <c r="A1295" s="1126" t="s">
        <v>1877</v>
      </c>
      <c r="B1295" s="1127">
        <v>502</v>
      </c>
      <c r="C1295" s="1128">
        <v>0</v>
      </c>
      <c r="D1295" s="1128">
        <v>141.11000000000001</v>
      </c>
      <c r="E1295" s="1126"/>
    </row>
    <row r="1296" spans="1:5" x14ac:dyDescent="0.2">
      <c r="A1296" s="1126" t="s">
        <v>1878</v>
      </c>
      <c r="B1296" s="1127">
        <v>152</v>
      </c>
      <c r="C1296" s="1128">
        <v>83.28</v>
      </c>
      <c r="D1296" s="1128">
        <v>187.76</v>
      </c>
      <c r="E1296" s="1126"/>
    </row>
    <row r="1297" spans="1:5" x14ac:dyDescent="0.2">
      <c r="A1297" s="1126" t="s">
        <v>1879</v>
      </c>
      <c r="B1297" s="1127">
        <v>349</v>
      </c>
      <c r="C1297" s="1128">
        <v>15.02</v>
      </c>
      <c r="D1297" s="1128">
        <v>254.91</v>
      </c>
      <c r="E1297" s="1126"/>
    </row>
    <row r="1298" spans="1:5" x14ac:dyDescent="0.2">
      <c r="A1298" s="1126" t="s">
        <v>1880</v>
      </c>
      <c r="B1298" s="1127">
        <v>250</v>
      </c>
      <c r="C1298" s="1128">
        <v>0</v>
      </c>
      <c r="D1298" s="1128">
        <v>96.9</v>
      </c>
      <c r="E1298" s="1126"/>
    </row>
    <row r="1299" spans="1:5" x14ac:dyDescent="0.2">
      <c r="A1299" s="1126" t="s">
        <v>1881</v>
      </c>
      <c r="B1299" s="1127">
        <v>191</v>
      </c>
      <c r="C1299" s="1128">
        <v>0</v>
      </c>
      <c r="D1299" s="1128">
        <v>33.04</v>
      </c>
      <c r="E1299" s="1126"/>
    </row>
    <row r="1300" spans="1:5" x14ac:dyDescent="0.2">
      <c r="A1300" s="1126" t="s">
        <v>1882</v>
      </c>
      <c r="B1300" s="1127">
        <v>257</v>
      </c>
      <c r="C1300" s="1128">
        <v>0</v>
      </c>
      <c r="D1300" s="1128">
        <v>112.12</v>
      </c>
      <c r="E1300" s="1126"/>
    </row>
    <row r="1301" spans="1:5" x14ac:dyDescent="0.2">
      <c r="A1301" s="1126" t="s">
        <v>1883</v>
      </c>
      <c r="B1301" s="1127">
        <v>327</v>
      </c>
      <c r="C1301" s="1128">
        <v>54.1</v>
      </c>
      <c r="D1301" s="1128">
        <v>278.86</v>
      </c>
      <c r="E1301" s="1126"/>
    </row>
    <row r="1302" spans="1:5" x14ac:dyDescent="0.2">
      <c r="A1302" s="1126" t="s">
        <v>1884</v>
      </c>
      <c r="B1302" s="1127">
        <v>262</v>
      </c>
      <c r="C1302" s="1128">
        <v>0</v>
      </c>
      <c r="D1302" s="1128">
        <v>133.74</v>
      </c>
      <c r="E1302" s="1126"/>
    </row>
    <row r="1303" spans="1:5" x14ac:dyDescent="0.2">
      <c r="A1303" s="1126" t="s">
        <v>1885</v>
      </c>
      <c r="B1303" s="1127">
        <v>171</v>
      </c>
      <c r="C1303" s="1128">
        <v>264.39999999999998</v>
      </c>
      <c r="D1303" s="1128">
        <v>381.94</v>
      </c>
      <c r="E1303" s="1126"/>
    </row>
    <row r="1304" spans="1:5" x14ac:dyDescent="0.2">
      <c r="A1304" s="1126" t="s">
        <v>1886</v>
      </c>
      <c r="B1304" s="1127">
        <v>126</v>
      </c>
      <c r="C1304" s="1128">
        <v>173.47</v>
      </c>
      <c r="D1304" s="1128">
        <v>260.08</v>
      </c>
      <c r="E1304" s="1126"/>
    </row>
    <row r="1305" spans="1:5" x14ac:dyDescent="0.2">
      <c r="A1305" s="1126" t="s">
        <v>1887</v>
      </c>
      <c r="B1305" s="1127">
        <v>371</v>
      </c>
      <c r="C1305" s="1128">
        <v>0</v>
      </c>
      <c r="D1305" s="1128">
        <v>253.44</v>
      </c>
      <c r="E1305" s="1126"/>
    </row>
    <row r="1306" spans="1:5" x14ac:dyDescent="0.2">
      <c r="A1306" s="1126" t="s">
        <v>1888</v>
      </c>
      <c r="B1306" s="1127">
        <v>198</v>
      </c>
      <c r="C1306" s="1128">
        <v>0</v>
      </c>
      <c r="D1306" s="1128">
        <v>90.37</v>
      </c>
      <c r="E1306" s="1126"/>
    </row>
    <row r="1307" spans="1:5" x14ac:dyDescent="0.2">
      <c r="A1307" s="1126" t="s">
        <v>1889</v>
      </c>
      <c r="B1307" s="1127">
        <v>119</v>
      </c>
      <c r="C1307" s="1128">
        <v>0</v>
      </c>
      <c r="D1307" s="1128">
        <v>26.46</v>
      </c>
      <c r="E1307" s="1126"/>
    </row>
    <row r="1308" spans="1:5" x14ac:dyDescent="0.2">
      <c r="A1308" s="1126" t="s">
        <v>1890</v>
      </c>
      <c r="B1308" s="1127">
        <v>163</v>
      </c>
      <c r="C1308" s="1128">
        <v>0</v>
      </c>
      <c r="D1308" s="1128">
        <v>38.86</v>
      </c>
      <c r="E1308" s="1126"/>
    </row>
    <row r="1309" spans="1:5" x14ac:dyDescent="0.2">
      <c r="A1309" s="1126" t="s">
        <v>1891</v>
      </c>
      <c r="B1309" s="1127">
        <v>299</v>
      </c>
      <c r="C1309" s="1128">
        <v>546.13</v>
      </c>
      <c r="D1309" s="1128">
        <v>751.65</v>
      </c>
      <c r="E1309" s="1126"/>
    </row>
    <row r="1310" spans="1:5" x14ac:dyDescent="0.2">
      <c r="A1310" s="1126" t="s">
        <v>1892</v>
      </c>
      <c r="B1310" s="1127">
        <v>157</v>
      </c>
      <c r="C1310" s="1128">
        <v>138.82</v>
      </c>
      <c r="D1310" s="1128">
        <v>246.74</v>
      </c>
      <c r="E1310" s="1126"/>
    </row>
    <row r="1311" spans="1:5" x14ac:dyDescent="0.2">
      <c r="A1311" s="1126" t="s">
        <v>1893</v>
      </c>
      <c r="B1311" s="1127">
        <v>126</v>
      </c>
      <c r="C1311" s="1128">
        <v>0</v>
      </c>
      <c r="D1311" s="1128">
        <v>67.2</v>
      </c>
      <c r="E1311" s="1126"/>
    </row>
    <row r="1312" spans="1:5" x14ac:dyDescent="0.2">
      <c r="A1312" s="1126" t="s">
        <v>1894</v>
      </c>
      <c r="B1312" s="1127">
        <v>85</v>
      </c>
      <c r="C1312" s="1128">
        <v>0</v>
      </c>
      <c r="D1312" s="1128">
        <v>15.99</v>
      </c>
      <c r="E1312" s="1126"/>
    </row>
    <row r="1313" spans="1:5" x14ac:dyDescent="0.2">
      <c r="A1313" s="1126" t="s">
        <v>1895</v>
      </c>
      <c r="B1313" s="1127">
        <v>358</v>
      </c>
      <c r="C1313" s="1128">
        <v>0</v>
      </c>
      <c r="D1313" s="1128">
        <v>101.16</v>
      </c>
      <c r="E1313" s="1126"/>
    </row>
    <row r="1314" spans="1:5" x14ac:dyDescent="0.2">
      <c r="A1314" s="1126" t="s">
        <v>1896</v>
      </c>
      <c r="B1314" s="1127">
        <v>151</v>
      </c>
      <c r="C1314" s="1128">
        <v>0</v>
      </c>
      <c r="D1314" s="1128">
        <v>67.599999999999994</v>
      </c>
      <c r="E1314" s="1126"/>
    </row>
    <row r="1315" spans="1:5" x14ac:dyDescent="0.2">
      <c r="A1315" s="1126" t="s">
        <v>1897</v>
      </c>
      <c r="B1315" s="1127">
        <v>198</v>
      </c>
      <c r="C1315" s="1128">
        <v>19.54</v>
      </c>
      <c r="D1315" s="1128">
        <v>155.63999999999999</v>
      </c>
      <c r="E1315" s="1126"/>
    </row>
    <row r="1316" spans="1:5" x14ac:dyDescent="0.2">
      <c r="A1316" s="1126" t="s">
        <v>1898</v>
      </c>
      <c r="B1316" s="1127">
        <v>173</v>
      </c>
      <c r="C1316" s="1128">
        <v>0</v>
      </c>
      <c r="D1316" s="1128">
        <v>48.16</v>
      </c>
      <c r="E1316" s="1126"/>
    </row>
    <row r="1317" spans="1:5" x14ac:dyDescent="0.2">
      <c r="A1317" s="1126" t="s">
        <v>1899</v>
      </c>
      <c r="B1317" s="1127">
        <v>98</v>
      </c>
      <c r="C1317" s="1128">
        <v>0</v>
      </c>
      <c r="D1317" s="1128">
        <v>17.440000000000001</v>
      </c>
      <c r="E1317" s="1126"/>
    </row>
    <row r="1318" spans="1:5" x14ac:dyDescent="0.2">
      <c r="A1318" s="1126" t="s">
        <v>1900</v>
      </c>
      <c r="B1318" s="1127">
        <v>150</v>
      </c>
      <c r="C1318" s="1128">
        <v>0</v>
      </c>
      <c r="D1318" s="1128">
        <v>33.61</v>
      </c>
      <c r="E1318" s="1126"/>
    </row>
    <row r="1319" spans="1:5" x14ac:dyDescent="0.2">
      <c r="A1319" s="1126" t="s">
        <v>1901</v>
      </c>
      <c r="B1319" s="1127">
        <v>241</v>
      </c>
      <c r="C1319" s="1128">
        <v>0</v>
      </c>
      <c r="D1319" s="1128">
        <v>66.12</v>
      </c>
      <c r="E1319" s="1126"/>
    </row>
    <row r="1320" spans="1:5" x14ac:dyDescent="0.2">
      <c r="A1320" s="1126" t="s">
        <v>1902</v>
      </c>
      <c r="B1320" s="1127">
        <v>68</v>
      </c>
      <c r="C1320" s="1128">
        <v>270.45</v>
      </c>
      <c r="D1320" s="1128">
        <v>317.19</v>
      </c>
      <c r="E1320" s="1126"/>
    </row>
    <row r="1321" spans="1:5" x14ac:dyDescent="0.2">
      <c r="A1321" s="1126" t="s">
        <v>1903</v>
      </c>
      <c r="B1321" s="1127">
        <v>720</v>
      </c>
      <c r="C1321" s="1128">
        <v>0</v>
      </c>
      <c r="D1321" s="1128">
        <v>111.85</v>
      </c>
      <c r="E1321" s="1126"/>
    </row>
    <row r="1322" spans="1:5" x14ac:dyDescent="0.2">
      <c r="A1322" s="1126" t="s">
        <v>1904</v>
      </c>
      <c r="B1322" s="1127">
        <v>601</v>
      </c>
      <c r="C1322" s="1128">
        <v>0</v>
      </c>
      <c r="D1322" s="1128">
        <v>246.3</v>
      </c>
      <c r="E1322" s="1126"/>
    </row>
    <row r="1323" spans="1:5" x14ac:dyDescent="0.2">
      <c r="A1323" s="1126" t="s">
        <v>1905</v>
      </c>
      <c r="B1323" s="1127">
        <v>185</v>
      </c>
      <c r="C1323" s="1128">
        <v>0</v>
      </c>
      <c r="D1323" s="1128">
        <v>60.92</v>
      </c>
      <c r="E1323" s="1126"/>
    </row>
    <row r="1324" spans="1:5" x14ac:dyDescent="0.2">
      <c r="A1324" s="1126" t="s">
        <v>1906</v>
      </c>
      <c r="B1324" s="1127">
        <v>226</v>
      </c>
      <c r="C1324" s="1128">
        <v>463.55</v>
      </c>
      <c r="D1324" s="1128">
        <v>618.89</v>
      </c>
      <c r="E1324" s="1126"/>
    </row>
    <row r="1325" spans="1:5" x14ac:dyDescent="0.2">
      <c r="A1325" s="1126" t="s">
        <v>1907</v>
      </c>
      <c r="B1325" s="1127">
        <v>93</v>
      </c>
      <c r="C1325" s="1128">
        <v>0</v>
      </c>
      <c r="D1325" s="1128">
        <v>12.36</v>
      </c>
      <c r="E1325" s="1126"/>
    </row>
    <row r="1326" spans="1:5" x14ac:dyDescent="0.2">
      <c r="A1326" s="1126" t="s">
        <v>1908</v>
      </c>
      <c r="B1326" s="1127">
        <v>299</v>
      </c>
      <c r="C1326" s="1128">
        <v>0</v>
      </c>
      <c r="D1326" s="1128">
        <v>85.71</v>
      </c>
      <c r="E1326" s="1126"/>
    </row>
    <row r="1327" spans="1:5" x14ac:dyDescent="0.2">
      <c r="A1327" s="1126" t="s">
        <v>1909</v>
      </c>
      <c r="B1327" s="1127">
        <v>140</v>
      </c>
      <c r="C1327" s="1128">
        <v>14.87</v>
      </c>
      <c r="D1327" s="1128">
        <v>111.1</v>
      </c>
      <c r="E1327" s="1126"/>
    </row>
    <row r="1328" spans="1:5" x14ac:dyDescent="0.2">
      <c r="A1328" s="1126" t="s">
        <v>1910</v>
      </c>
      <c r="B1328" s="1127">
        <v>58</v>
      </c>
      <c r="C1328" s="1128">
        <v>0</v>
      </c>
      <c r="D1328" s="1128">
        <v>10.78</v>
      </c>
      <c r="E1328" s="1126"/>
    </row>
    <row r="1329" spans="1:5" x14ac:dyDescent="0.2">
      <c r="A1329" s="1126" t="s">
        <v>1911</v>
      </c>
      <c r="B1329" s="1127">
        <v>75</v>
      </c>
      <c r="C1329" s="1128">
        <v>0</v>
      </c>
      <c r="D1329" s="1128">
        <v>32.840000000000003</v>
      </c>
      <c r="E1329" s="1126"/>
    </row>
    <row r="1330" spans="1:5" x14ac:dyDescent="0.2">
      <c r="A1330" s="1126" t="s">
        <v>1912</v>
      </c>
      <c r="B1330" s="1127">
        <v>75</v>
      </c>
      <c r="C1330" s="1128">
        <v>56.2</v>
      </c>
      <c r="D1330" s="1128">
        <v>107.75</v>
      </c>
      <c r="E1330" s="1126"/>
    </row>
    <row r="1331" spans="1:5" x14ac:dyDescent="0.2">
      <c r="A1331" s="1126" t="s">
        <v>1913</v>
      </c>
      <c r="B1331" s="1127">
        <v>169</v>
      </c>
      <c r="C1331" s="1128">
        <v>0</v>
      </c>
      <c r="D1331" s="1128">
        <v>56.31</v>
      </c>
      <c r="E1331" s="1126"/>
    </row>
    <row r="1332" spans="1:5" x14ac:dyDescent="0.2">
      <c r="A1332" s="1126" t="s">
        <v>1914</v>
      </c>
      <c r="B1332" s="1127">
        <v>115</v>
      </c>
      <c r="C1332" s="1128">
        <v>0</v>
      </c>
      <c r="D1332" s="1128">
        <v>31.97</v>
      </c>
      <c r="E1332" s="1126"/>
    </row>
    <row r="1333" spans="1:5" x14ac:dyDescent="0.2">
      <c r="A1333" s="1126" t="s">
        <v>1915</v>
      </c>
      <c r="B1333" s="1127">
        <v>98</v>
      </c>
      <c r="C1333" s="1128">
        <v>0</v>
      </c>
      <c r="D1333" s="1128">
        <v>51.06</v>
      </c>
      <c r="E1333" s="1126"/>
    </row>
    <row r="1334" spans="1:5" x14ac:dyDescent="0.2">
      <c r="A1334" s="1126" t="s">
        <v>1916</v>
      </c>
      <c r="B1334" s="1127">
        <v>120</v>
      </c>
      <c r="C1334" s="1128">
        <v>0</v>
      </c>
      <c r="D1334" s="1128">
        <v>33.26</v>
      </c>
      <c r="E1334" s="1126"/>
    </row>
    <row r="1335" spans="1:5" x14ac:dyDescent="0.2">
      <c r="A1335" s="1126" t="s">
        <v>1917</v>
      </c>
      <c r="B1335" s="1127">
        <v>378</v>
      </c>
      <c r="C1335" s="1128">
        <v>0</v>
      </c>
      <c r="D1335" s="1128">
        <v>153.86000000000001</v>
      </c>
      <c r="E1335" s="1126"/>
    </row>
    <row r="1336" spans="1:5" x14ac:dyDescent="0.2">
      <c r="A1336" s="1126" t="s">
        <v>1918</v>
      </c>
      <c r="B1336" s="1127">
        <v>358</v>
      </c>
      <c r="C1336" s="1128">
        <v>0</v>
      </c>
      <c r="D1336" s="1128">
        <v>110.02</v>
      </c>
      <c r="E1336" s="1126"/>
    </row>
    <row r="1337" spans="1:5" x14ac:dyDescent="0.2">
      <c r="A1337" s="1126" t="s">
        <v>1919</v>
      </c>
      <c r="B1337" s="1127">
        <v>218</v>
      </c>
      <c r="C1337" s="1128">
        <v>231.58</v>
      </c>
      <c r="D1337" s="1128">
        <v>381.43</v>
      </c>
      <c r="E1337" s="1126"/>
    </row>
    <row r="1338" spans="1:5" x14ac:dyDescent="0.2">
      <c r="A1338" s="1126" t="s">
        <v>1920</v>
      </c>
      <c r="B1338" s="1127">
        <v>126</v>
      </c>
      <c r="C1338" s="1128">
        <v>0</v>
      </c>
      <c r="D1338" s="1128">
        <v>21.16</v>
      </c>
      <c r="E1338" s="1126"/>
    </row>
    <row r="1339" spans="1:5" x14ac:dyDescent="0.2">
      <c r="A1339" s="1126" t="s">
        <v>1921</v>
      </c>
      <c r="B1339" s="1127">
        <v>230</v>
      </c>
      <c r="C1339" s="1128">
        <v>0</v>
      </c>
      <c r="D1339" s="1128">
        <v>124.79</v>
      </c>
      <c r="E1339" s="1126"/>
    </row>
    <row r="1340" spans="1:5" x14ac:dyDescent="0.2">
      <c r="A1340" s="1126" t="s">
        <v>1922</v>
      </c>
      <c r="B1340" s="1127">
        <v>110</v>
      </c>
      <c r="C1340" s="1128">
        <v>0</v>
      </c>
      <c r="D1340" s="1128">
        <v>22.91</v>
      </c>
      <c r="E1340" s="1126"/>
    </row>
    <row r="1341" spans="1:5" x14ac:dyDescent="0.2">
      <c r="A1341" s="1126" t="s">
        <v>1923</v>
      </c>
      <c r="B1341" s="1127">
        <v>215</v>
      </c>
      <c r="C1341" s="1128">
        <v>0</v>
      </c>
      <c r="D1341" s="1128">
        <v>13.31</v>
      </c>
      <c r="E1341" s="1126"/>
    </row>
    <row r="1342" spans="1:5" x14ac:dyDescent="0.2">
      <c r="A1342" s="1126" t="s">
        <v>1924</v>
      </c>
      <c r="B1342" s="1127">
        <v>150</v>
      </c>
      <c r="C1342" s="1128">
        <v>0</v>
      </c>
      <c r="D1342" s="1128">
        <v>58.43</v>
      </c>
      <c r="E1342" s="1126"/>
    </row>
    <row r="1343" spans="1:5" x14ac:dyDescent="0.2">
      <c r="A1343" s="1126" t="s">
        <v>1925</v>
      </c>
      <c r="B1343" s="1127">
        <v>678</v>
      </c>
      <c r="C1343" s="1128">
        <v>0</v>
      </c>
      <c r="D1343" s="1128">
        <v>71.239999999999995</v>
      </c>
      <c r="E1343" s="1126"/>
    </row>
    <row r="1344" spans="1:5" x14ac:dyDescent="0.2">
      <c r="A1344" s="1126" t="s">
        <v>1926</v>
      </c>
      <c r="B1344" s="1127">
        <v>219</v>
      </c>
      <c r="C1344" s="1128">
        <v>0</v>
      </c>
      <c r="D1344" s="1128">
        <v>36.159999999999997</v>
      </c>
      <c r="E1344" s="1126"/>
    </row>
    <row r="1345" spans="1:5" x14ac:dyDescent="0.2">
      <c r="A1345" s="1126" t="s">
        <v>1927</v>
      </c>
      <c r="B1345" s="1127">
        <v>161</v>
      </c>
      <c r="C1345" s="1128">
        <v>0</v>
      </c>
      <c r="D1345" s="1128">
        <v>106.9</v>
      </c>
      <c r="E1345" s="1126"/>
    </row>
    <row r="1346" spans="1:5" x14ac:dyDescent="0.2">
      <c r="A1346" s="1126" t="s">
        <v>1928</v>
      </c>
      <c r="B1346" s="1127">
        <v>299</v>
      </c>
      <c r="C1346" s="1128">
        <v>0</v>
      </c>
      <c r="D1346" s="1128">
        <v>65.34</v>
      </c>
      <c r="E1346" s="1126"/>
    </row>
    <row r="1347" spans="1:5" x14ac:dyDescent="0.2">
      <c r="A1347" s="1126" t="s">
        <v>1929</v>
      </c>
      <c r="B1347" s="1127">
        <v>162</v>
      </c>
      <c r="C1347" s="1128">
        <v>0</v>
      </c>
      <c r="D1347" s="1128">
        <v>22.49</v>
      </c>
      <c r="E1347" s="1126"/>
    </row>
    <row r="1348" spans="1:5" x14ac:dyDescent="0.2">
      <c r="A1348" s="1126" t="s">
        <v>1930</v>
      </c>
      <c r="B1348" s="1127">
        <v>208</v>
      </c>
      <c r="C1348" s="1128">
        <v>0</v>
      </c>
      <c r="D1348" s="1128">
        <v>36.44</v>
      </c>
      <c r="E1348" s="1126"/>
    </row>
    <row r="1349" spans="1:5" x14ac:dyDescent="0.2">
      <c r="A1349" s="1126" t="s">
        <v>1931</v>
      </c>
      <c r="B1349" s="1127">
        <v>179</v>
      </c>
      <c r="C1349" s="1128">
        <v>12.9</v>
      </c>
      <c r="D1349" s="1128">
        <v>135.93</v>
      </c>
      <c r="E1349" s="1126"/>
    </row>
    <row r="1350" spans="1:5" x14ac:dyDescent="0.2">
      <c r="A1350" s="1126" t="s">
        <v>1932</v>
      </c>
      <c r="B1350" s="1127">
        <v>207</v>
      </c>
      <c r="C1350" s="1128">
        <v>0</v>
      </c>
      <c r="D1350" s="1128">
        <v>102.72</v>
      </c>
      <c r="E1350" s="1126"/>
    </row>
    <row r="1351" spans="1:5" x14ac:dyDescent="0.2">
      <c r="A1351" s="1126" t="s">
        <v>1933</v>
      </c>
      <c r="B1351" s="1127">
        <v>407</v>
      </c>
      <c r="C1351" s="1128">
        <v>245.04</v>
      </c>
      <c r="D1351" s="1128">
        <v>524.79</v>
      </c>
      <c r="E1351" s="1126"/>
    </row>
    <row r="1352" spans="1:5" x14ac:dyDescent="0.2">
      <c r="A1352" s="1126" t="s">
        <v>1934</v>
      </c>
      <c r="B1352" s="1127">
        <v>88</v>
      </c>
      <c r="C1352" s="1128">
        <v>0</v>
      </c>
      <c r="D1352" s="1128">
        <v>19.440000000000001</v>
      </c>
      <c r="E1352" s="1126"/>
    </row>
    <row r="1353" spans="1:5" x14ac:dyDescent="0.2">
      <c r="A1353" s="1126" t="s">
        <v>1935</v>
      </c>
      <c r="B1353" s="1127">
        <v>46</v>
      </c>
      <c r="C1353" s="1128">
        <v>5.78</v>
      </c>
      <c r="D1353" s="1128">
        <v>37.4</v>
      </c>
      <c r="E1353" s="1126"/>
    </row>
    <row r="1354" spans="1:5" x14ac:dyDescent="0.2">
      <c r="A1354" s="1126" t="s">
        <v>1936</v>
      </c>
      <c r="B1354" s="1127">
        <v>284</v>
      </c>
      <c r="C1354" s="1128">
        <v>0</v>
      </c>
      <c r="D1354" s="1128">
        <v>110.91</v>
      </c>
      <c r="E1354" s="1126"/>
    </row>
    <row r="1355" spans="1:5" x14ac:dyDescent="0.2">
      <c r="A1355" s="1126" t="s">
        <v>1937</v>
      </c>
      <c r="B1355" s="1127">
        <v>79</v>
      </c>
      <c r="C1355" s="1128">
        <v>0</v>
      </c>
      <c r="D1355" s="1128">
        <v>24.13</v>
      </c>
      <c r="E1355" s="1126"/>
    </row>
    <row r="1356" spans="1:5" x14ac:dyDescent="0.2">
      <c r="A1356" s="1126" t="s">
        <v>1938</v>
      </c>
      <c r="B1356" s="1127">
        <v>184</v>
      </c>
      <c r="C1356" s="1128">
        <v>0</v>
      </c>
      <c r="D1356" s="1128">
        <v>15.13</v>
      </c>
      <c r="E1356" s="1126"/>
    </row>
    <row r="1357" spans="1:5" x14ac:dyDescent="0.2">
      <c r="A1357" s="1126" t="s">
        <v>1939</v>
      </c>
      <c r="B1357" s="1127">
        <v>169</v>
      </c>
      <c r="C1357" s="1128">
        <v>0</v>
      </c>
      <c r="D1357" s="1128">
        <v>23.41</v>
      </c>
      <c r="E1357" s="1126"/>
    </row>
    <row r="1358" spans="1:5" x14ac:dyDescent="0.2">
      <c r="A1358" s="1126" t="s">
        <v>1940</v>
      </c>
      <c r="B1358" s="1127">
        <v>67</v>
      </c>
      <c r="C1358" s="1128">
        <v>0</v>
      </c>
      <c r="D1358" s="1128">
        <v>41.12</v>
      </c>
      <c r="E1358" s="1126"/>
    </row>
    <row r="1359" spans="1:5" x14ac:dyDescent="0.2">
      <c r="A1359" s="1126" t="s">
        <v>1941</v>
      </c>
      <c r="B1359" s="1127">
        <v>296</v>
      </c>
      <c r="C1359" s="1128">
        <v>0</v>
      </c>
      <c r="D1359" s="1128">
        <v>111.22</v>
      </c>
      <c r="E1359" s="1126"/>
    </row>
    <row r="1360" spans="1:5" x14ac:dyDescent="0.2">
      <c r="A1360" s="1126" t="s">
        <v>1942</v>
      </c>
      <c r="B1360" s="1127">
        <v>115</v>
      </c>
      <c r="C1360" s="1128">
        <v>0</v>
      </c>
      <c r="D1360" s="1128">
        <v>46.89</v>
      </c>
      <c r="E1360" s="1126"/>
    </row>
    <row r="1361" spans="1:5" x14ac:dyDescent="0.2">
      <c r="A1361" s="1126" t="s">
        <v>1943</v>
      </c>
      <c r="B1361" s="1127">
        <v>212</v>
      </c>
      <c r="C1361" s="1128">
        <v>0</v>
      </c>
      <c r="D1361" s="1128">
        <v>48.65</v>
      </c>
      <c r="E1361" s="1126"/>
    </row>
    <row r="1362" spans="1:5" x14ac:dyDescent="0.2">
      <c r="A1362" s="1126" t="s">
        <v>1944</v>
      </c>
      <c r="B1362" s="1127">
        <v>189</v>
      </c>
      <c r="C1362" s="1128">
        <v>0</v>
      </c>
      <c r="D1362" s="1128">
        <v>0</v>
      </c>
      <c r="E1362" s="1126"/>
    </row>
    <row r="1363" spans="1:5" x14ac:dyDescent="0.2">
      <c r="A1363" s="1126" t="s">
        <v>1945</v>
      </c>
      <c r="B1363" s="1127">
        <v>149</v>
      </c>
      <c r="C1363" s="1128">
        <v>0</v>
      </c>
      <c r="D1363" s="1128">
        <v>77.83</v>
      </c>
      <c r="E1363" s="1126"/>
    </row>
    <row r="1364" spans="1:5" x14ac:dyDescent="0.2">
      <c r="A1364" s="1126" t="s">
        <v>1946</v>
      </c>
      <c r="B1364" s="1127">
        <v>134</v>
      </c>
      <c r="C1364" s="1128">
        <v>0</v>
      </c>
      <c r="D1364" s="1128">
        <v>34.76</v>
      </c>
      <c r="E1364" s="1126"/>
    </row>
    <row r="1365" spans="1:5" x14ac:dyDescent="0.2">
      <c r="A1365" s="1126" t="s">
        <v>1947</v>
      </c>
      <c r="B1365" s="1127">
        <v>304</v>
      </c>
      <c r="C1365" s="1128">
        <v>23.82</v>
      </c>
      <c r="D1365" s="1128">
        <v>232.78</v>
      </c>
      <c r="E1365" s="1126"/>
    </row>
    <row r="1366" spans="1:5" x14ac:dyDescent="0.2">
      <c r="A1366" s="1126" t="s">
        <v>1948</v>
      </c>
      <c r="B1366" s="1127">
        <v>113</v>
      </c>
      <c r="C1366" s="1128">
        <v>0</v>
      </c>
      <c r="D1366" s="1128">
        <v>65.97</v>
      </c>
      <c r="E1366" s="1126"/>
    </row>
    <row r="1367" spans="1:5" x14ac:dyDescent="0.2">
      <c r="A1367" s="1126" t="s">
        <v>1949</v>
      </c>
      <c r="B1367" s="1127">
        <v>168</v>
      </c>
      <c r="C1367" s="1128">
        <v>0</v>
      </c>
      <c r="D1367" s="1128">
        <v>11.72</v>
      </c>
      <c r="E1367" s="1126"/>
    </row>
    <row r="1368" spans="1:5" x14ac:dyDescent="0.2">
      <c r="A1368" s="1126" t="s">
        <v>1950</v>
      </c>
      <c r="B1368" s="1127">
        <v>137</v>
      </c>
      <c r="C1368" s="1128">
        <v>5.24</v>
      </c>
      <c r="D1368" s="1128">
        <v>99.41</v>
      </c>
      <c r="E1368" s="1126"/>
    </row>
    <row r="1369" spans="1:5" x14ac:dyDescent="0.2">
      <c r="A1369" s="1126" t="s">
        <v>1951</v>
      </c>
      <c r="B1369" s="1127">
        <v>85</v>
      </c>
      <c r="C1369" s="1128">
        <v>0</v>
      </c>
      <c r="D1369" s="1128">
        <v>0</v>
      </c>
      <c r="E1369" s="1126"/>
    </row>
    <row r="1370" spans="1:5" x14ac:dyDescent="0.2">
      <c r="A1370" s="1126" t="s">
        <v>1952</v>
      </c>
      <c r="B1370" s="1127">
        <v>154</v>
      </c>
      <c r="C1370" s="1128">
        <v>0</v>
      </c>
      <c r="D1370" s="1128">
        <v>13.13</v>
      </c>
      <c r="E1370" s="1126"/>
    </row>
    <row r="1371" spans="1:5" x14ac:dyDescent="0.2">
      <c r="A1371" s="1126" t="s">
        <v>1953</v>
      </c>
      <c r="B1371" s="1127">
        <v>245</v>
      </c>
      <c r="C1371" s="1128">
        <v>21.13</v>
      </c>
      <c r="D1371" s="1128">
        <v>189.53</v>
      </c>
      <c r="E1371" s="1126"/>
    </row>
    <row r="1372" spans="1:5" x14ac:dyDescent="0.2">
      <c r="A1372" s="1126" t="s">
        <v>1954</v>
      </c>
      <c r="B1372" s="1127">
        <v>97</v>
      </c>
      <c r="C1372" s="1128">
        <v>0</v>
      </c>
      <c r="D1372" s="1128">
        <v>15.95</v>
      </c>
      <c r="E1372" s="1126"/>
    </row>
    <row r="1373" spans="1:5" x14ac:dyDescent="0.2">
      <c r="A1373" s="1126" t="s">
        <v>1955</v>
      </c>
      <c r="B1373" s="1127">
        <v>228</v>
      </c>
      <c r="C1373" s="1128">
        <v>3.23</v>
      </c>
      <c r="D1373" s="1128">
        <v>159.94999999999999</v>
      </c>
      <c r="E1373" s="1126"/>
    </row>
    <row r="1374" spans="1:5" x14ac:dyDescent="0.2">
      <c r="A1374" s="1126" t="s">
        <v>1956</v>
      </c>
      <c r="B1374" s="1127">
        <v>71</v>
      </c>
      <c r="C1374" s="1128">
        <v>75.489999999999995</v>
      </c>
      <c r="D1374" s="1128">
        <v>124.29</v>
      </c>
      <c r="E1374" s="1126"/>
    </row>
    <row r="1375" spans="1:5" x14ac:dyDescent="0.2">
      <c r="A1375" s="1126" t="s">
        <v>1957</v>
      </c>
      <c r="B1375" s="1127">
        <v>54</v>
      </c>
      <c r="C1375" s="1128">
        <v>0</v>
      </c>
      <c r="D1375" s="1128">
        <v>13.62</v>
      </c>
      <c r="E1375" s="1126"/>
    </row>
    <row r="1376" spans="1:5" x14ac:dyDescent="0.2">
      <c r="A1376" s="1126" t="s">
        <v>1958</v>
      </c>
      <c r="B1376" s="1127">
        <v>117</v>
      </c>
      <c r="C1376" s="1128">
        <v>0</v>
      </c>
      <c r="D1376" s="1128">
        <v>76.989999999999995</v>
      </c>
      <c r="E1376" s="1126"/>
    </row>
    <row r="1377" spans="1:5" x14ac:dyDescent="0.2">
      <c r="A1377" s="1126" t="s">
        <v>1959</v>
      </c>
      <c r="B1377" s="1127">
        <v>103</v>
      </c>
      <c r="C1377" s="1128">
        <v>0</v>
      </c>
      <c r="D1377" s="1128">
        <v>9.24</v>
      </c>
      <c r="E1377" s="1126"/>
    </row>
    <row r="1378" spans="1:5" x14ac:dyDescent="0.2">
      <c r="A1378" s="1126" t="s">
        <v>1960</v>
      </c>
      <c r="B1378" s="1127">
        <v>171</v>
      </c>
      <c r="C1378" s="1128">
        <v>0</v>
      </c>
      <c r="D1378" s="1128">
        <v>22.68</v>
      </c>
      <c r="E1378" s="1126"/>
    </row>
    <row r="1379" spans="1:5" x14ac:dyDescent="0.2">
      <c r="A1379" s="1126" t="s">
        <v>1961</v>
      </c>
      <c r="B1379" s="1127">
        <v>280</v>
      </c>
      <c r="C1379" s="1128">
        <v>0</v>
      </c>
      <c r="D1379" s="1128">
        <v>98.12</v>
      </c>
      <c r="E1379" s="1126"/>
    </row>
    <row r="1380" spans="1:5" x14ac:dyDescent="0.2">
      <c r="A1380" s="1126" t="s">
        <v>1962</v>
      </c>
      <c r="B1380" s="1127">
        <v>142</v>
      </c>
      <c r="C1380" s="1128">
        <v>0</v>
      </c>
      <c r="D1380" s="1128">
        <v>35.229999999999997</v>
      </c>
      <c r="E1380" s="1126"/>
    </row>
    <row r="1381" spans="1:5" x14ac:dyDescent="0.2">
      <c r="A1381" s="1126" t="s">
        <v>1963</v>
      </c>
      <c r="B1381" s="1127">
        <v>228</v>
      </c>
      <c r="C1381" s="1128">
        <v>0</v>
      </c>
      <c r="D1381" s="1128">
        <v>25.96</v>
      </c>
      <c r="E1381" s="1126"/>
    </row>
    <row r="1382" spans="1:5" x14ac:dyDescent="0.2">
      <c r="A1382" s="1126" t="s">
        <v>1964</v>
      </c>
      <c r="B1382" s="1127">
        <v>216</v>
      </c>
      <c r="C1382" s="1128">
        <v>0</v>
      </c>
      <c r="D1382" s="1128">
        <v>51.26</v>
      </c>
      <c r="E1382" s="1126"/>
    </row>
    <row r="1383" spans="1:5" x14ac:dyDescent="0.2">
      <c r="A1383" s="1126" t="s">
        <v>1965</v>
      </c>
      <c r="B1383" s="1127">
        <v>106</v>
      </c>
      <c r="C1383" s="1128">
        <v>0</v>
      </c>
      <c r="D1383" s="1128">
        <v>43.81</v>
      </c>
      <c r="E1383" s="1126"/>
    </row>
    <row r="1384" spans="1:5" x14ac:dyDescent="0.2">
      <c r="A1384" s="1126" t="s">
        <v>1966</v>
      </c>
      <c r="B1384" s="1127">
        <v>204</v>
      </c>
      <c r="C1384" s="1128">
        <v>0</v>
      </c>
      <c r="D1384" s="1128">
        <v>21.08</v>
      </c>
      <c r="E1384" s="1126"/>
    </row>
    <row r="1385" spans="1:5" x14ac:dyDescent="0.2">
      <c r="A1385" s="1126" t="s">
        <v>1967</v>
      </c>
      <c r="B1385" s="1127">
        <v>252</v>
      </c>
      <c r="C1385" s="1128">
        <v>0</v>
      </c>
      <c r="D1385" s="1128">
        <v>21.46</v>
      </c>
      <c r="E1385" s="1126"/>
    </row>
    <row r="1386" spans="1:5" x14ac:dyDescent="0.2">
      <c r="A1386" s="1126" t="s">
        <v>1968</v>
      </c>
      <c r="B1386" s="1127">
        <v>277</v>
      </c>
      <c r="C1386" s="1128">
        <v>0</v>
      </c>
      <c r="D1386" s="1128">
        <v>33.1</v>
      </c>
      <c r="E1386" s="1126"/>
    </row>
    <row r="1387" spans="1:5" x14ac:dyDescent="0.2">
      <c r="A1387" s="1126" t="s">
        <v>1969</v>
      </c>
      <c r="B1387" s="1127">
        <v>106</v>
      </c>
      <c r="C1387" s="1128">
        <v>0</v>
      </c>
      <c r="D1387" s="1128">
        <v>20.99</v>
      </c>
      <c r="E1387" s="1126"/>
    </row>
    <row r="1388" spans="1:5" x14ac:dyDescent="0.2">
      <c r="A1388" s="1126" t="s">
        <v>1970</v>
      </c>
      <c r="B1388" s="1127">
        <v>91</v>
      </c>
      <c r="C1388" s="1128">
        <v>0</v>
      </c>
      <c r="D1388" s="1128">
        <v>38.83</v>
      </c>
      <c r="E1388" s="1126"/>
    </row>
    <row r="1389" spans="1:5" x14ac:dyDescent="0.2">
      <c r="A1389" s="1126" t="s">
        <v>1971</v>
      </c>
      <c r="B1389" s="1127">
        <v>415</v>
      </c>
      <c r="C1389" s="1128">
        <v>0</v>
      </c>
      <c r="D1389" s="1128">
        <v>101.27</v>
      </c>
      <c r="E1389" s="1126"/>
    </row>
    <row r="1390" spans="1:5" x14ac:dyDescent="0.2">
      <c r="A1390" s="1126" t="s">
        <v>1972</v>
      </c>
      <c r="B1390" s="1127">
        <v>185</v>
      </c>
      <c r="C1390" s="1128">
        <v>0</v>
      </c>
      <c r="D1390" s="1128">
        <v>60.95</v>
      </c>
      <c r="E1390" s="1126"/>
    </row>
    <row r="1391" spans="1:5" x14ac:dyDescent="0.2">
      <c r="A1391" s="1126" t="s">
        <v>1973</v>
      </c>
      <c r="B1391" s="1127">
        <v>208</v>
      </c>
      <c r="C1391" s="1128">
        <v>0</v>
      </c>
      <c r="D1391" s="1128">
        <v>18.46</v>
      </c>
      <c r="E1391" s="1126"/>
    </row>
    <row r="1392" spans="1:5" x14ac:dyDescent="0.2">
      <c r="A1392" s="1126" t="s">
        <v>1974</v>
      </c>
      <c r="B1392" s="1127">
        <v>248</v>
      </c>
      <c r="C1392" s="1128">
        <v>0</v>
      </c>
      <c r="D1392" s="1128">
        <v>114.01</v>
      </c>
      <c r="E1392" s="1126"/>
    </row>
    <row r="1393" spans="1:5" x14ac:dyDescent="0.2">
      <c r="A1393" s="1126" t="s">
        <v>1975</v>
      </c>
      <c r="B1393" s="1127">
        <v>255</v>
      </c>
      <c r="C1393" s="1128">
        <v>0</v>
      </c>
      <c r="D1393" s="1128">
        <v>125.94</v>
      </c>
      <c r="E1393" s="1126"/>
    </row>
    <row r="1394" spans="1:5" x14ac:dyDescent="0.2">
      <c r="A1394" s="1126" t="s">
        <v>1976</v>
      </c>
      <c r="B1394" s="1127">
        <v>89</v>
      </c>
      <c r="C1394" s="1128">
        <v>0</v>
      </c>
      <c r="D1394" s="1128">
        <v>20.2</v>
      </c>
      <c r="E1394" s="1126"/>
    </row>
    <row r="1395" spans="1:5" x14ac:dyDescent="0.2">
      <c r="A1395" s="1126" t="s">
        <v>1977</v>
      </c>
      <c r="B1395" s="1127">
        <v>105</v>
      </c>
      <c r="C1395" s="1128">
        <v>0</v>
      </c>
      <c r="D1395" s="1128">
        <v>14.91</v>
      </c>
      <c r="E1395" s="1126"/>
    </row>
    <row r="1396" spans="1:5" x14ac:dyDescent="0.2">
      <c r="A1396" s="1126" t="s">
        <v>1978</v>
      </c>
      <c r="B1396" s="1127">
        <v>189</v>
      </c>
      <c r="C1396" s="1128">
        <v>0</v>
      </c>
      <c r="D1396" s="1128">
        <v>69.16</v>
      </c>
      <c r="E1396" s="1126"/>
    </row>
    <row r="1397" spans="1:5" x14ac:dyDescent="0.2">
      <c r="A1397" s="1126" t="s">
        <v>1979</v>
      </c>
      <c r="B1397" s="1127">
        <v>350</v>
      </c>
      <c r="C1397" s="1128">
        <v>0</v>
      </c>
      <c r="D1397" s="1128">
        <v>111.21</v>
      </c>
      <c r="E1397" s="1126"/>
    </row>
    <row r="1398" spans="1:5" x14ac:dyDescent="0.2">
      <c r="A1398" s="1126" t="s">
        <v>1980</v>
      </c>
      <c r="B1398" s="1127">
        <v>84</v>
      </c>
      <c r="C1398" s="1128">
        <v>0</v>
      </c>
      <c r="D1398" s="1128">
        <v>29.25</v>
      </c>
      <c r="E1398" s="1126"/>
    </row>
    <row r="1399" spans="1:5" x14ac:dyDescent="0.2">
      <c r="A1399" s="1126" t="s">
        <v>1981</v>
      </c>
      <c r="B1399" s="1127">
        <v>122</v>
      </c>
      <c r="C1399" s="1128">
        <v>0</v>
      </c>
      <c r="D1399" s="1128">
        <v>4.7699999999999996</v>
      </c>
      <c r="E1399" s="1126"/>
    </row>
    <row r="1400" spans="1:5" x14ac:dyDescent="0.2">
      <c r="A1400" s="1126" t="s">
        <v>1982</v>
      </c>
      <c r="B1400" s="1127">
        <v>136</v>
      </c>
      <c r="C1400" s="1128">
        <v>0</v>
      </c>
      <c r="D1400" s="1128">
        <v>74.66</v>
      </c>
      <c r="E1400" s="1126"/>
    </row>
    <row r="1401" spans="1:5" x14ac:dyDescent="0.2">
      <c r="A1401" s="1126" t="s">
        <v>1983</v>
      </c>
      <c r="B1401" s="1127">
        <v>279</v>
      </c>
      <c r="C1401" s="1128">
        <v>0</v>
      </c>
      <c r="D1401" s="1128">
        <v>59.09</v>
      </c>
      <c r="E1401" s="1126"/>
    </row>
    <row r="1402" spans="1:5" x14ac:dyDescent="0.2">
      <c r="A1402" s="1126" t="s">
        <v>1984</v>
      </c>
      <c r="B1402" s="1127">
        <v>172</v>
      </c>
      <c r="C1402" s="1128">
        <v>0</v>
      </c>
      <c r="D1402" s="1128">
        <v>53.92</v>
      </c>
      <c r="E1402" s="1126"/>
    </row>
    <row r="1403" spans="1:5" x14ac:dyDescent="0.2">
      <c r="A1403" s="1126" t="s">
        <v>1985</v>
      </c>
      <c r="B1403" s="1127">
        <v>110</v>
      </c>
      <c r="C1403" s="1128">
        <v>0</v>
      </c>
      <c r="D1403" s="1128">
        <v>13.25</v>
      </c>
      <c r="E1403" s="1126"/>
    </row>
    <row r="1404" spans="1:5" x14ac:dyDescent="0.2">
      <c r="A1404" s="1126" t="s">
        <v>1986</v>
      </c>
      <c r="B1404" s="1127">
        <v>104</v>
      </c>
      <c r="C1404" s="1128">
        <v>0</v>
      </c>
      <c r="D1404" s="1128">
        <v>59.33</v>
      </c>
      <c r="E1404" s="1126"/>
    </row>
    <row r="1405" spans="1:5" x14ac:dyDescent="0.2">
      <c r="A1405" s="1126" t="s">
        <v>1987</v>
      </c>
      <c r="B1405" s="1127">
        <v>115</v>
      </c>
      <c r="C1405" s="1128">
        <v>0</v>
      </c>
      <c r="D1405" s="1128">
        <v>30.16</v>
      </c>
      <c r="E1405" s="1126"/>
    </row>
    <row r="1406" spans="1:5" x14ac:dyDescent="0.2">
      <c r="A1406" s="1126" t="s">
        <v>1988</v>
      </c>
      <c r="B1406" s="1127">
        <v>126</v>
      </c>
      <c r="C1406" s="1128">
        <v>24.42</v>
      </c>
      <c r="D1406" s="1128">
        <v>111.03</v>
      </c>
      <c r="E1406" s="1126"/>
    </row>
    <row r="1407" spans="1:5" x14ac:dyDescent="0.2">
      <c r="A1407" s="1126" t="s">
        <v>1989</v>
      </c>
      <c r="B1407" s="1127">
        <v>179</v>
      </c>
      <c r="C1407" s="1128">
        <v>0</v>
      </c>
      <c r="D1407" s="1128">
        <v>4.96</v>
      </c>
      <c r="E1407" s="1126"/>
    </row>
    <row r="1408" spans="1:5" x14ac:dyDescent="0.2">
      <c r="A1408" s="1126" t="s">
        <v>1990</v>
      </c>
      <c r="B1408" s="1127">
        <v>122</v>
      </c>
      <c r="C1408" s="1128">
        <v>0</v>
      </c>
      <c r="D1408" s="1128">
        <v>42.12</v>
      </c>
      <c r="E1408" s="1126"/>
    </row>
    <row r="1409" spans="1:5" x14ac:dyDescent="0.2">
      <c r="A1409" s="1126" t="s">
        <v>1991</v>
      </c>
      <c r="B1409" s="1127">
        <v>232</v>
      </c>
      <c r="C1409" s="1128">
        <v>0</v>
      </c>
      <c r="D1409" s="1128">
        <v>107</v>
      </c>
      <c r="E1409" s="1126"/>
    </row>
    <row r="1410" spans="1:5" x14ac:dyDescent="0.2">
      <c r="A1410" s="1126" t="s">
        <v>1992</v>
      </c>
      <c r="B1410" s="1127">
        <v>92</v>
      </c>
      <c r="C1410" s="1128">
        <v>0</v>
      </c>
      <c r="D1410" s="1128">
        <v>9.57</v>
      </c>
      <c r="E1410" s="1126"/>
    </row>
    <row r="1411" spans="1:5" x14ac:dyDescent="0.2">
      <c r="A1411" s="1126" t="s">
        <v>1993</v>
      </c>
      <c r="B1411" s="1127">
        <v>116</v>
      </c>
      <c r="C1411" s="1128">
        <v>0</v>
      </c>
      <c r="D1411" s="1128">
        <v>35.229999999999997</v>
      </c>
      <c r="E1411" s="1126"/>
    </row>
    <row r="1412" spans="1:5" x14ac:dyDescent="0.2">
      <c r="A1412" s="1126" t="s">
        <v>1994</v>
      </c>
      <c r="B1412" s="1127">
        <v>221</v>
      </c>
      <c r="C1412" s="1128">
        <v>0</v>
      </c>
      <c r="D1412" s="1128">
        <v>27.53</v>
      </c>
      <c r="E1412" s="1126"/>
    </row>
    <row r="1413" spans="1:5" x14ac:dyDescent="0.2">
      <c r="A1413" s="1126" t="s">
        <v>1995</v>
      </c>
      <c r="B1413" s="1127">
        <v>166</v>
      </c>
      <c r="C1413" s="1128">
        <v>87.84</v>
      </c>
      <c r="D1413" s="1128">
        <v>201.94</v>
      </c>
      <c r="E1413" s="1126"/>
    </row>
    <row r="1414" spans="1:5" x14ac:dyDescent="0.2">
      <c r="A1414" s="1126" t="s">
        <v>1996</v>
      </c>
      <c r="B1414" s="1127">
        <v>57</v>
      </c>
      <c r="C1414" s="1128">
        <v>0</v>
      </c>
      <c r="D1414" s="1128">
        <v>18.920000000000002</v>
      </c>
      <c r="E1414" s="1126"/>
    </row>
    <row r="1415" spans="1:5" x14ac:dyDescent="0.2">
      <c r="A1415" s="1126" t="s">
        <v>1997</v>
      </c>
      <c r="B1415" s="1127">
        <v>119</v>
      </c>
      <c r="C1415" s="1128">
        <v>0</v>
      </c>
      <c r="D1415" s="1128">
        <v>39.159999999999997</v>
      </c>
      <c r="E1415" s="1126"/>
    </row>
    <row r="1416" spans="1:5" x14ac:dyDescent="0.2">
      <c r="A1416" s="1126" t="s">
        <v>1998</v>
      </c>
      <c r="B1416" s="1127">
        <v>88</v>
      </c>
      <c r="C1416" s="1128">
        <v>67.33</v>
      </c>
      <c r="D1416" s="1128">
        <v>127.82</v>
      </c>
      <c r="E1416" s="1126"/>
    </row>
    <row r="1417" spans="1:5" x14ac:dyDescent="0.2">
      <c r="A1417" s="1126" t="s">
        <v>1999</v>
      </c>
      <c r="B1417" s="1127">
        <v>131</v>
      </c>
      <c r="C1417" s="1128">
        <v>0</v>
      </c>
      <c r="D1417" s="1128">
        <v>4.63</v>
      </c>
      <c r="E1417" s="1126"/>
    </row>
    <row r="1418" spans="1:5" x14ac:dyDescent="0.2">
      <c r="A1418" s="1126" t="s">
        <v>2000</v>
      </c>
      <c r="B1418" s="1127">
        <v>108</v>
      </c>
      <c r="C1418" s="1128">
        <v>6.05</v>
      </c>
      <c r="D1418" s="1128">
        <v>80.290000000000006</v>
      </c>
      <c r="E1418" s="1126"/>
    </row>
    <row r="1419" spans="1:5" x14ac:dyDescent="0.2">
      <c r="A1419" s="1126" t="s">
        <v>2001</v>
      </c>
      <c r="B1419" s="1127">
        <v>121</v>
      </c>
      <c r="C1419" s="1128">
        <v>0</v>
      </c>
      <c r="D1419" s="1128">
        <v>42.64</v>
      </c>
      <c r="E1419" s="1126"/>
    </row>
    <row r="1420" spans="1:5" x14ac:dyDescent="0.2">
      <c r="A1420" s="1126" t="s">
        <v>2002</v>
      </c>
      <c r="B1420" s="1127">
        <v>105</v>
      </c>
      <c r="C1420" s="1128">
        <v>33.72</v>
      </c>
      <c r="D1420" s="1128">
        <v>105.89</v>
      </c>
      <c r="E1420" s="1126"/>
    </row>
    <row r="1421" spans="1:5" x14ac:dyDescent="0.2">
      <c r="A1421" s="1126" t="s">
        <v>2003</v>
      </c>
      <c r="B1421" s="1127">
        <v>143</v>
      </c>
      <c r="C1421" s="1128">
        <v>0</v>
      </c>
      <c r="D1421" s="1128">
        <v>49.82</v>
      </c>
      <c r="E1421" s="1126"/>
    </row>
    <row r="1422" spans="1:5" x14ac:dyDescent="0.2">
      <c r="A1422" s="1126" t="s">
        <v>2004</v>
      </c>
      <c r="B1422" s="1127">
        <v>50</v>
      </c>
      <c r="C1422" s="1128">
        <v>0</v>
      </c>
      <c r="D1422" s="1128">
        <v>4.53</v>
      </c>
      <c r="E1422" s="1126"/>
    </row>
    <row r="1423" spans="1:5" x14ac:dyDescent="0.2">
      <c r="A1423" s="1126" t="s">
        <v>2005</v>
      </c>
      <c r="B1423" s="1127">
        <v>218</v>
      </c>
      <c r="C1423" s="1128">
        <v>0</v>
      </c>
      <c r="D1423" s="1128">
        <v>66.209999999999994</v>
      </c>
      <c r="E1423" s="1126"/>
    </row>
    <row r="1424" spans="1:5" x14ac:dyDescent="0.2">
      <c r="A1424" s="1126" t="s">
        <v>2006</v>
      </c>
      <c r="B1424" s="1127">
        <v>150</v>
      </c>
      <c r="C1424" s="1128">
        <v>22.64</v>
      </c>
      <c r="D1424" s="1128">
        <v>125.74</v>
      </c>
      <c r="E1424" s="1126"/>
    </row>
    <row r="1425" spans="1:5" x14ac:dyDescent="0.2">
      <c r="A1425" s="1126" t="s">
        <v>2007</v>
      </c>
      <c r="B1425" s="1127">
        <v>77</v>
      </c>
      <c r="C1425" s="1128">
        <v>0</v>
      </c>
      <c r="D1425" s="1128">
        <v>19.68</v>
      </c>
      <c r="E1425" s="1126"/>
    </row>
    <row r="1426" spans="1:5" x14ac:dyDescent="0.2">
      <c r="A1426" s="1126" t="s">
        <v>2008</v>
      </c>
      <c r="B1426" s="1127">
        <v>172</v>
      </c>
      <c r="C1426" s="1128">
        <v>0</v>
      </c>
      <c r="D1426" s="1128">
        <v>13.61</v>
      </c>
      <c r="E1426" s="1126"/>
    </row>
    <row r="1427" spans="1:5" x14ac:dyDescent="0.2">
      <c r="A1427" s="1126" t="s">
        <v>2009</v>
      </c>
      <c r="B1427" s="1127">
        <v>112</v>
      </c>
      <c r="C1427" s="1128">
        <v>0</v>
      </c>
      <c r="D1427" s="1128">
        <v>69.13</v>
      </c>
      <c r="E1427" s="1126"/>
    </row>
    <row r="1428" spans="1:5" x14ac:dyDescent="0.2">
      <c r="A1428" s="1126" t="s">
        <v>2010</v>
      </c>
      <c r="B1428" s="1127">
        <v>91</v>
      </c>
      <c r="C1428" s="1128">
        <v>0</v>
      </c>
      <c r="D1428" s="1128">
        <v>33</v>
      </c>
      <c r="E1428" s="1126"/>
    </row>
    <row r="1429" spans="1:5" x14ac:dyDescent="0.2">
      <c r="A1429" s="1126" t="s">
        <v>2011</v>
      </c>
      <c r="B1429" s="1127">
        <v>182</v>
      </c>
      <c r="C1429" s="1128">
        <v>0</v>
      </c>
      <c r="D1429" s="1128">
        <v>61.69</v>
      </c>
      <c r="E1429" s="1126"/>
    </row>
    <row r="1430" spans="1:5" x14ac:dyDescent="0.2">
      <c r="A1430" s="1126" t="s">
        <v>2012</v>
      </c>
      <c r="B1430" s="1127">
        <v>212</v>
      </c>
      <c r="C1430" s="1128">
        <v>0</v>
      </c>
      <c r="D1430" s="1128">
        <v>60.14</v>
      </c>
      <c r="E1430" s="1126"/>
    </row>
    <row r="1431" spans="1:5" x14ac:dyDescent="0.2">
      <c r="A1431" s="1126" t="s">
        <v>2013</v>
      </c>
      <c r="B1431" s="1127">
        <v>135</v>
      </c>
      <c r="C1431" s="1128">
        <v>0</v>
      </c>
      <c r="D1431" s="1128">
        <v>26.19</v>
      </c>
      <c r="E1431" s="1126"/>
    </row>
    <row r="1432" spans="1:5" x14ac:dyDescent="0.2">
      <c r="A1432" s="1126" t="s">
        <v>2014</v>
      </c>
      <c r="B1432" s="1127">
        <v>87</v>
      </c>
      <c r="C1432" s="1128">
        <v>3.7</v>
      </c>
      <c r="D1432" s="1128">
        <v>63.5</v>
      </c>
      <c r="E1432" s="1126"/>
    </row>
    <row r="1433" spans="1:5" x14ac:dyDescent="0.2">
      <c r="A1433" s="1126" t="s">
        <v>2015</v>
      </c>
      <c r="B1433" s="1127">
        <v>98</v>
      </c>
      <c r="C1433" s="1128">
        <v>0</v>
      </c>
      <c r="D1433" s="1128">
        <v>47.46</v>
      </c>
      <c r="E1433" s="1126"/>
    </row>
    <row r="1434" spans="1:5" x14ac:dyDescent="0.2">
      <c r="A1434" s="1126" t="s">
        <v>2016</v>
      </c>
      <c r="B1434" s="1127">
        <v>231</v>
      </c>
      <c r="C1434" s="1128">
        <v>0</v>
      </c>
      <c r="D1434" s="1128">
        <v>12</v>
      </c>
      <c r="E1434" s="1126"/>
    </row>
    <row r="1435" spans="1:5" x14ac:dyDescent="0.2">
      <c r="A1435" s="1126" t="s">
        <v>2017</v>
      </c>
      <c r="B1435" s="1127">
        <v>140</v>
      </c>
      <c r="C1435" s="1128">
        <v>0</v>
      </c>
      <c r="D1435" s="1128">
        <v>63.47</v>
      </c>
      <c r="E1435" s="1126"/>
    </row>
    <row r="1436" spans="1:5" x14ac:dyDescent="0.2">
      <c r="A1436" s="1126" t="s">
        <v>2018</v>
      </c>
      <c r="B1436" s="1127">
        <v>184</v>
      </c>
      <c r="C1436" s="1128">
        <v>0</v>
      </c>
      <c r="D1436" s="1128">
        <v>4.24</v>
      </c>
      <c r="E1436" s="1126"/>
    </row>
    <row r="1437" spans="1:5" x14ac:dyDescent="0.2">
      <c r="A1437" s="1126" t="s">
        <v>2019</v>
      </c>
      <c r="B1437" s="1127">
        <v>47</v>
      </c>
      <c r="C1437" s="1128">
        <v>0</v>
      </c>
      <c r="D1437" s="1128">
        <v>27.87</v>
      </c>
      <c r="E1437" s="1126"/>
    </row>
    <row r="1438" spans="1:5" x14ac:dyDescent="0.2">
      <c r="A1438" s="1126" t="s">
        <v>2020</v>
      </c>
      <c r="B1438" s="1127">
        <v>96</v>
      </c>
      <c r="C1438" s="1128">
        <v>18.510000000000002</v>
      </c>
      <c r="D1438" s="1128">
        <v>84.5</v>
      </c>
      <c r="E1438" s="1126"/>
    </row>
    <row r="1439" spans="1:5" x14ac:dyDescent="0.2">
      <c r="A1439" s="1126" t="s">
        <v>2021</v>
      </c>
      <c r="B1439" s="1127">
        <v>193</v>
      </c>
      <c r="C1439" s="1128">
        <v>0</v>
      </c>
      <c r="D1439" s="1128">
        <v>54.47</v>
      </c>
      <c r="E1439" s="1126"/>
    </row>
    <row r="1440" spans="1:5" x14ac:dyDescent="0.2">
      <c r="A1440" s="1126" t="s">
        <v>2022</v>
      </c>
      <c r="B1440" s="1127">
        <v>150</v>
      </c>
      <c r="C1440" s="1128">
        <v>0</v>
      </c>
      <c r="D1440" s="1128">
        <v>53.49</v>
      </c>
      <c r="E1440" s="1126"/>
    </row>
    <row r="1441" spans="1:5" x14ac:dyDescent="0.2">
      <c r="A1441" s="1126" t="s">
        <v>2023</v>
      </c>
      <c r="B1441" s="1127">
        <v>95</v>
      </c>
      <c r="C1441" s="1128">
        <v>0.33</v>
      </c>
      <c r="D1441" s="1128">
        <v>65.63</v>
      </c>
      <c r="E1441" s="1126"/>
    </row>
    <row r="1442" spans="1:5" x14ac:dyDescent="0.2">
      <c r="A1442" s="1126" t="s">
        <v>2024</v>
      </c>
      <c r="B1442" s="1127">
        <v>156</v>
      </c>
      <c r="C1442" s="1128">
        <v>0</v>
      </c>
      <c r="D1442" s="1128">
        <v>23.1</v>
      </c>
      <c r="E1442" s="1126"/>
    </row>
    <row r="1443" spans="1:5" x14ac:dyDescent="0.2">
      <c r="A1443" s="1126" t="s">
        <v>2025</v>
      </c>
      <c r="B1443" s="1127">
        <v>280</v>
      </c>
      <c r="C1443" s="1128">
        <v>0</v>
      </c>
      <c r="D1443" s="1128">
        <v>71.73</v>
      </c>
      <c r="E1443" s="1126"/>
    </row>
    <row r="1444" spans="1:5" x14ac:dyDescent="0.2">
      <c r="A1444" s="1126" t="s">
        <v>2026</v>
      </c>
      <c r="B1444" s="1127">
        <v>446</v>
      </c>
      <c r="C1444" s="1128">
        <v>0</v>
      </c>
      <c r="D1444" s="1128">
        <v>61.37</v>
      </c>
      <c r="E1444" s="1126"/>
    </row>
    <row r="1445" spans="1:5" x14ac:dyDescent="0.2">
      <c r="A1445" s="1126" t="s">
        <v>2027</v>
      </c>
      <c r="B1445" s="1127">
        <v>192</v>
      </c>
      <c r="C1445" s="1128">
        <v>0</v>
      </c>
      <c r="D1445" s="1128">
        <v>107.35</v>
      </c>
      <c r="E1445" s="1126"/>
    </row>
    <row r="1446" spans="1:5" x14ac:dyDescent="0.2">
      <c r="A1446" s="1126" t="s">
        <v>2028</v>
      </c>
      <c r="B1446" s="1127">
        <v>176</v>
      </c>
      <c r="C1446" s="1128">
        <v>0</v>
      </c>
      <c r="D1446" s="1128">
        <v>95.22</v>
      </c>
      <c r="E1446" s="1126"/>
    </row>
    <row r="1447" spans="1:5" x14ac:dyDescent="0.2">
      <c r="A1447" s="1126" t="s">
        <v>2029</v>
      </c>
      <c r="B1447" s="1127">
        <v>89</v>
      </c>
      <c r="C1447" s="1128">
        <v>0</v>
      </c>
      <c r="D1447" s="1128">
        <v>28.01</v>
      </c>
      <c r="E1447" s="1126"/>
    </row>
    <row r="1448" spans="1:5" x14ac:dyDescent="0.2">
      <c r="A1448" s="1126" t="s">
        <v>2030</v>
      </c>
      <c r="B1448" s="1127">
        <v>66</v>
      </c>
      <c r="C1448" s="1128">
        <v>0</v>
      </c>
      <c r="D1448" s="1128">
        <v>0</v>
      </c>
      <c r="E1448" s="1126"/>
    </row>
    <row r="1449" spans="1:5" x14ac:dyDescent="0.2">
      <c r="A1449" s="1126" t="s">
        <v>2031</v>
      </c>
      <c r="B1449" s="1127">
        <v>155</v>
      </c>
      <c r="C1449" s="1128">
        <v>0</v>
      </c>
      <c r="D1449" s="1128">
        <v>57</v>
      </c>
      <c r="E1449" s="1126"/>
    </row>
    <row r="1450" spans="1:5" x14ac:dyDescent="0.2">
      <c r="A1450" s="1126" t="s">
        <v>2032</v>
      </c>
      <c r="B1450" s="1127">
        <v>69</v>
      </c>
      <c r="C1450" s="1128">
        <v>0</v>
      </c>
      <c r="D1450" s="1128">
        <v>15.68</v>
      </c>
      <c r="E1450" s="1126"/>
    </row>
    <row r="1451" spans="1:5" x14ac:dyDescent="0.2">
      <c r="A1451" s="1126" t="s">
        <v>2033</v>
      </c>
      <c r="B1451" s="1127">
        <v>144</v>
      </c>
      <c r="C1451" s="1128">
        <v>58.02</v>
      </c>
      <c r="D1451" s="1128">
        <v>157</v>
      </c>
      <c r="E1451" s="1126"/>
    </row>
    <row r="1452" spans="1:5" x14ac:dyDescent="0.2">
      <c r="A1452" s="1126" t="s">
        <v>2034</v>
      </c>
      <c r="B1452" s="1127">
        <v>167</v>
      </c>
      <c r="C1452" s="1128">
        <v>197.68</v>
      </c>
      <c r="D1452" s="1128">
        <v>312.47000000000003</v>
      </c>
      <c r="E1452" s="1126"/>
    </row>
    <row r="1453" spans="1:5" x14ac:dyDescent="0.2">
      <c r="A1453" s="1126" t="s">
        <v>2035</v>
      </c>
      <c r="B1453" s="1127">
        <v>223</v>
      </c>
      <c r="C1453" s="1128">
        <v>0</v>
      </c>
      <c r="D1453" s="1128">
        <v>45.79</v>
      </c>
      <c r="E1453" s="1126"/>
    </row>
    <row r="1454" spans="1:5" x14ac:dyDescent="0.2">
      <c r="A1454" s="1126" t="s">
        <v>2036</v>
      </c>
      <c r="B1454" s="1127">
        <v>59</v>
      </c>
      <c r="C1454" s="1128">
        <v>0</v>
      </c>
      <c r="D1454" s="1128">
        <v>4.24</v>
      </c>
      <c r="E1454" s="1126"/>
    </row>
    <row r="1455" spans="1:5" x14ac:dyDescent="0.2">
      <c r="A1455" s="1126" t="s">
        <v>2037</v>
      </c>
      <c r="B1455" s="1127">
        <v>111</v>
      </c>
      <c r="C1455" s="1128">
        <v>0</v>
      </c>
      <c r="D1455" s="1128">
        <v>24.89</v>
      </c>
      <c r="E1455" s="1126"/>
    </row>
    <row r="1456" spans="1:5" x14ac:dyDescent="0.2">
      <c r="A1456" s="1126" t="s">
        <v>2038</v>
      </c>
      <c r="B1456" s="1127">
        <v>61</v>
      </c>
      <c r="C1456" s="1128">
        <v>0</v>
      </c>
      <c r="D1456" s="1128">
        <v>10.26</v>
      </c>
      <c r="E1456" s="1126"/>
    </row>
    <row r="1457" spans="1:5" x14ac:dyDescent="0.2">
      <c r="A1457" s="1126" t="s">
        <v>2039</v>
      </c>
      <c r="B1457" s="1127">
        <v>193</v>
      </c>
      <c r="C1457" s="1128">
        <v>0</v>
      </c>
      <c r="D1457" s="1128">
        <v>53.75</v>
      </c>
      <c r="E1457" s="1126"/>
    </row>
    <row r="1458" spans="1:5" x14ac:dyDescent="0.2">
      <c r="A1458" s="1126" t="s">
        <v>2040</v>
      </c>
      <c r="B1458" s="1127">
        <v>107</v>
      </c>
      <c r="C1458" s="1128">
        <v>0</v>
      </c>
      <c r="D1458" s="1128">
        <v>26.16</v>
      </c>
      <c r="E1458" s="1126"/>
    </row>
    <row r="1459" spans="1:5" x14ac:dyDescent="0.2">
      <c r="A1459" s="1126" t="s">
        <v>2041</v>
      </c>
      <c r="B1459" s="1127">
        <v>41</v>
      </c>
      <c r="C1459" s="1128">
        <v>0</v>
      </c>
      <c r="D1459" s="1128">
        <v>13.11</v>
      </c>
      <c r="E1459" s="1126"/>
    </row>
    <row r="1460" spans="1:5" x14ac:dyDescent="0.2">
      <c r="A1460" s="1126" t="s">
        <v>2042</v>
      </c>
      <c r="B1460" s="1127">
        <v>154</v>
      </c>
      <c r="C1460" s="1128">
        <v>0</v>
      </c>
      <c r="D1460" s="1128">
        <v>24.07</v>
      </c>
      <c r="E1460" s="1126"/>
    </row>
    <row r="1461" spans="1:5" x14ac:dyDescent="0.2">
      <c r="A1461" s="1126" t="s">
        <v>2043</v>
      </c>
      <c r="B1461" s="1127">
        <v>109</v>
      </c>
      <c r="C1461" s="1128">
        <v>0</v>
      </c>
      <c r="D1461" s="1128">
        <v>32.950000000000003</v>
      </c>
      <c r="E1461" s="1126"/>
    </row>
    <row r="1462" spans="1:5" x14ac:dyDescent="0.2">
      <c r="A1462" s="1126" t="s">
        <v>2044</v>
      </c>
      <c r="B1462" s="1127">
        <v>425</v>
      </c>
      <c r="C1462" s="1128">
        <v>0</v>
      </c>
      <c r="D1462" s="1128">
        <v>96.06</v>
      </c>
      <c r="E1462" s="1126"/>
    </row>
    <row r="1463" spans="1:5" x14ac:dyDescent="0.2">
      <c r="A1463" s="1126" t="s">
        <v>2045</v>
      </c>
      <c r="B1463" s="1127">
        <v>285</v>
      </c>
      <c r="C1463" s="1128">
        <v>0</v>
      </c>
      <c r="D1463" s="1128">
        <v>81.93</v>
      </c>
      <c r="E1463" s="1126"/>
    </row>
    <row r="1464" spans="1:5" x14ac:dyDescent="0.2">
      <c r="A1464" s="1126" t="s">
        <v>2046</v>
      </c>
      <c r="B1464" s="1127">
        <v>313</v>
      </c>
      <c r="C1464" s="1128">
        <v>0</v>
      </c>
      <c r="D1464" s="1128">
        <v>93.9</v>
      </c>
      <c r="E1464" s="1126"/>
    </row>
    <row r="1465" spans="1:5" x14ac:dyDescent="0.2">
      <c r="A1465" s="1126" t="s">
        <v>2047</v>
      </c>
      <c r="B1465" s="1127">
        <v>157</v>
      </c>
      <c r="C1465" s="1128">
        <v>0</v>
      </c>
      <c r="D1465" s="1128">
        <v>48.12</v>
      </c>
      <c r="E1465" s="1126"/>
    </row>
    <row r="1466" spans="1:5" x14ac:dyDescent="0.2">
      <c r="A1466" s="1126" t="s">
        <v>2048</v>
      </c>
      <c r="B1466" s="1127">
        <v>96</v>
      </c>
      <c r="C1466" s="1128">
        <v>0</v>
      </c>
      <c r="D1466" s="1128">
        <v>56.55</v>
      </c>
      <c r="E1466" s="1126"/>
    </row>
    <row r="1467" spans="1:5" x14ac:dyDescent="0.2">
      <c r="A1467" s="1126" t="s">
        <v>2049</v>
      </c>
      <c r="B1467" s="1127">
        <v>160</v>
      </c>
      <c r="C1467" s="1128">
        <v>0</v>
      </c>
      <c r="D1467" s="1128">
        <v>43.72</v>
      </c>
      <c r="E1467" s="1126"/>
    </row>
    <row r="1468" spans="1:5" x14ac:dyDescent="0.2">
      <c r="A1468" s="1126" t="s">
        <v>2050</v>
      </c>
      <c r="B1468" s="1127">
        <v>59</v>
      </c>
      <c r="C1468" s="1128">
        <v>0</v>
      </c>
      <c r="D1468" s="1128">
        <v>18.2</v>
      </c>
      <c r="E1468" s="1126"/>
    </row>
    <row r="1469" spans="1:5" x14ac:dyDescent="0.2">
      <c r="A1469" s="1126" t="s">
        <v>2051</v>
      </c>
      <c r="B1469" s="1127">
        <v>359</v>
      </c>
      <c r="C1469" s="1128">
        <v>225.78</v>
      </c>
      <c r="D1469" s="1128">
        <v>472.55</v>
      </c>
      <c r="E1469" s="1126"/>
    </row>
    <row r="1470" spans="1:5" x14ac:dyDescent="0.2">
      <c r="A1470" s="1126" t="s">
        <v>2052</v>
      </c>
      <c r="B1470" s="1127">
        <v>88</v>
      </c>
      <c r="C1470" s="1128">
        <v>0</v>
      </c>
      <c r="D1470" s="1128">
        <v>19.010000000000002</v>
      </c>
      <c r="E1470" s="1126"/>
    </row>
    <row r="1471" spans="1:5" x14ac:dyDescent="0.2">
      <c r="A1471" s="1126" t="s">
        <v>2053</v>
      </c>
      <c r="B1471" s="1127">
        <v>189</v>
      </c>
      <c r="C1471" s="1128">
        <v>0</v>
      </c>
      <c r="D1471" s="1128">
        <v>128.19</v>
      </c>
      <c r="E1471" s="1126"/>
    </row>
    <row r="1472" spans="1:5" x14ac:dyDescent="0.2">
      <c r="A1472" s="1126" t="s">
        <v>2054</v>
      </c>
      <c r="B1472" s="1127">
        <v>103</v>
      </c>
      <c r="C1472" s="1128">
        <v>0</v>
      </c>
      <c r="D1472" s="1128">
        <v>0</v>
      </c>
      <c r="E1472" s="1126"/>
    </row>
    <row r="1473" spans="1:5" x14ac:dyDescent="0.2">
      <c r="A1473" s="1126" t="s">
        <v>2055</v>
      </c>
      <c r="B1473" s="1127">
        <v>89</v>
      </c>
      <c r="C1473" s="1128">
        <v>0</v>
      </c>
      <c r="D1473" s="1128">
        <v>5.14</v>
      </c>
      <c r="E1473" s="1126"/>
    </row>
    <row r="1474" spans="1:5" x14ac:dyDescent="0.2">
      <c r="A1474" s="1126" t="s">
        <v>2056</v>
      </c>
      <c r="B1474" s="1127">
        <v>239</v>
      </c>
      <c r="C1474" s="1128">
        <v>52.21</v>
      </c>
      <c r="D1474" s="1128">
        <v>216.49</v>
      </c>
      <c r="E1474" s="1126"/>
    </row>
    <row r="1475" spans="1:5" x14ac:dyDescent="0.2">
      <c r="A1475" s="1126" t="s">
        <v>2057</v>
      </c>
      <c r="B1475" s="1127">
        <v>119</v>
      </c>
      <c r="C1475" s="1128">
        <v>0</v>
      </c>
      <c r="D1475" s="1128">
        <v>66.239999999999995</v>
      </c>
      <c r="E1475" s="1126"/>
    </row>
    <row r="1476" spans="1:5" x14ac:dyDescent="0.2">
      <c r="A1476" s="1126" t="s">
        <v>2058</v>
      </c>
      <c r="B1476" s="1127">
        <v>117</v>
      </c>
      <c r="C1476" s="1128">
        <v>42.4</v>
      </c>
      <c r="D1476" s="1128">
        <v>122.82</v>
      </c>
      <c r="E1476" s="1126"/>
    </row>
    <row r="1477" spans="1:5" x14ac:dyDescent="0.2">
      <c r="A1477" s="1126" t="s">
        <v>2059</v>
      </c>
      <c r="B1477" s="1127">
        <v>200</v>
      </c>
      <c r="C1477" s="1128">
        <v>0</v>
      </c>
      <c r="D1477" s="1128">
        <v>97.36</v>
      </c>
      <c r="E1477" s="1126"/>
    </row>
    <row r="1478" spans="1:5" x14ac:dyDescent="0.2">
      <c r="A1478" s="1126" t="s">
        <v>2060</v>
      </c>
      <c r="B1478" s="1127">
        <v>169</v>
      </c>
      <c r="C1478" s="1128">
        <v>0</v>
      </c>
      <c r="D1478" s="1128">
        <v>56.11</v>
      </c>
      <c r="E1478" s="1126"/>
    </row>
    <row r="1479" spans="1:5" x14ac:dyDescent="0.2">
      <c r="A1479" s="1126" t="s">
        <v>2061</v>
      </c>
      <c r="B1479" s="1127">
        <v>47</v>
      </c>
      <c r="C1479" s="1128">
        <v>36.31</v>
      </c>
      <c r="D1479" s="1128">
        <v>68.62</v>
      </c>
      <c r="E1479" s="1126"/>
    </row>
    <row r="1480" spans="1:5" x14ac:dyDescent="0.2">
      <c r="A1480" s="1126" t="s">
        <v>2062</v>
      </c>
      <c r="B1480" s="1127">
        <v>82</v>
      </c>
      <c r="C1480" s="1128">
        <v>0</v>
      </c>
      <c r="D1480" s="1128">
        <v>4.99</v>
      </c>
      <c r="E1480" s="1126"/>
    </row>
    <row r="1481" spans="1:5" x14ac:dyDescent="0.2">
      <c r="A1481" s="1126" t="s">
        <v>2063</v>
      </c>
      <c r="B1481" s="1127">
        <v>163</v>
      </c>
      <c r="C1481" s="1128">
        <v>0</v>
      </c>
      <c r="D1481" s="1128">
        <v>82.81</v>
      </c>
      <c r="E1481" s="1126"/>
    </row>
    <row r="1482" spans="1:5" x14ac:dyDescent="0.2">
      <c r="A1482" s="1126" t="s">
        <v>2064</v>
      </c>
      <c r="B1482" s="1127">
        <v>130</v>
      </c>
      <c r="C1482" s="1128">
        <v>0</v>
      </c>
      <c r="D1482" s="1128">
        <v>14.42</v>
      </c>
      <c r="E1482" s="1126"/>
    </row>
    <row r="1483" spans="1:5" x14ac:dyDescent="0.2">
      <c r="A1483" s="1126" t="s">
        <v>2065</v>
      </c>
      <c r="B1483" s="1127">
        <v>31</v>
      </c>
      <c r="C1483" s="1128">
        <v>17.18</v>
      </c>
      <c r="D1483" s="1128">
        <v>38.49</v>
      </c>
      <c r="E1483" s="1126" t="s">
        <v>669</v>
      </c>
    </row>
    <row r="1484" spans="1:5" x14ac:dyDescent="0.2">
      <c r="A1484" s="1126" t="s">
        <v>2066</v>
      </c>
      <c r="B1484" s="1127">
        <v>84</v>
      </c>
      <c r="C1484" s="1128">
        <v>0</v>
      </c>
      <c r="D1484" s="1128">
        <v>16.25</v>
      </c>
      <c r="E1484" s="1126"/>
    </row>
    <row r="1485" spans="1:5" x14ac:dyDescent="0.2">
      <c r="A1485" s="1126" t="s">
        <v>2067</v>
      </c>
      <c r="B1485" s="1127">
        <v>322</v>
      </c>
      <c r="C1485" s="1128">
        <v>0</v>
      </c>
      <c r="D1485" s="1128">
        <v>190.59</v>
      </c>
      <c r="E1485" s="1126"/>
    </row>
    <row r="1486" spans="1:5" x14ac:dyDescent="0.2">
      <c r="A1486" s="1126" t="s">
        <v>2068</v>
      </c>
      <c r="B1486" s="1127">
        <v>357</v>
      </c>
      <c r="C1486" s="1128">
        <v>0</v>
      </c>
      <c r="D1486" s="1128">
        <v>130.09</v>
      </c>
      <c r="E1486" s="1126"/>
    </row>
    <row r="1487" spans="1:5" x14ac:dyDescent="0.2">
      <c r="A1487" s="1126" t="s">
        <v>2069</v>
      </c>
      <c r="B1487" s="1127">
        <v>46</v>
      </c>
      <c r="C1487" s="1128">
        <v>0</v>
      </c>
      <c r="D1487" s="1128">
        <v>15.42</v>
      </c>
      <c r="E1487" s="1126"/>
    </row>
    <row r="1488" spans="1:5" x14ac:dyDescent="0.2">
      <c r="A1488" s="1126" t="s">
        <v>2070</v>
      </c>
      <c r="B1488" s="1127">
        <v>131</v>
      </c>
      <c r="C1488" s="1128">
        <v>196.75</v>
      </c>
      <c r="D1488" s="1128">
        <v>286.79000000000002</v>
      </c>
      <c r="E1488" s="1126"/>
    </row>
    <row r="1489" spans="1:5" x14ac:dyDescent="0.2">
      <c r="A1489" s="1126" t="s">
        <v>2071</v>
      </c>
      <c r="B1489" s="1127">
        <v>60</v>
      </c>
      <c r="C1489" s="1128">
        <v>0</v>
      </c>
      <c r="D1489" s="1128">
        <v>21.79</v>
      </c>
      <c r="E1489" s="1126"/>
    </row>
    <row r="1490" spans="1:5" x14ac:dyDescent="0.2">
      <c r="A1490" s="1126" t="s">
        <v>2072</v>
      </c>
      <c r="B1490" s="1127">
        <v>270</v>
      </c>
      <c r="C1490" s="1128">
        <v>0</v>
      </c>
      <c r="D1490" s="1128">
        <v>21.3</v>
      </c>
      <c r="E1490" s="1126"/>
    </row>
    <row r="1491" spans="1:5" x14ac:dyDescent="0.2">
      <c r="A1491" s="1126" t="s">
        <v>2073</v>
      </c>
      <c r="B1491" s="1127">
        <v>247</v>
      </c>
      <c r="C1491" s="1128">
        <v>0</v>
      </c>
      <c r="D1491" s="1128">
        <v>24.47</v>
      </c>
      <c r="E1491" s="1126"/>
    </row>
    <row r="1492" spans="1:5" x14ac:dyDescent="0.2">
      <c r="A1492" s="1126" t="s">
        <v>2074</v>
      </c>
      <c r="B1492" s="1127">
        <v>406</v>
      </c>
      <c r="C1492" s="1128">
        <v>0</v>
      </c>
      <c r="D1492" s="1128">
        <v>275.72000000000003</v>
      </c>
      <c r="E1492" s="1126"/>
    </row>
    <row r="1493" spans="1:5" x14ac:dyDescent="0.2">
      <c r="A1493" s="1126" t="s">
        <v>2075</v>
      </c>
      <c r="B1493" s="1127">
        <v>238</v>
      </c>
      <c r="C1493" s="1128">
        <v>0</v>
      </c>
      <c r="D1493" s="1128">
        <v>81.489999999999995</v>
      </c>
      <c r="E1493" s="1126"/>
    </row>
    <row r="1494" spans="1:5" x14ac:dyDescent="0.2">
      <c r="A1494" s="1126" t="s">
        <v>2076</v>
      </c>
      <c r="B1494" s="1127">
        <v>89</v>
      </c>
      <c r="C1494" s="1128">
        <v>13.29</v>
      </c>
      <c r="D1494" s="1128">
        <v>74.459999999999994</v>
      </c>
      <c r="E1494" s="1126"/>
    </row>
    <row r="1495" spans="1:5" x14ac:dyDescent="0.2">
      <c r="A1495" s="1126" t="s">
        <v>2077</v>
      </c>
      <c r="B1495" s="1127">
        <v>163</v>
      </c>
      <c r="C1495" s="1128">
        <v>0</v>
      </c>
      <c r="D1495" s="1128">
        <v>45.38</v>
      </c>
      <c r="E1495" s="1126"/>
    </row>
    <row r="1496" spans="1:5" x14ac:dyDescent="0.2">
      <c r="A1496" s="1126" t="s">
        <v>2078</v>
      </c>
      <c r="B1496" s="1127">
        <v>181</v>
      </c>
      <c r="C1496" s="1128">
        <v>284.58999999999997</v>
      </c>
      <c r="D1496" s="1128">
        <v>409.01</v>
      </c>
      <c r="E1496" s="1126"/>
    </row>
    <row r="1497" spans="1:5" x14ac:dyDescent="0.2">
      <c r="A1497" s="1126" t="s">
        <v>2079</v>
      </c>
      <c r="B1497" s="1127">
        <v>50</v>
      </c>
      <c r="C1497" s="1128">
        <v>0</v>
      </c>
      <c r="D1497" s="1128">
        <v>23.69</v>
      </c>
      <c r="E1497" s="1126"/>
    </row>
    <row r="1498" spans="1:5" x14ac:dyDescent="0.2">
      <c r="A1498" s="1126" t="s">
        <v>2080</v>
      </c>
      <c r="B1498" s="1127">
        <v>404</v>
      </c>
      <c r="C1498" s="1128">
        <v>0</v>
      </c>
      <c r="D1498" s="1128">
        <v>120.25</v>
      </c>
      <c r="E1498" s="1126"/>
    </row>
    <row r="1499" spans="1:5" x14ac:dyDescent="0.2">
      <c r="A1499" s="1126" t="s">
        <v>2081</v>
      </c>
      <c r="B1499" s="1127">
        <v>368</v>
      </c>
      <c r="C1499" s="1128">
        <v>0</v>
      </c>
      <c r="D1499" s="1128">
        <v>132.06</v>
      </c>
      <c r="E1499" s="1126"/>
    </row>
    <row r="1500" spans="1:5" x14ac:dyDescent="0.2">
      <c r="A1500" s="1126" t="s">
        <v>2082</v>
      </c>
      <c r="B1500" s="1127">
        <v>195</v>
      </c>
      <c r="C1500" s="1128">
        <v>619.98</v>
      </c>
      <c r="D1500" s="1128">
        <v>754.02</v>
      </c>
      <c r="E1500" s="1126"/>
    </row>
    <row r="1501" spans="1:5" x14ac:dyDescent="0.2">
      <c r="A1501" s="1126" t="s">
        <v>2083</v>
      </c>
      <c r="B1501" s="1127">
        <v>51</v>
      </c>
      <c r="C1501" s="1128">
        <v>0</v>
      </c>
      <c r="D1501" s="1128">
        <v>21.95</v>
      </c>
      <c r="E1501" s="1126"/>
    </row>
    <row r="1502" spans="1:5" x14ac:dyDescent="0.2">
      <c r="A1502" s="1126" t="s">
        <v>2084</v>
      </c>
      <c r="B1502" s="1127">
        <v>208</v>
      </c>
      <c r="C1502" s="1128">
        <v>0</v>
      </c>
      <c r="D1502" s="1128">
        <v>37.909999999999997</v>
      </c>
      <c r="E1502" s="1126"/>
    </row>
    <row r="1503" spans="1:5" x14ac:dyDescent="0.2">
      <c r="A1503" s="1126" t="s">
        <v>2085</v>
      </c>
      <c r="B1503" s="1127">
        <v>319</v>
      </c>
      <c r="C1503" s="1128">
        <v>0</v>
      </c>
      <c r="D1503" s="1128">
        <v>9.2200000000000006</v>
      </c>
      <c r="E1503" s="1126"/>
    </row>
    <row r="1504" spans="1:5" x14ac:dyDescent="0.2">
      <c r="A1504" s="1126" t="s">
        <v>2086</v>
      </c>
      <c r="B1504" s="1127">
        <v>110</v>
      </c>
      <c r="C1504" s="1128">
        <v>0</v>
      </c>
      <c r="D1504" s="1128">
        <v>63.67</v>
      </c>
      <c r="E1504" s="1126"/>
    </row>
    <row r="1505" spans="1:5" x14ac:dyDescent="0.2">
      <c r="A1505" s="1126" t="s">
        <v>2087</v>
      </c>
      <c r="B1505" s="1127">
        <v>206</v>
      </c>
      <c r="C1505" s="1128">
        <v>0</v>
      </c>
      <c r="D1505" s="1128">
        <v>56.54</v>
      </c>
      <c r="E1505" s="1126"/>
    </row>
    <row r="1506" spans="1:5" x14ac:dyDescent="0.2">
      <c r="A1506" s="1126" t="s">
        <v>2088</v>
      </c>
      <c r="B1506" s="1127">
        <v>163</v>
      </c>
      <c r="C1506" s="1128">
        <v>0</v>
      </c>
      <c r="D1506" s="1128">
        <v>16.34</v>
      </c>
      <c r="E1506" s="1126"/>
    </row>
    <row r="1507" spans="1:5" x14ac:dyDescent="0.2">
      <c r="A1507" s="1126" t="s">
        <v>2089</v>
      </c>
      <c r="B1507" s="1127">
        <v>224</v>
      </c>
      <c r="C1507" s="1128">
        <v>0</v>
      </c>
      <c r="D1507" s="1128">
        <v>94.55</v>
      </c>
      <c r="E1507" s="1126"/>
    </row>
    <row r="1508" spans="1:5" x14ac:dyDescent="0.2">
      <c r="A1508" s="1126" t="s">
        <v>2090</v>
      </c>
      <c r="B1508" s="1127">
        <v>140</v>
      </c>
      <c r="C1508" s="1128">
        <v>0</v>
      </c>
      <c r="D1508" s="1128">
        <v>40.74</v>
      </c>
      <c r="E1508" s="1126"/>
    </row>
    <row r="1509" spans="1:5" x14ac:dyDescent="0.2">
      <c r="A1509" s="1126" t="s">
        <v>2091</v>
      </c>
      <c r="B1509" s="1127">
        <v>91</v>
      </c>
      <c r="C1509" s="1128">
        <v>0</v>
      </c>
      <c r="D1509" s="1128">
        <v>21.43</v>
      </c>
      <c r="E1509" s="1126"/>
    </row>
    <row r="1510" spans="1:5" x14ac:dyDescent="0.2">
      <c r="A1510" s="1126" t="s">
        <v>2092</v>
      </c>
      <c r="B1510" s="1127">
        <v>87</v>
      </c>
      <c r="C1510" s="1128">
        <v>0</v>
      </c>
      <c r="D1510" s="1128">
        <v>14.48</v>
      </c>
      <c r="E1510" s="1126"/>
    </row>
    <row r="1511" spans="1:5" x14ac:dyDescent="0.2">
      <c r="A1511" s="1126" t="s">
        <v>2093</v>
      </c>
      <c r="B1511" s="1127">
        <v>157</v>
      </c>
      <c r="C1511" s="1128">
        <v>0</v>
      </c>
      <c r="D1511" s="1128">
        <v>67.67</v>
      </c>
      <c r="E1511" s="1126"/>
    </row>
    <row r="1512" spans="1:5" x14ac:dyDescent="0.2">
      <c r="A1512" s="1126" t="s">
        <v>2094</v>
      </c>
      <c r="B1512" s="1127">
        <v>53</v>
      </c>
      <c r="C1512" s="1128">
        <v>0</v>
      </c>
      <c r="D1512" s="1128">
        <v>22.59</v>
      </c>
      <c r="E1512" s="1126"/>
    </row>
    <row r="1513" spans="1:5" x14ac:dyDescent="0.2">
      <c r="A1513" s="1126" t="s">
        <v>2095</v>
      </c>
      <c r="B1513" s="1127">
        <v>55</v>
      </c>
      <c r="C1513" s="1128">
        <v>0</v>
      </c>
      <c r="D1513" s="1128">
        <v>13.56</v>
      </c>
      <c r="E1513" s="1126"/>
    </row>
    <row r="1514" spans="1:5" x14ac:dyDescent="0.2">
      <c r="A1514" s="1126" t="s">
        <v>2096</v>
      </c>
      <c r="B1514" s="1127">
        <v>152</v>
      </c>
      <c r="C1514" s="1128">
        <v>0</v>
      </c>
      <c r="D1514" s="1128">
        <v>82.38</v>
      </c>
      <c r="E1514" s="1126"/>
    </row>
    <row r="1515" spans="1:5" x14ac:dyDescent="0.2">
      <c r="A1515" s="1126" t="s">
        <v>2097</v>
      </c>
      <c r="B1515" s="1127">
        <v>109</v>
      </c>
      <c r="C1515" s="1128">
        <v>0</v>
      </c>
      <c r="D1515" s="1128">
        <v>13.84</v>
      </c>
      <c r="E1515" s="1126"/>
    </row>
    <row r="1516" spans="1:5" x14ac:dyDescent="0.2">
      <c r="A1516" s="1126" t="s">
        <v>2098</v>
      </c>
      <c r="B1516" s="1127">
        <v>124</v>
      </c>
      <c r="C1516" s="1128">
        <v>0</v>
      </c>
      <c r="D1516" s="1128">
        <v>20.059999999999999</v>
      </c>
      <c r="E1516" s="1126"/>
    </row>
    <row r="1517" spans="1:5" x14ac:dyDescent="0.2">
      <c r="A1517" s="1126" t="s">
        <v>2099</v>
      </c>
      <c r="B1517" s="1127">
        <v>203</v>
      </c>
      <c r="C1517" s="1128">
        <v>0</v>
      </c>
      <c r="D1517" s="1128">
        <v>50.58</v>
      </c>
      <c r="E1517" s="1126"/>
    </row>
    <row r="1518" spans="1:5" x14ac:dyDescent="0.2">
      <c r="A1518" s="1126" t="s">
        <v>2100</v>
      </c>
      <c r="B1518" s="1127">
        <v>128</v>
      </c>
      <c r="C1518" s="1128">
        <v>0</v>
      </c>
      <c r="D1518" s="1128">
        <v>48.55</v>
      </c>
      <c r="E1518" s="1126"/>
    </row>
    <row r="1519" spans="1:5" x14ac:dyDescent="0.2">
      <c r="A1519" s="1126" t="s">
        <v>2101</v>
      </c>
      <c r="B1519" s="1127">
        <v>240</v>
      </c>
      <c r="C1519" s="1128">
        <v>0</v>
      </c>
      <c r="D1519" s="1128">
        <v>129.86000000000001</v>
      </c>
      <c r="E1519" s="1126"/>
    </row>
    <row r="1520" spans="1:5" x14ac:dyDescent="0.2">
      <c r="A1520" s="1126" t="s">
        <v>2102</v>
      </c>
      <c r="B1520" s="1127">
        <v>95</v>
      </c>
      <c r="C1520" s="1128">
        <v>24.71</v>
      </c>
      <c r="D1520" s="1128">
        <v>90.01</v>
      </c>
      <c r="E1520" s="1126"/>
    </row>
    <row r="1521" spans="1:5" x14ac:dyDescent="0.2">
      <c r="A1521" s="1126" t="s">
        <v>2103</v>
      </c>
      <c r="B1521" s="1127">
        <v>198</v>
      </c>
      <c r="C1521" s="1128">
        <v>0</v>
      </c>
      <c r="D1521" s="1128">
        <v>97.06</v>
      </c>
      <c r="E1521" s="1126"/>
    </row>
    <row r="1522" spans="1:5" x14ac:dyDescent="0.2">
      <c r="A1522" s="1126" t="s">
        <v>2104</v>
      </c>
      <c r="B1522" s="1127">
        <v>203</v>
      </c>
      <c r="C1522" s="1128">
        <v>0</v>
      </c>
      <c r="D1522" s="1128">
        <v>59.4</v>
      </c>
      <c r="E1522" s="1126"/>
    </row>
    <row r="1523" spans="1:5" x14ac:dyDescent="0.2">
      <c r="A1523" s="1126" t="s">
        <v>2105</v>
      </c>
      <c r="B1523" s="1127">
        <v>59</v>
      </c>
      <c r="C1523" s="1128">
        <v>0</v>
      </c>
      <c r="D1523" s="1128">
        <v>10.61</v>
      </c>
      <c r="E1523" s="1126"/>
    </row>
    <row r="1524" spans="1:5" x14ac:dyDescent="0.2">
      <c r="A1524" s="1126" t="s">
        <v>2106</v>
      </c>
      <c r="B1524" s="1127">
        <v>441</v>
      </c>
      <c r="C1524" s="1128">
        <v>0</v>
      </c>
      <c r="D1524" s="1128">
        <v>73.39</v>
      </c>
      <c r="E1524" s="1126"/>
    </row>
    <row r="1525" spans="1:5" x14ac:dyDescent="0.2">
      <c r="A1525" s="1126" t="s">
        <v>2107</v>
      </c>
      <c r="B1525" s="1127">
        <v>87</v>
      </c>
      <c r="C1525" s="1128">
        <v>0</v>
      </c>
      <c r="D1525" s="1128">
        <v>0</v>
      </c>
      <c r="E1525" s="1126"/>
    </row>
    <row r="1526" spans="1:5" x14ac:dyDescent="0.2">
      <c r="A1526" s="1126" t="s">
        <v>2108</v>
      </c>
      <c r="B1526" s="1127">
        <v>62</v>
      </c>
      <c r="C1526" s="1128">
        <v>7.86</v>
      </c>
      <c r="D1526" s="1128">
        <v>50.48</v>
      </c>
      <c r="E1526" s="1126"/>
    </row>
    <row r="1527" spans="1:5" x14ac:dyDescent="0.2">
      <c r="A1527" s="1126" t="s">
        <v>2109</v>
      </c>
      <c r="B1527" s="1127">
        <v>72</v>
      </c>
      <c r="C1527" s="1128">
        <v>0</v>
      </c>
      <c r="D1527" s="1128">
        <v>24.18</v>
      </c>
      <c r="E1527" s="1126"/>
    </row>
    <row r="1528" spans="1:5" x14ac:dyDescent="0.2">
      <c r="A1528" s="1126" t="s">
        <v>2110</v>
      </c>
      <c r="B1528" s="1127">
        <v>155</v>
      </c>
      <c r="C1528" s="1128">
        <v>0</v>
      </c>
      <c r="D1528" s="1128">
        <v>40.18</v>
      </c>
      <c r="E1528" s="1126"/>
    </row>
    <row r="1529" spans="1:5" x14ac:dyDescent="0.2">
      <c r="A1529" s="1126" t="s">
        <v>2111</v>
      </c>
      <c r="B1529" s="1127">
        <v>57</v>
      </c>
      <c r="C1529" s="1128">
        <v>48.66</v>
      </c>
      <c r="D1529" s="1128">
        <v>87.84</v>
      </c>
      <c r="E1529" s="1126"/>
    </row>
    <row r="1530" spans="1:5" x14ac:dyDescent="0.2">
      <c r="A1530" s="1126" t="s">
        <v>2112</v>
      </c>
      <c r="B1530" s="1127">
        <v>58</v>
      </c>
      <c r="C1530" s="1128">
        <v>0</v>
      </c>
      <c r="D1530" s="1128">
        <v>0</v>
      </c>
      <c r="E1530" s="1126"/>
    </row>
    <row r="1531" spans="1:5" x14ac:dyDescent="0.2">
      <c r="A1531" s="1126" t="s">
        <v>2113</v>
      </c>
      <c r="B1531" s="1127">
        <v>44</v>
      </c>
      <c r="C1531" s="1128">
        <v>0</v>
      </c>
      <c r="D1531" s="1128">
        <v>26.33</v>
      </c>
      <c r="E1531" s="1126"/>
    </row>
    <row r="1532" spans="1:5" x14ac:dyDescent="0.2">
      <c r="A1532" s="1126" t="s">
        <v>2114</v>
      </c>
      <c r="B1532" s="1127">
        <v>376</v>
      </c>
      <c r="C1532" s="1128">
        <v>0</v>
      </c>
      <c r="D1532" s="1128">
        <v>108.52</v>
      </c>
      <c r="E1532" s="1126"/>
    </row>
    <row r="1533" spans="1:5" x14ac:dyDescent="0.2">
      <c r="A1533" s="1126" t="s">
        <v>2115</v>
      </c>
      <c r="B1533" s="1127">
        <v>122</v>
      </c>
      <c r="C1533" s="1128">
        <v>0</v>
      </c>
      <c r="D1533" s="1128">
        <v>82.86</v>
      </c>
      <c r="E1533" s="1126"/>
    </row>
    <row r="1534" spans="1:5" x14ac:dyDescent="0.2">
      <c r="A1534" s="1126" t="s">
        <v>2116</v>
      </c>
      <c r="B1534" s="1127">
        <v>72</v>
      </c>
      <c r="C1534" s="1128">
        <v>0</v>
      </c>
      <c r="D1534" s="1128">
        <v>13.81</v>
      </c>
      <c r="E1534" s="1126"/>
    </row>
    <row r="1535" spans="1:5" x14ac:dyDescent="0.2">
      <c r="A1535" s="1126" t="s">
        <v>2117</v>
      </c>
      <c r="B1535" s="1127">
        <v>66</v>
      </c>
      <c r="C1535" s="1128">
        <v>0</v>
      </c>
      <c r="D1535" s="1128">
        <v>0</v>
      </c>
      <c r="E1535" s="1126"/>
    </row>
    <row r="1536" spans="1:5" x14ac:dyDescent="0.2">
      <c r="A1536" s="1126" t="s">
        <v>2118</v>
      </c>
      <c r="B1536" s="1127">
        <v>157</v>
      </c>
      <c r="C1536" s="1128">
        <v>0</v>
      </c>
      <c r="D1536" s="1128">
        <v>9.9499999999999993</v>
      </c>
      <c r="E1536" s="1126"/>
    </row>
    <row r="1537" spans="1:5" x14ac:dyDescent="0.2">
      <c r="A1537" s="1126" t="s">
        <v>2119</v>
      </c>
      <c r="B1537" s="1127">
        <v>172</v>
      </c>
      <c r="C1537" s="1128">
        <v>66.3</v>
      </c>
      <c r="D1537" s="1128">
        <v>184.53</v>
      </c>
      <c r="E1537" s="1126"/>
    </row>
    <row r="1538" spans="1:5" x14ac:dyDescent="0.2">
      <c r="A1538" s="1126" t="s">
        <v>2120</v>
      </c>
      <c r="B1538" s="1127">
        <v>341</v>
      </c>
      <c r="C1538" s="1128">
        <v>0</v>
      </c>
      <c r="D1538" s="1128">
        <v>213.81</v>
      </c>
      <c r="E1538" s="1126"/>
    </row>
    <row r="1539" spans="1:5" x14ac:dyDescent="0.2">
      <c r="A1539" s="1126" t="s">
        <v>2121</v>
      </c>
      <c r="B1539" s="1127">
        <v>109</v>
      </c>
      <c r="C1539" s="1128">
        <v>0</v>
      </c>
      <c r="D1539" s="1128">
        <v>39.35</v>
      </c>
      <c r="E1539" s="1126"/>
    </row>
    <row r="1540" spans="1:5" x14ac:dyDescent="0.2">
      <c r="A1540" s="1126" t="s">
        <v>2122</v>
      </c>
      <c r="B1540" s="1127">
        <v>155</v>
      </c>
      <c r="C1540" s="1128">
        <v>31</v>
      </c>
      <c r="D1540" s="1128">
        <v>137.54</v>
      </c>
      <c r="E1540" s="1126"/>
    </row>
    <row r="1541" spans="1:5" x14ac:dyDescent="0.2">
      <c r="A1541" s="1126" t="s">
        <v>2123</v>
      </c>
      <c r="B1541" s="1127">
        <v>255</v>
      </c>
      <c r="C1541" s="1128">
        <v>894.4</v>
      </c>
      <c r="D1541" s="1128">
        <v>1069.68</v>
      </c>
      <c r="E1541" s="1126"/>
    </row>
    <row r="1542" spans="1:5" x14ac:dyDescent="0.2">
      <c r="A1542" s="1126" t="s">
        <v>2124</v>
      </c>
      <c r="B1542" s="1127">
        <v>201</v>
      </c>
      <c r="C1542" s="1128">
        <v>0</v>
      </c>
      <c r="D1542" s="1128">
        <v>44.55</v>
      </c>
      <c r="E1542" s="1126"/>
    </row>
    <row r="1543" spans="1:5" x14ac:dyDescent="0.2">
      <c r="A1543" s="1126" t="s">
        <v>2125</v>
      </c>
      <c r="B1543" s="1127">
        <v>200</v>
      </c>
      <c r="C1543" s="1128">
        <v>0</v>
      </c>
      <c r="D1543" s="1128">
        <v>49.56</v>
      </c>
      <c r="E1543" s="1126"/>
    </row>
    <row r="1544" spans="1:5" x14ac:dyDescent="0.2">
      <c r="A1544" s="1126" t="s">
        <v>2126</v>
      </c>
      <c r="B1544" s="1127">
        <v>85</v>
      </c>
      <c r="C1544" s="1128">
        <v>0</v>
      </c>
      <c r="D1544" s="1128">
        <v>13.4</v>
      </c>
      <c r="E1544" s="1126"/>
    </row>
    <row r="1545" spans="1:5" x14ac:dyDescent="0.2">
      <c r="A1545" s="1126" t="s">
        <v>2127</v>
      </c>
      <c r="B1545" s="1127">
        <v>60</v>
      </c>
      <c r="C1545" s="1128">
        <v>0</v>
      </c>
      <c r="D1545" s="1128">
        <v>0</v>
      </c>
      <c r="E1545" s="1126"/>
    </row>
    <row r="1546" spans="1:5" x14ac:dyDescent="0.2">
      <c r="A1546" s="1126" t="s">
        <v>2128</v>
      </c>
      <c r="B1546" s="1127">
        <v>52</v>
      </c>
      <c r="C1546" s="1128">
        <v>0</v>
      </c>
      <c r="D1546" s="1128">
        <v>31.39</v>
      </c>
      <c r="E1546" s="1126"/>
    </row>
    <row r="1547" spans="1:5" x14ac:dyDescent="0.2">
      <c r="A1547" s="1126" t="s">
        <v>2129</v>
      </c>
      <c r="B1547" s="1127">
        <v>149</v>
      </c>
      <c r="C1547" s="1128">
        <v>0</v>
      </c>
      <c r="D1547" s="1128">
        <v>24.29</v>
      </c>
      <c r="E1547" s="1126"/>
    </row>
    <row r="1548" spans="1:5" x14ac:dyDescent="0.2">
      <c r="A1548" s="1126" t="s">
        <v>2130</v>
      </c>
      <c r="B1548" s="1127">
        <v>113</v>
      </c>
      <c r="C1548" s="1128">
        <v>0</v>
      </c>
      <c r="D1548" s="1128">
        <v>75.239999999999995</v>
      </c>
      <c r="E1548" s="1126"/>
    </row>
    <row r="1549" spans="1:5" x14ac:dyDescent="0.2">
      <c r="A1549" s="1126" t="s">
        <v>2131</v>
      </c>
      <c r="B1549" s="1127">
        <v>153</v>
      </c>
      <c r="C1549" s="1128">
        <v>211.08</v>
      </c>
      <c r="D1549" s="1128">
        <v>316.24</v>
      </c>
      <c r="E1549" s="1126"/>
    </row>
    <row r="1550" spans="1:5" x14ac:dyDescent="0.2">
      <c r="A1550" s="1126" t="s">
        <v>2132</v>
      </c>
      <c r="B1550" s="1127">
        <v>226</v>
      </c>
      <c r="C1550" s="1128">
        <v>0</v>
      </c>
      <c r="D1550" s="1128">
        <v>4.28</v>
      </c>
      <c r="E1550" s="1126"/>
    </row>
    <row r="1551" spans="1:5" x14ac:dyDescent="0.2">
      <c r="A1551" s="1126" t="s">
        <v>2133</v>
      </c>
      <c r="B1551" s="1127">
        <v>160</v>
      </c>
      <c r="C1551" s="1128">
        <v>0</v>
      </c>
      <c r="D1551" s="1128">
        <v>23.87</v>
      </c>
      <c r="E1551" s="1126"/>
    </row>
    <row r="1552" spans="1:5" x14ac:dyDescent="0.2">
      <c r="A1552" s="1126" t="s">
        <v>2134</v>
      </c>
      <c r="B1552" s="1127">
        <v>192</v>
      </c>
      <c r="C1552" s="1128">
        <v>0</v>
      </c>
      <c r="D1552" s="1128">
        <v>32.72</v>
      </c>
      <c r="E1552" s="1126"/>
    </row>
    <row r="1553" spans="1:5" x14ac:dyDescent="0.2">
      <c r="A1553" s="1126" t="s">
        <v>2135</v>
      </c>
      <c r="B1553" s="1127">
        <v>118</v>
      </c>
      <c r="C1553" s="1128">
        <v>0</v>
      </c>
      <c r="D1553" s="1128">
        <v>62.8</v>
      </c>
      <c r="E1553" s="1126"/>
    </row>
    <row r="1554" spans="1:5" x14ac:dyDescent="0.2">
      <c r="A1554" s="1126" t="s">
        <v>2136</v>
      </c>
      <c r="B1554" s="1127">
        <v>76</v>
      </c>
      <c r="C1554" s="1128">
        <v>0</v>
      </c>
      <c r="D1554" s="1128">
        <v>10.210000000000001</v>
      </c>
      <c r="E1554" s="1126"/>
    </row>
    <row r="1555" spans="1:5" x14ac:dyDescent="0.2">
      <c r="A1555" s="1126" t="s">
        <v>2137</v>
      </c>
      <c r="B1555" s="1127">
        <v>169</v>
      </c>
      <c r="C1555" s="1128">
        <v>6.96</v>
      </c>
      <c r="D1555" s="1128">
        <v>123.12</v>
      </c>
      <c r="E1555" s="1126"/>
    </row>
    <row r="1556" spans="1:5" x14ac:dyDescent="0.2">
      <c r="A1556" s="1126" t="s">
        <v>2138</v>
      </c>
      <c r="B1556" s="1127">
        <v>77</v>
      </c>
      <c r="C1556" s="1128">
        <v>0</v>
      </c>
      <c r="D1556" s="1128">
        <v>5.77</v>
      </c>
      <c r="E1556" s="1126"/>
    </row>
    <row r="1557" spans="1:5" x14ac:dyDescent="0.2">
      <c r="A1557" s="1126" t="s">
        <v>2139</v>
      </c>
      <c r="B1557" s="1127">
        <v>111</v>
      </c>
      <c r="C1557" s="1128">
        <v>0</v>
      </c>
      <c r="D1557" s="1128">
        <v>23.72</v>
      </c>
      <c r="E1557" s="1126"/>
    </row>
    <row r="1558" spans="1:5" x14ac:dyDescent="0.2">
      <c r="A1558" s="1126" t="s">
        <v>2140</v>
      </c>
      <c r="B1558" s="1127">
        <v>172</v>
      </c>
      <c r="C1558" s="1128">
        <v>0</v>
      </c>
      <c r="D1558" s="1128">
        <v>34.65</v>
      </c>
      <c r="E1558" s="1126"/>
    </row>
    <row r="1559" spans="1:5" x14ac:dyDescent="0.2">
      <c r="A1559" s="1126" t="s">
        <v>2141</v>
      </c>
      <c r="B1559" s="1127">
        <v>168</v>
      </c>
      <c r="C1559" s="1128">
        <v>131.83000000000001</v>
      </c>
      <c r="D1559" s="1128">
        <v>247.31</v>
      </c>
      <c r="E1559" s="1126"/>
    </row>
    <row r="1560" spans="1:5" x14ac:dyDescent="0.2">
      <c r="A1560" s="1126" t="s">
        <v>2142</v>
      </c>
      <c r="B1560" s="1127">
        <v>86</v>
      </c>
      <c r="C1560" s="1128">
        <v>10.63</v>
      </c>
      <c r="D1560" s="1128">
        <v>69.739999999999995</v>
      </c>
      <c r="E1560" s="1126"/>
    </row>
    <row r="1561" spans="1:5" x14ac:dyDescent="0.2">
      <c r="A1561" s="1126" t="s">
        <v>2143</v>
      </c>
      <c r="B1561" s="1127">
        <v>314</v>
      </c>
      <c r="C1561" s="1128">
        <v>0</v>
      </c>
      <c r="D1561" s="1128">
        <v>125.9</v>
      </c>
      <c r="E1561" s="1126"/>
    </row>
    <row r="1562" spans="1:5" x14ac:dyDescent="0.2">
      <c r="A1562" s="1126" t="s">
        <v>2144</v>
      </c>
      <c r="B1562" s="1127">
        <v>49</v>
      </c>
      <c r="C1562" s="1128">
        <v>0</v>
      </c>
      <c r="D1562" s="1128">
        <v>4.9800000000000004</v>
      </c>
      <c r="E1562" s="1126"/>
    </row>
    <row r="1563" spans="1:5" x14ac:dyDescent="0.2">
      <c r="A1563" s="1126" t="s">
        <v>2145</v>
      </c>
      <c r="B1563" s="1127">
        <v>81</v>
      </c>
      <c r="C1563" s="1128">
        <v>0</v>
      </c>
      <c r="D1563" s="1128">
        <v>44.26</v>
      </c>
      <c r="E1563" s="1126"/>
    </row>
    <row r="1564" spans="1:5" x14ac:dyDescent="0.2">
      <c r="A1564" s="1126" t="s">
        <v>2146</v>
      </c>
      <c r="B1564" s="1127">
        <v>251</v>
      </c>
      <c r="C1564" s="1128">
        <v>0</v>
      </c>
      <c r="D1564" s="1128">
        <v>8.9700000000000006</v>
      </c>
      <c r="E1564" s="1126"/>
    </row>
    <row r="1565" spans="1:5" x14ac:dyDescent="0.2">
      <c r="A1565" s="1126" t="s">
        <v>2147</v>
      </c>
      <c r="B1565" s="1127">
        <v>83</v>
      </c>
      <c r="C1565" s="1128">
        <v>1.78</v>
      </c>
      <c r="D1565" s="1128">
        <v>58.83</v>
      </c>
      <c r="E1565" s="1126"/>
    </row>
    <row r="1566" spans="1:5" x14ac:dyDescent="0.2">
      <c r="A1566" s="1126" t="s">
        <v>2148</v>
      </c>
      <c r="B1566" s="1127">
        <v>437</v>
      </c>
      <c r="C1566" s="1128">
        <v>283.8</v>
      </c>
      <c r="D1566" s="1128">
        <v>584.17999999999995</v>
      </c>
      <c r="E1566" s="1126"/>
    </row>
    <row r="1567" spans="1:5" x14ac:dyDescent="0.2">
      <c r="A1567" s="1126" t="s">
        <v>2149</v>
      </c>
      <c r="B1567" s="1127">
        <v>86</v>
      </c>
      <c r="C1567" s="1128">
        <v>2.11</v>
      </c>
      <c r="D1567" s="1128">
        <v>61.22</v>
      </c>
      <c r="E1567" s="1126"/>
    </row>
    <row r="1568" spans="1:5" x14ac:dyDescent="0.2">
      <c r="A1568" s="1126" t="s">
        <v>2150</v>
      </c>
      <c r="B1568" s="1127">
        <v>114</v>
      </c>
      <c r="C1568" s="1128">
        <v>0</v>
      </c>
      <c r="D1568" s="1128">
        <v>38.86</v>
      </c>
      <c r="E1568" s="1126"/>
    </row>
    <row r="1569" spans="1:5" x14ac:dyDescent="0.2">
      <c r="A1569" s="1126" t="s">
        <v>2151</v>
      </c>
      <c r="B1569" s="1127">
        <v>216</v>
      </c>
      <c r="C1569" s="1128">
        <v>68.900000000000006</v>
      </c>
      <c r="D1569" s="1128">
        <v>217.37</v>
      </c>
      <c r="E1569" s="1126"/>
    </row>
    <row r="1570" spans="1:5" x14ac:dyDescent="0.2">
      <c r="A1570" s="1126" t="s">
        <v>2152</v>
      </c>
      <c r="B1570" s="1127">
        <v>105</v>
      </c>
      <c r="C1570" s="1128">
        <v>0</v>
      </c>
      <c r="D1570" s="1128">
        <v>28.28</v>
      </c>
      <c r="E1570" s="1126"/>
    </row>
    <row r="1571" spans="1:5" x14ac:dyDescent="0.2">
      <c r="A1571" s="1126" t="s">
        <v>2153</v>
      </c>
      <c r="B1571" s="1127">
        <v>275</v>
      </c>
      <c r="C1571" s="1128">
        <v>0</v>
      </c>
      <c r="D1571" s="1128">
        <v>37.409999999999997</v>
      </c>
      <c r="E1571" s="1126"/>
    </row>
    <row r="1572" spans="1:5" x14ac:dyDescent="0.2">
      <c r="A1572" s="1126" t="s">
        <v>2154</v>
      </c>
      <c r="B1572" s="1127">
        <v>87</v>
      </c>
      <c r="C1572" s="1128">
        <v>6.94</v>
      </c>
      <c r="D1572" s="1128">
        <v>66.739999999999995</v>
      </c>
      <c r="E1572" s="1126"/>
    </row>
    <row r="1573" spans="1:5" x14ac:dyDescent="0.2">
      <c r="A1573" s="1126" t="s">
        <v>2155</v>
      </c>
      <c r="B1573" s="1127">
        <v>64</v>
      </c>
      <c r="C1573" s="1128">
        <v>49.4</v>
      </c>
      <c r="D1573" s="1128">
        <v>93.39</v>
      </c>
      <c r="E1573" s="1126"/>
    </row>
    <row r="1574" spans="1:5" x14ac:dyDescent="0.2">
      <c r="A1574" s="1126" t="s">
        <v>2156</v>
      </c>
      <c r="B1574" s="1127">
        <v>335</v>
      </c>
      <c r="C1574" s="1128">
        <v>0</v>
      </c>
      <c r="D1574" s="1128">
        <v>56.15</v>
      </c>
      <c r="E1574" s="1126"/>
    </row>
    <row r="1575" spans="1:5" x14ac:dyDescent="0.2">
      <c r="A1575" s="1126" t="s">
        <v>2157</v>
      </c>
      <c r="B1575" s="1127">
        <v>232</v>
      </c>
      <c r="C1575" s="1128">
        <v>0</v>
      </c>
      <c r="D1575" s="1128">
        <v>131.22999999999999</v>
      </c>
      <c r="E1575" s="1126"/>
    </row>
    <row r="1576" spans="1:5" x14ac:dyDescent="0.2">
      <c r="A1576" s="1126" t="s">
        <v>2158</v>
      </c>
      <c r="B1576" s="1127">
        <v>149</v>
      </c>
      <c r="C1576" s="1128">
        <v>0</v>
      </c>
      <c r="D1576" s="1128">
        <v>52.11</v>
      </c>
      <c r="E1576" s="1126"/>
    </row>
    <row r="1577" spans="1:5" x14ac:dyDescent="0.2">
      <c r="A1577" s="1126" t="s">
        <v>2159</v>
      </c>
      <c r="B1577" s="1127">
        <v>153</v>
      </c>
      <c r="C1577" s="1128">
        <v>0</v>
      </c>
      <c r="D1577" s="1128">
        <v>58.77</v>
      </c>
      <c r="E1577" s="1126"/>
    </row>
    <row r="1578" spans="1:5" x14ac:dyDescent="0.2">
      <c r="A1578" s="1126" t="s">
        <v>2160</v>
      </c>
      <c r="B1578" s="1127">
        <v>190</v>
      </c>
      <c r="C1578" s="1128">
        <v>25.23</v>
      </c>
      <c r="D1578" s="1128">
        <v>155.83000000000001</v>
      </c>
      <c r="E1578" s="1126"/>
    </row>
    <row r="1579" spans="1:5" x14ac:dyDescent="0.2">
      <c r="A1579" s="1126" t="s">
        <v>2161</v>
      </c>
      <c r="B1579" s="1127">
        <v>122</v>
      </c>
      <c r="C1579" s="1128">
        <v>85.05</v>
      </c>
      <c r="D1579" s="1128">
        <v>168.91</v>
      </c>
      <c r="E1579" s="1126"/>
    </row>
    <row r="1580" spans="1:5" x14ac:dyDescent="0.2">
      <c r="A1580" s="1126" t="s">
        <v>2162</v>
      </c>
      <c r="B1580" s="1127">
        <v>267</v>
      </c>
      <c r="C1580" s="1128">
        <v>0</v>
      </c>
      <c r="D1580" s="1128">
        <v>61.9</v>
      </c>
      <c r="E1580" s="1126"/>
    </row>
    <row r="1581" spans="1:5" x14ac:dyDescent="0.2">
      <c r="A1581" s="1126" t="s">
        <v>2163</v>
      </c>
      <c r="B1581" s="1127">
        <v>396</v>
      </c>
      <c r="C1581" s="1128">
        <v>56.44</v>
      </c>
      <c r="D1581" s="1128">
        <v>328.63</v>
      </c>
      <c r="E1581" s="1126"/>
    </row>
    <row r="1582" spans="1:5" x14ac:dyDescent="0.2">
      <c r="A1582" s="1126" t="s">
        <v>2164</v>
      </c>
      <c r="B1582" s="1127">
        <v>75</v>
      </c>
      <c r="C1582" s="1128">
        <v>0</v>
      </c>
      <c r="D1582" s="1128">
        <v>22.26</v>
      </c>
      <c r="E1582" s="1126"/>
    </row>
    <row r="1583" spans="1:5" x14ac:dyDescent="0.2">
      <c r="A1583" s="1126" t="s">
        <v>2165</v>
      </c>
      <c r="B1583" s="1127">
        <v>62</v>
      </c>
      <c r="C1583" s="1128">
        <v>0</v>
      </c>
      <c r="D1583" s="1128">
        <v>18.96</v>
      </c>
      <c r="E1583" s="1126"/>
    </row>
    <row r="1584" spans="1:5" x14ac:dyDescent="0.2">
      <c r="A1584" s="1126" t="s">
        <v>2166</v>
      </c>
      <c r="B1584" s="1127">
        <v>166</v>
      </c>
      <c r="C1584" s="1128">
        <v>0</v>
      </c>
      <c r="D1584" s="1128">
        <v>13.33</v>
      </c>
      <c r="E1584" s="1126"/>
    </row>
    <row r="1585" spans="1:5" x14ac:dyDescent="0.2">
      <c r="A1585" s="1126" t="s">
        <v>2167</v>
      </c>
      <c r="B1585" s="1127">
        <v>97</v>
      </c>
      <c r="C1585" s="1128">
        <v>0</v>
      </c>
      <c r="D1585" s="1128">
        <v>32.79</v>
      </c>
      <c r="E1585" s="1126"/>
    </row>
    <row r="1586" spans="1:5" x14ac:dyDescent="0.2">
      <c r="A1586" s="1126" t="s">
        <v>2168</v>
      </c>
      <c r="B1586" s="1127">
        <v>137</v>
      </c>
      <c r="C1586" s="1128">
        <v>0</v>
      </c>
      <c r="D1586" s="1128">
        <v>38.799999999999997</v>
      </c>
      <c r="E1586" s="1126"/>
    </row>
    <row r="1587" spans="1:5" x14ac:dyDescent="0.2">
      <c r="A1587" s="1126" t="s">
        <v>2169</v>
      </c>
      <c r="B1587" s="1127">
        <v>198</v>
      </c>
      <c r="C1587" s="1128">
        <v>516.76</v>
      </c>
      <c r="D1587" s="1128">
        <v>652.86</v>
      </c>
      <c r="E1587" s="1126"/>
    </row>
    <row r="1588" spans="1:5" x14ac:dyDescent="0.2">
      <c r="A1588" s="1126" t="s">
        <v>2170</v>
      </c>
      <c r="B1588" s="1127">
        <v>60</v>
      </c>
      <c r="C1588" s="1128">
        <v>21.21</v>
      </c>
      <c r="D1588" s="1128">
        <v>62.45</v>
      </c>
      <c r="E1588" s="1126"/>
    </row>
    <row r="1589" spans="1:5" x14ac:dyDescent="0.2">
      <c r="A1589" s="1126" t="s">
        <v>2171</v>
      </c>
      <c r="B1589" s="1127">
        <v>118</v>
      </c>
      <c r="C1589" s="1128">
        <v>0</v>
      </c>
      <c r="D1589" s="1128">
        <v>23.42</v>
      </c>
      <c r="E1589" s="1126"/>
    </row>
    <row r="1590" spans="1:5" x14ac:dyDescent="0.2">
      <c r="A1590" s="1126" t="s">
        <v>2172</v>
      </c>
      <c r="B1590" s="1127">
        <v>195</v>
      </c>
      <c r="C1590" s="1128">
        <v>0</v>
      </c>
      <c r="D1590" s="1128">
        <v>132.43</v>
      </c>
      <c r="E1590" s="1126"/>
    </row>
    <row r="1591" spans="1:5" x14ac:dyDescent="0.2">
      <c r="A1591" s="1126" t="s">
        <v>2173</v>
      </c>
      <c r="B1591" s="1127">
        <v>198</v>
      </c>
      <c r="C1591" s="1128">
        <v>0</v>
      </c>
      <c r="D1591" s="1128">
        <v>75.38</v>
      </c>
      <c r="E1591" s="1126"/>
    </row>
    <row r="1592" spans="1:5" x14ac:dyDescent="0.2">
      <c r="A1592" s="1126" t="s">
        <v>2174</v>
      </c>
      <c r="B1592" s="1127">
        <v>62</v>
      </c>
      <c r="C1592" s="1128">
        <v>0</v>
      </c>
      <c r="D1592" s="1128">
        <v>34.83</v>
      </c>
      <c r="E1592" s="1126"/>
    </row>
    <row r="1593" spans="1:5" x14ac:dyDescent="0.2">
      <c r="A1593" s="1126" t="s">
        <v>2175</v>
      </c>
      <c r="B1593" s="1127">
        <v>155</v>
      </c>
      <c r="C1593" s="1128">
        <v>0</v>
      </c>
      <c r="D1593" s="1128">
        <v>4.96</v>
      </c>
      <c r="E1593" s="1126"/>
    </row>
    <row r="1594" spans="1:5" x14ac:dyDescent="0.2">
      <c r="A1594" s="1126" t="s">
        <v>2176</v>
      </c>
      <c r="B1594" s="1127">
        <v>300</v>
      </c>
      <c r="C1594" s="1128">
        <v>0</v>
      </c>
      <c r="D1594" s="1128">
        <v>187.86</v>
      </c>
      <c r="E1594" s="1126"/>
    </row>
    <row r="1595" spans="1:5" x14ac:dyDescent="0.2">
      <c r="A1595" s="1126" t="s">
        <v>2177</v>
      </c>
      <c r="B1595" s="1127">
        <v>89</v>
      </c>
      <c r="C1595" s="1128">
        <v>0</v>
      </c>
      <c r="D1595" s="1128">
        <v>26.87</v>
      </c>
      <c r="E1595" s="1126"/>
    </row>
    <row r="1596" spans="1:5" x14ac:dyDescent="0.2">
      <c r="A1596" s="1126" t="s">
        <v>2178</v>
      </c>
      <c r="B1596" s="1127">
        <v>242</v>
      </c>
      <c r="C1596" s="1128">
        <v>0</v>
      </c>
      <c r="D1596" s="1128">
        <v>14.11</v>
      </c>
      <c r="E1596" s="1126"/>
    </row>
    <row r="1597" spans="1:5" x14ac:dyDescent="0.2">
      <c r="A1597" s="1126" t="s">
        <v>2179</v>
      </c>
      <c r="B1597" s="1127">
        <v>161</v>
      </c>
      <c r="C1597" s="1128">
        <v>0</v>
      </c>
      <c r="D1597" s="1128">
        <v>17.12</v>
      </c>
      <c r="E1597" s="1126"/>
    </row>
    <row r="1598" spans="1:5" x14ac:dyDescent="0.2">
      <c r="A1598" s="1126" t="s">
        <v>2180</v>
      </c>
      <c r="B1598" s="1127">
        <v>87</v>
      </c>
      <c r="C1598" s="1128">
        <v>0</v>
      </c>
      <c r="D1598" s="1128">
        <v>45.63</v>
      </c>
      <c r="E1598" s="1126"/>
    </row>
    <row r="1599" spans="1:5" x14ac:dyDescent="0.2">
      <c r="A1599" s="1126" t="s">
        <v>2181</v>
      </c>
      <c r="B1599" s="1127">
        <v>549</v>
      </c>
      <c r="C1599" s="1128">
        <v>0</v>
      </c>
      <c r="D1599" s="1128">
        <v>146.97999999999999</v>
      </c>
      <c r="E1599" s="1126"/>
    </row>
    <row r="1600" spans="1:5" x14ac:dyDescent="0.2">
      <c r="A1600" s="1126" t="s">
        <v>2182</v>
      </c>
      <c r="B1600" s="1127">
        <v>240</v>
      </c>
      <c r="C1600" s="1128">
        <v>0</v>
      </c>
      <c r="D1600" s="1128">
        <v>6.22</v>
      </c>
      <c r="E1600" s="1126"/>
    </row>
    <row r="1601" spans="1:5" x14ac:dyDescent="0.2">
      <c r="A1601" s="1126" t="s">
        <v>2183</v>
      </c>
      <c r="B1601" s="1127">
        <v>144</v>
      </c>
      <c r="C1601" s="1128">
        <v>11.18</v>
      </c>
      <c r="D1601" s="1128">
        <v>110.16</v>
      </c>
      <c r="E1601" s="1126"/>
    </row>
    <row r="1602" spans="1:5" x14ac:dyDescent="0.2">
      <c r="A1602" s="1126" t="s">
        <v>2184</v>
      </c>
      <c r="B1602" s="1127">
        <v>414</v>
      </c>
      <c r="C1602" s="1128">
        <v>0</v>
      </c>
      <c r="D1602" s="1128">
        <v>121.57</v>
      </c>
      <c r="E1602" s="1126"/>
    </row>
    <row r="1603" spans="1:5" x14ac:dyDescent="0.2">
      <c r="A1603" s="1126" t="s">
        <v>2185</v>
      </c>
      <c r="B1603" s="1127">
        <v>90</v>
      </c>
      <c r="C1603" s="1128">
        <v>0</v>
      </c>
      <c r="D1603" s="1128">
        <v>24.58</v>
      </c>
      <c r="E1603" s="1126"/>
    </row>
    <row r="1604" spans="1:5" x14ac:dyDescent="0.2">
      <c r="A1604" s="1126" t="s">
        <v>2186</v>
      </c>
      <c r="B1604" s="1127">
        <v>96</v>
      </c>
      <c r="C1604" s="1128">
        <v>0</v>
      </c>
      <c r="D1604" s="1128">
        <v>34.1</v>
      </c>
      <c r="E1604" s="1126"/>
    </row>
    <row r="1605" spans="1:5" x14ac:dyDescent="0.2">
      <c r="A1605" s="1126" t="s">
        <v>2187</v>
      </c>
      <c r="B1605" s="1127">
        <v>194</v>
      </c>
      <c r="C1605" s="1128">
        <v>0</v>
      </c>
      <c r="D1605" s="1128">
        <v>41.37</v>
      </c>
      <c r="E1605" s="1126"/>
    </row>
    <row r="1606" spans="1:5" x14ac:dyDescent="0.2">
      <c r="A1606" s="1126" t="s">
        <v>2188</v>
      </c>
      <c r="B1606" s="1127">
        <v>277</v>
      </c>
      <c r="C1606" s="1128">
        <v>0</v>
      </c>
      <c r="D1606" s="1128">
        <v>170.7</v>
      </c>
      <c r="E1606" s="1126"/>
    </row>
    <row r="1607" spans="1:5" x14ac:dyDescent="0.2">
      <c r="A1607" s="1126" t="s">
        <v>2189</v>
      </c>
      <c r="B1607" s="1127">
        <v>603</v>
      </c>
      <c r="C1607" s="1128">
        <v>0</v>
      </c>
      <c r="D1607" s="1128">
        <v>83.83</v>
      </c>
      <c r="E1607" s="1126"/>
    </row>
    <row r="1608" spans="1:5" x14ac:dyDescent="0.2">
      <c r="A1608" s="1126" t="s">
        <v>2190</v>
      </c>
      <c r="B1608" s="1127">
        <v>121</v>
      </c>
      <c r="C1608" s="1128">
        <v>0</v>
      </c>
      <c r="D1608" s="1128">
        <v>38.46</v>
      </c>
      <c r="E1608" s="1126"/>
    </row>
    <row r="1609" spans="1:5" x14ac:dyDescent="0.2">
      <c r="A1609" s="1126" t="s">
        <v>2191</v>
      </c>
      <c r="B1609" s="1127">
        <v>82</v>
      </c>
      <c r="C1609" s="1128">
        <v>0</v>
      </c>
      <c r="D1609" s="1128">
        <v>9.36</v>
      </c>
      <c r="E1609" s="1126"/>
    </row>
    <row r="1610" spans="1:5" x14ac:dyDescent="0.2">
      <c r="A1610" s="1126" t="s">
        <v>2192</v>
      </c>
      <c r="B1610" s="1127">
        <v>68</v>
      </c>
      <c r="C1610" s="1128">
        <v>0</v>
      </c>
      <c r="D1610" s="1128">
        <v>11.32</v>
      </c>
      <c r="E1610" s="1126"/>
    </row>
    <row r="1611" spans="1:5" x14ac:dyDescent="0.2">
      <c r="A1611" s="1126" t="s">
        <v>2193</v>
      </c>
      <c r="B1611" s="1127">
        <v>127</v>
      </c>
      <c r="C1611" s="1128">
        <v>0</v>
      </c>
      <c r="D1611" s="1128">
        <v>9.07</v>
      </c>
      <c r="E1611" s="1126"/>
    </row>
    <row r="1612" spans="1:5" x14ac:dyDescent="0.2">
      <c r="A1612" s="1126" t="s">
        <v>2194</v>
      </c>
      <c r="B1612" s="1127">
        <v>56</v>
      </c>
      <c r="C1612" s="1128">
        <v>0</v>
      </c>
      <c r="D1612" s="1128">
        <v>20.68</v>
      </c>
      <c r="E1612" s="1126"/>
    </row>
    <row r="1613" spans="1:5" x14ac:dyDescent="0.2">
      <c r="A1613" s="1126" t="s">
        <v>2195</v>
      </c>
      <c r="B1613" s="1127">
        <v>160</v>
      </c>
      <c r="C1613" s="1128">
        <v>0</v>
      </c>
      <c r="D1613" s="1128">
        <v>87.15</v>
      </c>
      <c r="E1613" s="1126"/>
    </row>
    <row r="1614" spans="1:5" x14ac:dyDescent="0.2">
      <c r="A1614" s="1126" t="s">
        <v>2196</v>
      </c>
      <c r="B1614" s="1127">
        <v>93</v>
      </c>
      <c r="C1614" s="1128">
        <v>13.93</v>
      </c>
      <c r="D1614" s="1128">
        <v>77.849999999999994</v>
      </c>
      <c r="E1614" s="1126"/>
    </row>
    <row r="1615" spans="1:5" x14ac:dyDescent="0.2">
      <c r="A1615" s="1126" t="s">
        <v>2197</v>
      </c>
      <c r="B1615" s="1127">
        <v>158</v>
      </c>
      <c r="C1615" s="1128">
        <v>0</v>
      </c>
      <c r="D1615" s="1128">
        <v>11.46</v>
      </c>
      <c r="E1615" s="1126"/>
    </row>
    <row r="1616" spans="1:5" x14ac:dyDescent="0.2">
      <c r="A1616" s="1126" t="s">
        <v>2198</v>
      </c>
      <c r="B1616" s="1127">
        <v>348</v>
      </c>
      <c r="C1616" s="1128">
        <v>0</v>
      </c>
      <c r="D1616" s="1128">
        <v>39.54</v>
      </c>
      <c r="E1616" s="1126"/>
    </row>
    <row r="1617" spans="1:5" x14ac:dyDescent="0.2">
      <c r="A1617" s="1126" t="s">
        <v>2199</v>
      </c>
      <c r="B1617" s="1127">
        <v>99</v>
      </c>
      <c r="C1617" s="1128">
        <v>0</v>
      </c>
      <c r="D1617" s="1128">
        <v>38.29</v>
      </c>
      <c r="E1617" s="1126"/>
    </row>
    <row r="1618" spans="1:5" x14ac:dyDescent="0.2">
      <c r="A1618" s="1126" t="s">
        <v>2200</v>
      </c>
      <c r="B1618" s="1127">
        <v>254</v>
      </c>
      <c r="C1618" s="1128">
        <v>0</v>
      </c>
      <c r="D1618" s="1128">
        <v>116.1</v>
      </c>
      <c r="E1618" s="1126"/>
    </row>
    <row r="1619" spans="1:5" x14ac:dyDescent="0.2">
      <c r="A1619" s="1126" t="s">
        <v>2201</v>
      </c>
      <c r="B1619" s="1127">
        <v>131</v>
      </c>
      <c r="C1619" s="1128">
        <v>2.31</v>
      </c>
      <c r="D1619" s="1128">
        <v>92.35</v>
      </c>
      <c r="E1619" s="1126"/>
    </row>
    <row r="1620" spans="1:5" x14ac:dyDescent="0.2">
      <c r="A1620" s="1126" t="s">
        <v>2202</v>
      </c>
      <c r="B1620" s="1127">
        <v>341</v>
      </c>
      <c r="C1620" s="1128">
        <v>21.08</v>
      </c>
      <c r="D1620" s="1128">
        <v>255.47</v>
      </c>
      <c r="E1620" s="1126"/>
    </row>
    <row r="1621" spans="1:5" x14ac:dyDescent="0.2">
      <c r="A1621" s="1126" t="s">
        <v>2203</v>
      </c>
      <c r="B1621" s="1127">
        <v>88</v>
      </c>
      <c r="C1621" s="1128">
        <v>0</v>
      </c>
      <c r="D1621" s="1128">
        <v>33.549999999999997</v>
      </c>
      <c r="E1621" s="1126"/>
    </row>
    <row r="1622" spans="1:5" x14ac:dyDescent="0.2">
      <c r="A1622" s="1126" t="s">
        <v>2204</v>
      </c>
      <c r="B1622" s="1127">
        <v>138</v>
      </c>
      <c r="C1622" s="1128">
        <v>23.04</v>
      </c>
      <c r="D1622" s="1128">
        <v>117.89</v>
      </c>
      <c r="E1622" s="1126"/>
    </row>
    <row r="1623" spans="1:5" x14ac:dyDescent="0.2">
      <c r="A1623" s="1126" t="s">
        <v>2205</v>
      </c>
      <c r="B1623" s="1127">
        <v>135</v>
      </c>
      <c r="C1623" s="1128">
        <v>0</v>
      </c>
      <c r="D1623" s="1128">
        <v>28.23</v>
      </c>
      <c r="E1623" s="1126"/>
    </row>
    <row r="1624" spans="1:5" x14ac:dyDescent="0.2">
      <c r="A1624" s="1126" t="s">
        <v>2206</v>
      </c>
      <c r="B1624" s="1127">
        <v>280</v>
      </c>
      <c r="C1624" s="1128">
        <v>0</v>
      </c>
      <c r="D1624" s="1128">
        <v>19.260000000000002</v>
      </c>
      <c r="E1624" s="1126"/>
    </row>
    <row r="1625" spans="1:5" x14ac:dyDescent="0.2">
      <c r="A1625" s="1126" t="s">
        <v>2207</v>
      </c>
      <c r="B1625" s="1127">
        <v>174</v>
      </c>
      <c r="C1625" s="1128">
        <v>0</v>
      </c>
      <c r="D1625" s="1128">
        <v>53.12</v>
      </c>
      <c r="E1625" s="1126"/>
    </row>
    <row r="1626" spans="1:5" x14ac:dyDescent="0.2">
      <c r="A1626" s="1126" t="s">
        <v>2208</v>
      </c>
      <c r="B1626" s="1127">
        <v>28</v>
      </c>
      <c r="C1626" s="1128">
        <v>2.2000000000000002</v>
      </c>
      <c r="D1626" s="1128">
        <v>21.45</v>
      </c>
      <c r="E1626" s="1126" t="s">
        <v>669</v>
      </c>
    </row>
    <row r="1627" spans="1:5" x14ac:dyDescent="0.2">
      <c r="A1627" s="1126" t="s">
        <v>2209</v>
      </c>
      <c r="B1627" s="1127">
        <v>282</v>
      </c>
      <c r="C1627" s="1128">
        <v>152.31</v>
      </c>
      <c r="D1627" s="1128">
        <v>346.15</v>
      </c>
      <c r="E1627" s="1126"/>
    </row>
    <row r="1628" spans="1:5" x14ac:dyDescent="0.2">
      <c r="A1628" s="1126" t="s">
        <v>2210</v>
      </c>
      <c r="B1628" s="1127">
        <v>159</v>
      </c>
      <c r="C1628" s="1128">
        <v>0</v>
      </c>
      <c r="D1628" s="1128">
        <v>103.97</v>
      </c>
      <c r="E1628" s="1126"/>
    </row>
    <row r="1629" spans="1:5" x14ac:dyDescent="0.2">
      <c r="A1629" s="1126" t="s">
        <v>2211</v>
      </c>
      <c r="B1629" s="1127">
        <v>128</v>
      </c>
      <c r="C1629" s="1128">
        <v>158.54</v>
      </c>
      <c r="D1629" s="1128">
        <v>246.52</v>
      </c>
      <c r="E1629" s="1126"/>
    </row>
    <row r="1630" spans="1:5" x14ac:dyDescent="0.2">
      <c r="A1630" s="1126" t="s">
        <v>2212</v>
      </c>
      <c r="B1630" s="1127">
        <v>368</v>
      </c>
      <c r="C1630" s="1128">
        <v>0</v>
      </c>
      <c r="D1630" s="1128">
        <v>130.46</v>
      </c>
      <c r="E1630" s="1126"/>
    </row>
    <row r="1631" spans="1:5" x14ac:dyDescent="0.2">
      <c r="A1631" s="1126" t="s">
        <v>2213</v>
      </c>
      <c r="B1631" s="1127">
        <v>263</v>
      </c>
      <c r="C1631" s="1128">
        <v>224.13</v>
      </c>
      <c r="D1631" s="1128">
        <v>404.91</v>
      </c>
      <c r="E1631" s="1126"/>
    </row>
    <row r="1632" spans="1:5" x14ac:dyDescent="0.2">
      <c r="A1632" s="1126" t="s">
        <v>2214</v>
      </c>
      <c r="B1632" s="1127">
        <v>122</v>
      </c>
      <c r="C1632" s="1128">
        <v>18.46</v>
      </c>
      <c r="D1632" s="1128">
        <v>102.32</v>
      </c>
      <c r="E1632" s="1126"/>
    </row>
    <row r="1633" spans="1:5" x14ac:dyDescent="0.2">
      <c r="A1633" s="1126" t="s">
        <v>2215</v>
      </c>
      <c r="B1633" s="1127">
        <v>155</v>
      </c>
      <c r="C1633" s="1128">
        <v>0</v>
      </c>
      <c r="D1633" s="1128">
        <v>26.25</v>
      </c>
      <c r="E1633" s="1126"/>
    </row>
    <row r="1634" spans="1:5" x14ac:dyDescent="0.2">
      <c r="A1634" s="1126" t="s">
        <v>2216</v>
      </c>
      <c r="B1634" s="1127">
        <v>147</v>
      </c>
      <c r="C1634" s="1128">
        <v>0</v>
      </c>
      <c r="D1634" s="1128">
        <v>63.68</v>
      </c>
      <c r="E1634" s="1126"/>
    </row>
    <row r="1635" spans="1:5" x14ac:dyDescent="0.2">
      <c r="A1635" s="1126" t="s">
        <v>2217</v>
      </c>
      <c r="B1635" s="1127">
        <v>46</v>
      </c>
      <c r="C1635" s="1128">
        <v>0</v>
      </c>
      <c r="D1635" s="1128">
        <v>22.22</v>
      </c>
      <c r="E1635" s="1126"/>
    </row>
    <row r="1636" spans="1:5" x14ac:dyDescent="0.2">
      <c r="A1636" s="1126" t="s">
        <v>2218</v>
      </c>
      <c r="B1636" s="1127">
        <v>229</v>
      </c>
      <c r="C1636" s="1128">
        <v>0</v>
      </c>
      <c r="D1636" s="1128">
        <v>63.82</v>
      </c>
      <c r="E1636" s="1126"/>
    </row>
    <row r="1637" spans="1:5" x14ac:dyDescent="0.2">
      <c r="A1637" s="1126" t="s">
        <v>2219</v>
      </c>
      <c r="B1637" s="1127">
        <v>249</v>
      </c>
      <c r="C1637" s="1128">
        <v>0</v>
      </c>
      <c r="D1637" s="1128">
        <v>47.71</v>
      </c>
      <c r="E1637" s="1126"/>
    </row>
    <row r="1638" spans="1:5" x14ac:dyDescent="0.2">
      <c r="A1638" s="1126" t="s">
        <v>2220</v>
      </c>
      <c r="B1638" s="1127">
        <v>175</v>
      </c>
      <c r="C1638" s="1128">
        <v>0</v>
      </c>
      <c r="D1638" s="1128">
        <v>24.61</v>
      </c>
      <c r="E1638" s="1126"/>
    </row>
    <row r="1639" spans="1:5" x14ac:dyDescent="0.2">
      <c r="A1639" s="1126" t="s">
        <v>2221</v>
      </c>
      <c r="B1639" s="1127">
        <v>86</v>
      </c>
      <c r="C1639" s="1128">
        <v>0</v>
      </c>
      <c r="D1639" s="1128">
        <v>42.02</v>
      </c>
      <c r="E1639" s="1126"/>
    </row>
    <row r="1640" spans="1:5" x14ac:dyDescent="0.2">
      <c r="A1640" s="1126" t="s">
        <v>2222</v>
      </c>
      <c r="B1640" s="1127">
        <v>96</v>
      </c>
      <c r="C1640" s="1128">
        <v>0</v>
      </c>
      <c r="D1640" s="1128">
        <v>41.84</v>
      </c>
      <c r="E1640" s="1126"/>
    </row>
    <row r="1641" spans="1:5" x14ac:dyDescent="0.2">
      <c r="A1641" s="1126" t="s">
        <v>2223</v>
      </c>
      <c r="B1641" s="1127">
        <v>169</v>
      </c>
      <c r="C1641" s="1128">
        <v>0</v>
      </c>
      <c r="D1641" s="1128">
        <v>101.9</v>
      </c>
      <c r="E1641" s="1126"/>
    </row>
    <row r="1642" spans="1:5" x14ac:dyDescent="0.2">
      <c r="A1642" s="1126" t="s">
        <v>2224</v>
      </c>
      <c r="B1642" s="1127">
        <v>297</v>
      </c>
      <c r="C1642" s="1128">
        <v>0</v>
      </c>
      <c r="D1642" s="1128">
        <v>147.09</v>
      </c>
      <c r="E1642" s="1126"/>
    </row>
    <row r="1643" spans="1:5" x14ac:dyDescent="0.2">
      <c r="A1643" s="1126" t="s">
        <v>2225</v>
      </c>
      <c r="B1643" s="1127">
        <v>108</v>
      </c>
      <c r="C1643" s="1128">
        <v>0</v>
      </c>
      <c r="D1643" s="1128">
        <v>40.520000000000003</v>
      </c>
      <c r="E1643" s="1126"/>
    </row>
    <row r="1644" spans="1:5" x14ac:dyDescent="0.2">
      <c r="A1644" s="1126" t="s">
        <v>2226</v>
      </c>
      <c r="B1644" s="1127">
        <v>154</v>
      </c>
      <c r="C1644" s="1128">
        <v>0</v>
      </c>
      <c r="D1644" s="1128">
        <v>88.37</v>
      </c>
      <c r="E1644" s="1126"/>
    </row>
    <row r="1645" spans="1:5" x14ac:dyDescent="0.2">
      <c r="A1645" s="1126" t="s">
        <v>2227</v>
      </c>
      <c r="B1645" s="1127">
        <v>189</v>
      </c>
      <c r="C1645" s="1128">
        <v>403.76</v>
      </c>
      <c r="D1645" s="1128">
        <v>533.66999999999996</v>
      </c>
      <c r="E1645" s="1126"/>
    </row>
    <row r="1646" spans="1:5" x14ac:dyDescent="0.2">
      <c r="A1646" s="1126" t="s">
        <v>2228</v>
      </c>
      <c r="B1646" s="1127">
        <v>144</v>
      </c>
      <c r="C1646" s="1128">
        <v>0</v>
      </c>
      <c r="D1646" s="1128">
        <v>47.2</v>
      </c>
      <c r="E1646" s="1126"/>
    </row>
    <row r="1647" spans="1:5" x14ac:dyDescent="0.2">
      <c r="A1647" s="1126" t="s">
        <v>2229</v>
      </c>
      <c r="B1647" s="1127">
        <v>190</v>
      </c>
      <c r="C1647" s="1128">
        <v>0</v>
      </c>
      <c r="D1647" s="1128">
        <v>52.36</v>
      </c>
      <c r="E1647" s="1126"/>
    </row>
    <row r="1648" spans="1:5" x14ac:dyDescent="0.2">
      <c r="A1648" s="1126" t="s">
        <v>2230</v>
      </c>
      <c r="B1648" s="1127">
        <v>83</v>
      </c>
      <c r="C1648" s="1128">
        <v>0</v>
      </c>
      <c r="D1648" s="1128">
        <v>29.95</v>
      </c>
      <c r="E1648" s="1126"/>
    </row>
    <row r="1649" spans="1:5" x14ac:dyDescent="0.2">
      <c r="A1649" s="1126" t="s">
        <v>2231</v>
      </c>
      <c r="B1649" s="1127">
        <v>145</v>
      </c>
      <c r="C1649" s="1128">
        <v>0</v>
      </c>
      <c r="D1649" s="1128">
        <v>84.3</v>
      </c>
      <c r="E1649" s="1126"/>
    </row>
    <row r="1650" spans="1:5" x14ac:dyDescent="0.2">
      <c r="A1650" s="1126" t="s">
        <v>2232</v>
      </c>
      <c r="B1650" s="1127">
        <v>143</v>
      </c>
      <c r="C1650" s="1128">
        <v>0</v>
      </c>
      <c r="D1650" s="1128">
        <v>91.25</v>
      </c>
      <c r="E1650" s="1126"/>
    </row>
    <row r="1651" spans="1:5" x14ac:dyDescent="0.2">
      <c r="A1651" s="1126" t="s">
        <v>2233</v>
      </c>
      <c r="B1651" s="1127">
        <v>382</v>
      </c>
      <c r="C1651" s="1128">
        <v>0</v>
      </c>
      <c r="D1651" s="1128">
        <v>12.04</v>
      </c>
      <c r="E1651" s="1126"/>
    </row>
    <row r="1652" spans="1:5" x14ac:dyDescent="0.2">
      <c r="A1652" s="1126" t="s">
        <v>2234</v>
      </c>
      <c r="B1652" s="1127">
        <v>620</v>
      </c>
      <c r="C1652" s="1128">
        <v>0</v>
      </c>
      <c r="D1652" s="1128">
        <v>73.489999999999995</v>
      </c>
      <c r="E1652" s="1126"/>
    </row>
    <row r="1653" spans="1:5" x14ac:dyDescent="0.2">
      <c r="A1653" s="1126" t="s">
        <v>2235</v>
      </c>
      <c r="B1653" s="1127">
        <v>154</v>
      </c>
      <c r="C1653" s="1128">
        <v>0</v>
      </c>
      <c r="D1653" s="1128">
        <v>102.79</v>
      </c>
      <c r="E1653" s="1126"/>
    </row>
    <row r="1654" spans="1:5" x14ac:dyDescent="0.2">
      <c r="A1654" s="1126" t="s">
        <v>2236</v>
      </c>
      <c r="B1654" s="1127">
        <v>70</v>
      </c>
      <c r="C1654" s="1128">
        <v>0</v>
      </c>
      <c r="D1654" s="1128">
        <v>46.65</v>
      </c>
      <c r="E1654" s="1126"/>
    </row>
    <row r="1655" spans="1:5" x14ac:dyDescent="0.2">
      <c r="A1655" s="1126" t="s">
        <v>2237</v>
      </c>
      <c r="B1655" s="1127">
        <v>229</v>
      </c>
      <c r="C1655" s="1128">
        <v>0</v>
      </c>
      <c r="D1655" s="1128">
        <v>36.44</v>
      </c>
      <c r="E1655" s="1126"/>
    </row>
    <row r="1656" spans="1:5" x14ac:dyDescent="0.2">
      <c r="A1656" s="1126" t="s">
        <v>2238</v>
      </c>
      <c r="B1656" s="1127">
        <v>248</v>
      </c>
      <c r="C1656" s="1128">
        <v>0</v>
      </c>
      <c r="D1656" s="1128">
        <v>132.57</v>
      </c>
      <c r="E1656" s="1126"/>
    </row>
    <row r="1657" spans="1:5" x14ac:dyDescent="0.2">
      <c r="A1657" s="1126" t="s">
        <v>2239</v>
      </c>
      <c r="B1657" s="1127">
        <v>352</v>
      </c>
      <c r="C1657" s="1128">
        <v>0</v>
      </c>
      <c r="D1657" s="1128">
        <v>82.05</v>
      </c>
      <c r="E1657" s="1126"/>
    </row>
    <row r="1658" spans="1:5" x14ac:dyDescent="0.2">
      <c r="A1658" s="1126" t="s">
        <v>2240</v>
      </c>
      <c r="B1658" s="1127">
        <v>222</v>
      </c>
      <c r="C1658" s="1128">
        <v>176.43</v>
      </c>
      <c r="D1658" s="1128">
        <v>329.02</v>
      </c>
      <c r="E1658" s="1126"/>
    </row>
    <row r="1659" spans="1:5" x14ac:dyDescent="0.2">
      <c r="A1659" s="1126" t="s">
        <v>2241</v>
      </c>
      <c r="B1659" s="1127">
        <v>239</v>
      </c>
      <c r="C1659" s="1128">
        <v>0</v>
      </c>
      <c r="D1659" s="1128">
        <v>0</v>
      </c>
      <c r="E1659" s="1126"/>
    </row>
    <row r="1660" spans="1:5" x14ac:dyDescent="0.2">
      <c r="A1660" s="1126" t="s">
        <v>2242</v>
      </c>
      <c r="B1660" s="1127">
        <v>255</v>
      </c>
      <c r="C1660" s="1128">
        <v>0</v>
      </c>
      <c r="D1660" s="1128">
        <v>88.92</v>
      </c>
      <c r="E1660" s="1126"/>
    </row>
    <row r="1661" spans="1:5" x14ac:dyDescent="0.2">
      <c r="A1661" s="1126" t="s">
        <v>2243</v>
      </c>
      <c r="B1661" s="1127">
        <v>270</v>
      </c>
      <c r="C1661" s="1128">
        <v>0</v>
      </c>
      <c r="D1661" s="1128">
        <v>127.97</v>
      </c>
      <c r="E1661" s="1126"/>
    </row>
    <row r="1662" spans="1:5" x14ac:dyDescent="0.2">
      <c r="A1662" s="1126" t="s">
        <v>2244</v>
      </c>
      <c r="B1662" s="1127">
        <v>162</v>
      </c>
      <c r="C1662" s="1128">
        <v>0</v>
      </c>
      <c r="D1662" s="1128">
        <v>53.11</v>
      </c>
      <c r="E1662" s="1126"/>
    </row>
    <row r="1663" spans="1:5" x14ac:dyDescent="0.2">
      <c r="A1663" s="1126" t="s">
        <v>2245</v>
      </c>
      <c r="B1663" s="1127">
        <v>132</v>
      </c>
      <c r="C1663" s="1128">
        <v>10.65</v>
      </c>
      <c r="D1663" s="1128">
        <v>101.38</v>
      </c>
      <c r="E1663" s="1126"/>
    </row>
    <row r="1664" spans="1:5" x14ac:dyDescent="0.2">
      <c r="A1664" s="1126" t="s">
        <v>2246</v>
      </c>
      <c r="B1664" s="1127">
        <v>206</v>
      </c>
      <c r="C1664" s="1128">
        <v>0</v>
      </c>
      <c r="D1664" s="1128">
        <v>25.58</v>
      </c>
      <c r="E1664" s="1126"/>
    </row>
    <row r="1665" spans="1:5" x14ac:dyDescent="0.2">
      <c r="A1665" s="1126" t="s">
        <v>2247</v>
      </c>
      <c r="B1665" s="1127">
        <v>97</v>
      </c>
      <c r="C1665" s="1128">
        <v>0</v>
      </c>
      <c r="D1665" s="1128">
        <v>50.54</v>
      </c>
      <c r="E1665" s="1126"/>
    </row>
    <row r="1666" spans="1:5" x14ac:dyDescent="0.2">
      <c r="A1666" s="1126" t="s">
        <v>2248</v>
      </c>
      <c r="B1666" s="1127">
        <v>126</v>
      </c>
      <c r="C1666" s="1128">
        <v>0</v>
      </c>
      <c r="D1666" s="1128">
        <v>33.770000000000003</v>
      </c>
      <c r="E1666" s="1126"/>
    </row>
    <row r="1667" spans="1:5" x14ac:dyDescent="0.2">
      <c r="A1667" s="1126" t="s">
        <v>2249</v>
      </c>
      <c r="B1667" s="1127">
        <v>227</v>
      </c>
      <c r="C1667" s="1128">
        <v>0</v>
      </c>
      <c r="D1667" s="1128">
        <v>91.56</v>
      </c>
      <c r="E1667" s="1126"/>
    </row>
    <row r="1668" spans="1:5" x14ac:dyDescent="0.2">
      <c r="A1668" s="1126" t="s">
        <v>2250</v>
      </c>
      <c r="B1668" s="1127">
        <v>158</v>
      </c>
      <c r="C1668" s="1128">
        <v>0</v>
      </c>
      <c r="D1668" s="1128">
        <v>61.04</v>
      </c>
      <c r="E1668" s="1126"/>
    </row>
    <row r="1669" spans="1:5" x14ac:dyDescent="0.2">
      <c r="A1669" s="1126" t="s">
        <v>2251</v>
      </c>
      <c r="B1669" s="1127">
        <v>173</v>
      </c>
      <c r="C1669" s="1128">
        <v>0</v>
      </c>
      <c r="D1669" s="1128">
        <v>53.14</v>
      </c>
      <c r="E1669" s="1126"/>
    </row>
    <row r="1670" spans="1:5" x14ac:dyDescent="0.2">
      <c r="A1670" s="1126" t="s">
        <v>2252</v>
      </c>
      <c r="B1670" s="1127">
        <v>449</v>
      </c>
      <c r="C1670" s="1128">
        <v>0</v>
      </c>
      <c r="D1670" s="1128">
        <v>105.78</v>
      </c>
      <c r="E1670" s="1126"/>
    </row>
    <row r="1671" spans="1:5" x14ac:dyDescent="0.2">
      <c r="A1671" s="1126" t="s">
        <v>2253</v>
      </c>
      <c r="B1671" s="1127">
        <v>361</v>
      </c>
      <c r="C1671" s="1128">
        <v>105.05</v>
      </c>
      <c r="D1671" s="1128">
        <v>353.19</v>
      </c>
      <c r="E1671" s="1126"/>
    </row>
    <row r="1672" spans="1:5" x14ac:dyDescent="0.2">
      <c r="A1672" s="1126" t="s">
        <v>2254</v>
      </c>
      <c r="B1672" s="1127">
        <v>134</v>
      </c>
      <c r="C1672" s="1128">
        <v>1.6</v>
      </c>
      <c r="D1672" s="1128">
        <v>93.71</v>
      </c>
      <c r="E1672" s="1126"/>
    </row>
    <row r="1673" spans="1:5" x14ac:dyDescent="0.2">
      <c r="A1673" s="1126" t="s">
        <v>2255</v>
      </c>
      <c r="B1673" s="1127">
        <v>142</v>
      </c>
      <c r="C1673" s="1128">
        <v>0</v>
      </c>
      <c r="D1673" s="1128">
        <v>36.9</v>
      </c>
      <c r="E1673" s="1126"/>
    </row>
    <row r="1674" spans="1:5" x14ac:dyDescent="0.2">
      <c r="A1674" s="1126" t="s">
        <v>2256</v>
      </c>
      <c r="B1674" s="1127">
        <v>150</v>
      </c>
      <c r="C1674" s="1128">
        <v>37.97</v>
      </c>
      <c r="D1674" s="1128">
        <v>141.08000000000001</v>
      </c>
      <c r="E1674" s="1126"/>
    </row>
    <row r="1675" spans="1:5" x14ac:dyDescent="0.2">
      <c r="A1675" s="1126" t="s">
        <v>2257</v>
      </c>
      <c r="B1675" s="1127">
        <v>101</v>
      </c>
      <c r="C1675" s="1128">
        <v>0</v>
      </c>
      <c r="D1675" s="1128">
        <v>39.53</v>
      </c>
      <c r="E1675" s="1126"/>
    </row>
    <row r="1676" spans="1:5" x14ac:dyDescent="0.2">
      <c r="A1676" s="1126" t="s">
        <v>2258</v>
      </c>
      <c r="B1676" s="1127">
        <v>220</v>
      </c>
      <c r="C1676" s="1128">
        <v>29.64</v>
      </c>
      <c r="D1676" s="1128">
        <v>180.86</v>
      </c>
      <c r="E1676" s="1126"/>
    </row>
    <row r="1677" spans="1:5" x14ac:dyDescent="0.2">
      <c r="A1677" s="1126" t="s">
        <v>2259</v>
      </c>
      <c r="B1677" s="1127">
        <v>69</v>
      </c>
      <c r="C1677" s="1128">
        <v>0</v>
      </c>
      <c r="D1677" s="1128">
        <v>15.28</v>
      </c>
      <c r="E1677" s="1126"/>
    </row>
    <row r="1678" spans="1:5" x14ac:dyDescent="0.2">
      <c r="A1678" s="1126" t="s">
        <v>2260</v>
      </c>
      <c r="B1678" s="1127">
        <v>153</v>
      </c>
      <c r="C1678" s="1128">
        <v>0</v>
      </c>
      <c r="D1678" s="1128">
        <v>81.05</v>
      </c>
      <c r="E1678" s="1126"/>
    </row>
    <row r="1679" spans="1:5" x14ac:dyDescent="0.2">
      <c r="A1679" s="1126" t="s">
        <v>2261</v>
      </c>
      <c r="B1679" s="1127">
        <v>225</v>
      </c>
      <c r="C1679" s="1128">
        <v>0</v>
      </c>
      <c r="D1679" s="1128">
        <v>28.33</v>
      </c>
      <c r="E1679" s="1126"/>
    </row>
    <row r="1680" spans="1:5" x14ac:dyDescent="0.2">
      <c r="A1680" s="1126" t="s">
        <v>2262</v>
      </c>
      <c r="B1680" s="1127">
        <v>122</v>
      </c>
      <c r="C1680" s="1128">
        <v>0</v>
      </c>
      <c r="D1680" s="1128">
        <v>83.09</v>
      </c>
      <c r="E1680" s="1126"/>
    </row>
    <row r="1681" spans="1:5" x14ac:dyDescent="0.2">
      <c r="A1681" s="1126" t="s">
        <v>2263</v>
      </c>
      <c r="B1681" s="1127">
        <v>201</v>
      </c>
      <c r="C1681" s="1128">
        <v>0</v>
      </c>
      <c r="D1681" s="1128">
        <v>68.81</v>
      </c>
      <c r="E1681" s="1126"/>
    </row>
    <row r="1682" spans="1:5" x14ac:dyDescent="0.2">
      <c r="A1682" s="1126" t="s">
        <v>2264</v>
      </c>
      <c r="B1682" s="1127">
        <v>61</v>
      </c>
      <c r="C1682" s="1128">
        <v>0</v>
      </c>
      <c r="D1682" s="1128">
        <v>13.95</v>
      </c>
      <c r="E1682" s="1126"/>
    </row>
    <row r="1683" spans="1:5" x14ac:dyDescent="0.2">
      <c r="A1683" s="1126" t="s">
        <v>2265</v>
      </c>
      <c r="B1683" s="1127">
        <v>263</v>
      </c>
      <c r="C1683" s="1128">
        <v>0</v>
      </c>
      <c r="D1683" s="1128">
        <v>41.62</v>
      </c>
      <c r="E1683" s="1126"/>
    </row>
    <row r="1684" spans="1:5" x14ac:dyDescent="0.2">
      <c r="A1684" s="1126" t="s">
        <v>2266</v>
      </c>
      <c r="B1684" s="1127">
        <v>123</v>
      </c>
      <c r="C1684" s="1128">
        <v>0</v>
      </c>
      <c r="D1684" s="1128">
        <v>40</v>
      </c>
      <c r="E1684" s="1126"/>
    </row>
    <row r="1685" spans="1:5" x14ac:dyDescent="0.2">
      <c r="A1685" s="1126" t="s">
        <v>2267</v>
      </c>
      <c r="B1685" s="1127">
        <v>142</v>
      </c>
      <c r="C1685" s="1128">
        <v>17.45</v>
      </c>
      <c r="D1685" s="1128">
        <v>115.06</v>
      </c>
      <c r="E1685" s="1126"/>
    </row>
    <row r="1686" spans="1:5" x14ac:dyDescent="0.2">
      <c r="A1686" s="1126" t="s">
        <v>2268</v>
      </c>
      <c r="B1686" s="1127">
        <v>128</v>
      </c>
      <c r="C1686" s="1128">
        <v>0</v>
      </c>
      <c r="D1686" s="1128">
        <v>28.76</v>
      </c>
      <c r="E1686" s="1126"/>
    </row>
    <row r="1687" spans="1:5" x14ac:dyDescent="0.2">
      <c r="A1687" s="1126" t="s">
        <v>2269</v>
      </c>
      <c r="B1687" s="1127">
        <v>483</v>
      </c>
      <c r="C1687" s="1128">
        <v>12.14</v>
      </c>
      <c r="D1687" s="1128">
        <v>344.13</v>
      </c>
      <c r="E1687" s="1126"/>
    </row>
    <row r="1688" spans="1:5" x14ac:dyDescent="0.2">
      <c r="A1688" s="1126" t="s">
        <v>2270</v>
      </c>
      <c r="B1688" s="1127">
        <v>198</v>
      </c>
      <c r="C1688" s="1128">
        <v>0</v>
      </c>
      <c r="D1688" s="1128">
        <v>87.82</v>
      </c>
      <c r="E1688" s="1126"/>
    </row>
    <row r="1689" spans="1:5" x14ac:dyDescent="0.2">
      <c r="A1689" s="1126" t="s">
        <v>2271</v>
      </c>
      <c r="B1689" s="1127">
        <v>191</v>
      </c>
      <c r="C1689" s="1128">
        <v>0</v>
      </c>
      <c r="D1689" s="1128">
        <v>94</v>
      </c>
      <c r="E1689" s="1126"/>
    </row>
    <row r="1690" spans="1:5" x14ac:dyDescent="0.2">
      <c r="A1690" s="1126" t="s">
        <v>2272</v>
      </c>
      <c r="B1690" s="1127">
        <v>82</v>
      </c>
      <c r="C1690" s="1128">
        <v>0</v>
      </c>
      <c r="D1690" s="1128">
        <v>44.86</v>
      </c>
      <c r="E1690" s="1126"/>
    </row>
    <row r="1691" spans="1:5" x14ac:dyDescent="0.2">
      <c r="A1691" s="1126" t="s">
        <v>2273</v>
      </c>
      <c r="B1691" s="1127">
        <v>471</v>
      </c>
      <c r="C1691" s="1128">
        <v>0</v>
      </c>
      <c r="D1691" s="1128">
        <v>163.13999999999999</v>
      </c>
      <c r="E1691" s="1126"/>
    </row>
    <row r="1692" spans="1:5" x14ac:dyDescent="0.2">
      <c r="A1692" s="1126" t="s">
        <v>2274</v>
      </c>
      <c r="B1692" s="1127">
        <v>54</v>
      </c>
      <c r="C1692" s="1128">
        <v>0</v>
      </c>
      <c r="D1692" s="1128">
        <v>27.36</v>
      </c>
      <c r="E1692" s="1126"/>
    </row>
    <row r="1693" spans="1:5" x14ac:dyDescent="0.2">
      <c r="A1693" s="1126" t="s">
        <v>2275</v>
      </c>
      <c r="B1693" s="1127">
        <v>128</v>
      </c>
      <c r="C1693" s="1128">
        <v>0</v>
      </c>
      <c r="D1693" s="1128">
        <v>10.75</v>
      </c>
      <c r="E1693" s="1126"/>
    </row>
    <row r="1694" spans="1:5" x14ac:dyDescent="0.2">
      <c r="A1694" s="1126" t="s">
        <v>2276</v>
      </c>
      <c r="B1694" s="1127">
        <v>288</v>
      </c>
      <c r="C1694" s="1128">
        <v>0</v>
      </c>
      <c r="D1694" s="1128">
        <v>70.040000000000006</v>
      </c>
      <c r="E1694" s="1126"/>
    </row>
    <row r="1695" spans="1:5" x14ac:dyDescent="0.2">
      <c r="A1695" s="1126" t="s">
        <v>2277</v>
      </c>
      <c r="B1695" s="1127">
        <v>92</v>
      </c>
      <c r="C1695" s="1128">
        <v>0</v>
      </c>
      <c r="D1695" s="1128">
        <v>45.1</v>
      </c>
      <c r="E1695" s="1126"/>
    </row>
    <row r="1696" spans="1:5" x14ac:dyDescent="0.2">
      <c r="A1696" s="1126" t="s">
        <v>2278</v>
      </c>
      <c r="B1696" s="1127">
        <v>197</v>
      </c>
      <c r="C1696" s="1128">
        <v>0</v>
      </c>
      <c r="D1696" s="1128">
        <v>103.3</v>
      </c>
      <c r="E1696" s="1126"/>
    </row>
    <row r="1697" spans="1:5" x14ac:dyDescent="0.2">
      <c r="A1697" s="1126" t="s">
        <v>2279</v>
      </c>
      <c r="B1697" s="1127">
        <v>110</v>
      </c>
      <c r="C1697" s="1128">
        <v>10.09</v>
      </c>
      <c r="D1697" s="1128">
        <v>85.7</v>
      </c>
      <c r="E1697" s="1126"/>
    </row>
    <row r="1698" spans="1:5" x14ac:dyDescent="0.2">
      <c r="A1698" s="1126" t="s">
        <v>2280</v>
      </c>
      <c r="B1698" s="1127">
        <v>140</v>
      </c>
      <c r="C1698" s="1128">
        <v>0</v>
      </c>
      <c r="D1698" s="1128">
        <v>80.260000000000005</v>
      </c>
      <c r="E1698" s="1126"/>
    </row>
    <row r="1699" spans="1:5" x14ac:dyDescent="0.2">
      <c r="A1699" s="1126" t="s">
        <v>2281</v>
      </c>
      <c r="B1699" s="1127">
        <v>181</v>
      </c>
      <c r="C1699" s="1128">
        <v>0</v>
      </c>
      <c r="D1699" s="1128">
        <v>40.9</v>
      </c>
      <c r="E1699" s="1126"/>
    </row>
    <row r="1700" spans="1:5" x14ac:dyDescent="0.2">
      <c r="A1700" s="1126" t="s">
        <v>2282</v>
      </c>
      <c r="B1700" s="1127">
        <v>329</v>
      </c>
      <c r="C1700" s="1128">
        <v>0</v>
      </c>
      <c r="D1700" s="1128">
        <v>160.30000000000001</v>
      </c>
      <c r="E1700" s="1126"/>
    </row>
    <row r="1701" spans="1:5" x14ac:dyDescent="0.2">
      <c r="A1701" s="1126" t="s">
        <v>2283</v>
      </c>
      <c r="B1701" s="1127">
        <v>103</v>
      </c>
      <c r="C1701" s="1128">
        <v>0</v>
      </c>
      <c r="D1701" s="1128">
        <v>31.39</v>
      </c>
      <c r="E1701" s="1126"/>
    </row>
    <row r="1702" spans="1:5" x14ac:dyDescent="0.2">
      <c r="A1702" s="1126" t="s">
        <v>2284</v>
      </c>
      <c r="B1702" s="1127">
        <v>108</v>
      </c>
      <c r="C1702" s="1128">
        <v>46.92</v>
      </c>
      <c r="D1702" s="1128">
        <v>121.16</v>
      </c>
      <c r="E1702" s="1126"/>
    </row>
    <row r="1703" spans="1:5" x14ac:dyDescent="0.2">
      <c r="A1703" s="1126" t="s">
        <v>2285</v>
      </c>
      <c r="B1703" s="1127">
        <v>84</v>
      </c>
      <c r="C1703" s="1128">
        <v>42.32</v>
      </c>
      <c r="D1703" s="1128">
        <v>100.06</v>
      </c>
      <c r="E1703" s="1126"/>
    </row>
    <row r="1704" spans="1:5" x14ac:dyDescent="0.2">
      <c r="A1704" s="1126" t="s">
        <v>2286</v>
      </c>
      <c r="B1704" s="1127">
        <v>370</v>
      </c>
      <c r="C1704" s="1128">
        <v>0</v>
      </c>
      <c r="D1704" s="1128">
        <v>82.25</v>
      </c>
      <c r="E1704" s="1126"/>
    </row>
    <row r="1705" spans="1:5" x14ac:dyDescent="0.2">
      <c r="A1705" s="1126" t="s">
        <v>2287</v>
      </c>
      <c r="B1705" s="1127">
        <v>434</v>
      </c>
      <c r="C1705" s="1128">
        <v>0</v>
      </c>
      <c r="D1705" s="1128">
        <v>151.19</v>
      </c>
      <c r="E1705" s="1126"/>
    </row>
    <row r="1706" spans="1:5" x14ac:dyDescent="0.2">
      <c r="A1706" s="1126" t="s">
        <v>2288</v>
      </c>
      <c r="B1706" s="1127">
        <v>103</v>
      </c>
      <c r="C1706" s="1128">
        <v>228.81</v>
      </c>
      <c r="D1706" s="1128">
        <v>299.61</v>
      </c>
      <c r="E1706" s="1126"/>
    </row>
    <row r="1707" spans="1:5" x14ac:dyDescent="0.2">
      <c r="A1707" s="1126" t="s">
        <v>2289</v>
      </c>
      <c r="B1707" s="1127">
        <v>117</v>
      </c>
      <c r="C1707" s="1128">
        <v>0</v>
      </c>
      <c r="D1707" s="1128">
        <v>58.94</v>
      </c>
      <c r="E1707" s="1126"/>
    </row>
    <row r="1708" spans="1:5" x14ac:dyDescent="0.2">
      <c r="A1708" s="1126" t="s">
        <v>2290</v>
      </c>
      <c r="B1708" s="1127">
        <v>423</v>
      </c>
      <c r="C1708" s="1128">
        <v>564.54999999999995</v>
      </c>
      <c r="D1708" s="1128">
        <v>855.3</v>
      </c>
      <c r="E1708" s="1126"/>
    </row>
    <row r="1709" spans="1:5" x14ac:dyDescent="0.2">
      <c r="A1709" s="1126" t="s">
        <v>2291</v>
      </c>
      <c r="B1709" s="1127">
        <v>186</v>
      </c>
      <c r="C1709" s="1128">
        <v>71.709999999999994</v>
      </c>
      <c r="D1709" s="1128">
        <v>199.56</v>
      </c>
      <c r="E1709" s="1126"/>
    </row>
    <row r="1710" spans="1:5" x14ac:dyDescent="0.2">
      <c r="A1710" s="1126" t="s">
        <v>2292</v>
      </c>
      <c r="B1710" s="1127">
        <v>246</v>
      </c>
      <c r="C1710" s="1128">
        <v>187.73</v>
      </c>
      <c r="D1710" s="1128">
        <v>356.82</v>
      </c>
      <c r="E1710" s="1126"/>
    </row>
    <row r="1711" spans="1:5" x14ac:dyDescent="0.2">
      <c r="A1711" s="1126" t="s">
        <v>2293</v>
      </c>
      <c r="B1711" s="1127">
        <v>165</v>
      </c>
      <c r="C1711" s="1128">
        <v>62.75</v>
      </c>
      <c r="D1711" s="1128">
        <v>176.16</v>
      </c>
      <c r="E1711" s="1126"/>
    </row>
    <row r="1712" spans="1:5" x14ac:dyDescent="0.2">
      <c r="A1712" s="1126" t="s">
        <v>2294</v>
      </c>
      <c r="B1712" s="1127">
        <v>235</v>
      </c>
      <c r="C1712" s="1128">
        <v>0</v>
      </c>
      <c r="D1712" s="1128">
        <v>9.3000000000000007</v>
      </c>
      <c r="E1712" s="1126"/>
    </row>
    <row r="1713" spans="1:5" x14ac:dyDescent="0.2">
      <c r="A1713" s="1126" t="s">
        <v>2295</v>
      </c>
      <c r="B1713" s="1127">
        <v>215</v>
      </c>
      <c r="C1713" s="1128">
        <v>0</v>
      </c>
      <c r="D1713" s="1128">
        <v>86.51</v>
      </c>
      <c r="E1713" s="1126"/>
    </row>
    <row r="1714" spans="1:5" x14ac:dyDescent="0.2">
      <c r="A1714" s="1126" t="s">
        <v>2296</v>
      </c>
      <c r="B1714" s="1127">
        <v>74</v>
      </c>
      <c r="C1714" s="1128">
        <v>18.329999999999998</v>
      </c>
      <c r="D1714" s="1128">
        <v>69.19</v>
      </c>
      <c r="E1714" s="1126"/>
    </row>
    <row r="1715" spans="1:5" x14ac:dyDescent="0.2">
      <c r="A1715" s="1126" t="s">
        <v>2297</v>
      </c>
      <c r="B1715" s="1127">
        <v>92</v>
      </c>
      <c r="C1715" s="1128">
        <v>0</v>
      </c>
      <c r="D1715" s="1128">
        <v>40.729999999999997</v>
      </c>
      <c r="E1715" s="1126"/>
    </row>
    <row r="1716" spans="1:5" x14ac:dyDescent="0.2">
      <c r="A1716" s="1126" t="s">
        <v>2298</v>
      </c>
      <c r="B1716" s="1127">
        <v>270</v>
      </c>
      <c r="C1716" s="1128">
        <v>19.690000000000001</v>
      </c>
      <c r="D1716" s="1128">
        <v>205.28</v>
      </c>
      <c r="E1716" s="1126"/>
    </row>
    <row r="1717" spans="1:5" x14ac:dyDescent="0.2">
      <c r="A1717" s="1126" t="s">
        <v>2299</v>
      </c>
      <c r="B1717" s="1127">
        <v>139</v>
      </c>
      <c r="C1717" s="1128">
        <v>0</v>
      </c>
      <c r="D1717" s="1128">
        <v>73.48</v>
      </c>
      <c r="E1717" s="1126"/>
    </row>
    <row r="1718" spans="1:5" x14ac:dyDescent="0.2">
      <c r="A1718" s="1126" t="s">
        <v>2300</v>
      </c>
      <c r="B1718" s="1127">
        <v>171</v>
      </c>
      <c r="C1718" s="1128">
        <v>0</v>
      </c>
      <c r="D1718" s="1128">
        <v>82.46</v>
      </c>
      <c r="E1718" s="1126"/>
    </row>
    <row r="1719" spans="1:5" x14ac:dyDescent="0.2">
      <c r="A1719" s="1126" t="s">
        <v>2301</v>
      </c>
      <c r="B1719" s="1127">
        <v>195</v>
      </c>
      <c r="C1719" s="1128">
        <v>0</v>
      </c>
      <c r="D1719" s="1128">
        <v>75.12</v>
      </c>
      <c r="E1719" s="1126"/>
    </row>
    <row r="1720" spans="1:5" x14ac:dyDescent="0.2">
      <c r="A1720" s="1126" t="s">
        <v>2302</v>
      </c>
      <c r="B1720" s="1127">
        <v>285</v>
      </c>
      <c r="C1720" s="1128">
        <v>191.65</v>
      </c>
      <c r="D1720" s="1128">
        <v>387.55</v>
      </c>
      <c r="E1720" s="1126"/>
    </row>
    <row r="1721" spans="1:5" x14ac:dyDescent="0.2">
      <c r="A1721" s="1126" t="s">
        <v>2303</v>
      </c>
      <c r="B1721" s="1127">
        <v>204</v>
      </c>
      <c r="C1721" s="1128">
        <v>485.5</v>
      </c>
      <c r="D1721" s="1128">
        <v>625.72</v>
      </c>
      <c r="E1721" s="1126"/>
    </row>
    <row r="1722" spans="1:5" x14ac:dyDescent="0.2">
      <c r="A1722" s="1126" t="s">
        <v>2304</v>
      </c>
      <c r="B1722" s="1127">
        <v>243</v>
      </c>
      <c r="C1722" s="1128">
        <v>0</v>
      </c>
      <c r="D1722" s="1128">
        <v>19.59</v>
      </c>
      <c r="E1722" s="1126"/>
    </row>
    <row r="1723" spans="1:5" x14ac:dyDescent="0.2">
      <c r="A1723" s="1126" t="s">
        <v>2305</v>
      </c>
      <c r="B1723" s="1127">
        <v>403</v>
      </c>
      <c r="C1723" s="1128">
        <v>0</v>
      </c>
      <c r="D1723" s="1128">
        <v>81.599999999999994</v>
      </c>
      <c r="E1723" s="1126"/>
    </row>
    <row r="1724" spans="1:5" x14ac:dyDescent="0.2">
      <c r="A1724" s="1126" t="s">
        <v>2306</v>
      </c>
      <c r="B1724" s="1127">
        <v>113</v>
      </c>
      <c r="C1724" s="1128">
        <v>41.55</v>
      </c>
      <c r="D1724" s="1128">
        <v>119.22</v>
      </c>
      <c r="E1724" s="1126"/>
    </row>
    <row r="1725" spans="1:5" x14ac:dyDescent="0.2">
      <c r="A1725" s="1126" t="s">
        <v>2307</v>
      </c>
      <c r="B1725" s="1127">
        <v>217</v>
      </c>
      <c r="C1725" s="1128">
        <v>0</v>
      </c>
      <c r="D1725" s="1128">
        <v>54.92</v>
      </c>
      <c r="E1725" s="1126"/>
    </row>
    <row r="1726" spans="1:5" x14ac:dyDescent="0.2">
      <c r="A1726" s="1126" t="s">
        <v>2308</v>
      </c>
      <c r="B1726" s="1127">
        <v>354</v>
      </c>
      <c r="C1726" s="1128">
        <v>0</v>
      </c>
      <c r="D1726" s="1128">
        <v>177.6</v>
      </c>
      <c r="E1726" s="1126"/>
    </row>
    <row r="1727" spans="1:5" x14ac:dyDescent="0.2">
      <c r="A1727" s="1126" t="s">
        <v>2309</v>
      </c>
      <c r="B1727" s="1127">
        <v>103</v>
      </c>
      <c r="C1727" s="1128">
        <v>0</v>
      </c>
      <c r="D1727" s="1128">
        <v>47.09</v>
      </c>
      <c r="E1727" s="1126"/>
    </row>
    <row r="1728" spans="1:5" x14ac:dyDescent="0.2">
      <c r="A1728" s="1126" t="s">
        <v>2310</v>
      </c>
      <c r="B1728" s="1127">
        <v>226</v>
      </c>
      <c r="C1728" s="1128">
        <v>0</v>
      </c>
      <c r="D1728" s="1128">
        <v>104.82</v>
      </c>
      <c r="E1728" s="1126"/>
    </row>
    <row r="1729" spans="1:5" x14ac:dyDescent="0.2">
      <c r="A1729" s="1126" t="s">
        <v>2311</v>
      </c>
      <c r="B1729" s="1127">
        <v>200</v>
      </c>
      <c r="C1729" s="1128">
        <v>0</v>
      </c>
      <c r="D1729" s="1128">
        <v>96.62</v>
      </c>
      <c r="E1729" s="1126"/>
    </row>
    <row r="1730" spans="1:5" x14ac:dyDescent="0.2">
      <c r="A1730" s="1126" t="s">
        <v>2312</v>
      </c>
      <c r="B1730" s="1127">
        <v>318</v>
      </c>
      <c r="C1730" s="1128">
        <v>0</v>
      </c>
      <c r="D1730" s="1128">
        <v>18.72</v>
      </c>
      <c r="E1730" s="1126"/>
    </row>
    <row r="1731" spans="1:5" x14ac:dyDescent="0.2">
      <c r="A1731" s="1126" t="s">
        <v>2313</v>
      </c>
      <c r="B1731" s="1127">
        <v>201</v>
      </c>
      <c r="C1731" s="1128">
        <v>0</v>
      </c>
      <c r="D1731" s="1128">
        <v>132.06</v>
      </c>
      <c r="E1731" s="1126"/>
    </row>
    <row r="1732" spans="1:5" x14ac:dyDescent="0.2">
      <c r="A1732" s="1126" t="s">
        <v>2314</v>
      </c>
      <c r="B1732" s="1127">
        <v>248</v>
      </c>
      <c r="C1732" s="1128">
        <v>95.98</v>
      </c>
      <c r="D1732" s="1128">
        <v>266.44</v>
      </c>
      <c r="E1732" s="1126"/>
    </row>
    <row r="1733" spans="1:5" x14ac:dyDescent="0.2">
      <c r="A1733" s="1126" t="s">
        <v>2315</v>
      </c>
      <c r="B1733" s="1127">
        <v>85</v>
      </c>
      <c r="C1733" s="1128">
        <v>0</v>
      </c>
      <c r="D1733" s="1128">
        <v>23.27</v>
      </c>
      <c r="E1733" s="1126"/>
    </row>
    <row r="1734" spans="1:5" x14ac:dyDescent="0.2">
      <c r="A1734" s="1126" t="s">
        <v>2316</v>
      </c>
      <c r="B1734" s="1127">
        <v>206</v>
      </c>
      <c r="C1734" s="1128">
        <v>0</v>
      </c>
      <c r="D1734" s="1128">
        <v>110</v>
      </c>
      <c r="E1734" s="1126"/>
    </row>
    <row r="1735" spans="1:5" x14ac:dyDescent="0.2">
      <c r="A1735" s="1126" t="s">
        <v>2317</v>
      </c>
      <c r="B1735" s="1127">
        <v>100</v>
      </c>
      <c r="C1735" s="1128">
        <v>0</v>
      </c>
      <c r="D1735" s="1128">
        <v>49.78</v>
      </c>
      <c r="E1735" s="1126"/>
    </row>
    <row r="1736" spans="1:5" x14ac:dyDescent="0.2">
      <c r="A1736" s="1126" t="s">
        <v>2318</v>
      </c>
      <c r="B1736" s="1127">
        <v>208</v>
      </c>
      <c r="C1736" s="1128">
        <v>375.28</v>
      </c>
      <c r="D1736" s="1128">
        <v>518.25</v>
      </c>
      <c r="E1736" s="1126"/>
    </row>
    <row r="1737" spans="1:5" x14ac:dyDescent="0.2">
      <c r="A1737" s="1126" t="s">
        <v>2319</v>
      </c>
      <c r="B1737" s="1127">
        <v>210</v>
      </c>
      <c r="C1737" s="1128">
        <v>0</v>
      </c>
      <c r="D1737" s="1128">
        <v>65.27</v>
      </c>
      <c r="E1737" s="1126"/>
    </row>
    <row r="1738" spans="1:5" x14ac:dyDescent="0.2">
      <c r="A1738" s="1126" t="s">
        <v>2320</v>
      </c>
      <c r="B1738" s="1127">
        <v>67</v>
      </c>
      <c r="C1738" s="1128">
        <v>0</v>
      </c>
      <c r="D1738" s="1128">
        <v>26.61</v>
      </c>
      <c r="E1738" s="1126"/>
    </row>
    <row r="1739" spans="1:5" x14ac:dyDescent="0.2">
      <c r="A1739" s="1126" t="s">
        <v>2321</v>
      </c>
      <c r="B1739" s="1127">
        <v>186</v>
      </c>
      <c r="C1739" s="1128">
        <v>0</v>
      </c>
      <c r="D1739" s="1128">
        <v>20.96</v>
      </c>
      <c r="E1739" s="1126"/>
    </row>
    <row r="1740" spans="1:5" x14ac:dyDescent="0.2">
      <c r="A1740" s="1126" t="s">
        <v>2322</v>
      </c>
      <c r="B1740" s="1127">
        <v>285</v>
      </c>
      <c r="C1740" s="1128">
        <v>0</v>
      </c>
      <c r="D1740" s="1128">
        <v>147.58000000000001</v>
      </c>
      <c r="E1740" s="1126"/>
    </row>
    <row r="1741" spans="1:5" x14ac:dyDescent="0.2">
      <c r="A1741" s="1126" t="s">
        <v>2323</v>
      </c>
      <c r="B1741" s="1127">
        <v>248</v>
      </c>
      <c r="C1741" s="1128">
        <v>0</v>
      </c>
      <c r="D1741" s="1128">
        <v>54.01</v>
      </c>
      <c r="E1741" s="1126"/>
    </row>
    <row r="1742" spans="1:5" x14ac:dyDescent="0.2">
      <c r="A1742" s="1126" t="s">
        <v>2324</v>
      </c>
      <c r="B1742" s="1127">
        <v>291</v>
      </c>
      <c r="C1742" s="1128">
        <v>16.82</v>
      </c>
      <c r="D1742" s="1128">
        <v>216.84</v>
      </c>
      <c r="E1742" s="1126"/>
    </row>
    <row r="1743" spans="1:5" x14ac:dyDescent="0.2">
      <c r="A1743" s="1126" t="s">
        <v>2325</v>
      </c>
      <c r="B1743" s="1127">
        <v>194</v>
      </c>
      <c r="C1743" s="1128">
        <v>0</v>
      </c>
      <c r="D1743" s="1128">
        <v>29.42</v>
      </c>
      <c r="E1743" s="1126"/>
    </row>
    <row r="1744" spans="1:5" x14ac:dyDescent="0.2">
      <c r="A1744" s="1126" t="s">
        <v>2326</v>
      </c>
      <c r="B1744" s="1127">
        <v>276</v>
      </c>
      <c r="C1744" s="1128">
        <v>0</v>
      </c>
      <c r="D1744" s="1128">
        <v>65.459999999999994</v>
      </c>
      <c r="E1744" s="1126"/>
    </row>
    <row r="1745" spans="1:5" x14ac:dyDescent="0.2">
      <c r="A1745" s="1126" t="s">
        <v>2327</v>
      </c>
      <c r="B1745" s="1127">
        <v>93</v>
      </c>
      <c r="C1745" s="1128">
        <v>0</v>
      </c>
      <c r="D1745" s="1128">
        <v>47</v>
      </c>
      <c r="E1745" s="1126"/>
    </row>
    <row r="1746" spans="1:5" x14ac:dyDescent="0.2">
      <c r="A1746" s="1126" t="s">
        <v>2328</v>
      </c>
      <c r="B1746" s="1127">
        <v>78</v>
      </c>
      <c r="C1746" s="1128">
        <v>0</v>
      </c>
      <c r="D1746" s="1128">
        <v>47.58</v>
      </c>
      <c r="E1746" s="1126"/>
    </row>
    <row r="1747" spans="1:5" x14ac:dyDescent="0.2">
      <c r="A1747" s="1126" t="s">
        <v>2329</v>
      </c>
      <c r="B1747" s="1127">
        <v>160</v>
      </c>
      <c r="C1747" s="1128">
        <v>95.11</v>
      </c>
      <c r="D1747" s="1128">
        <v>205.09</v>
      </c>
      <c r="E1747" s="1126"/>
    </row>
    <row r="1748" spans="1:5" x14ac:dyDescent="0.2">
      <c r="A1748" s="1126" t="s">
        <v>2330</v>
      </c>
      <c r="B1748" s="1127">
        <v>69</v>
      </c>
      <c r="C1748" s="1128">
        <v>0</v>
      </c>
      <c r="D1748" s="1128">
        <v>19.559999999999999</v>
      </c>
      <c r="E1748" s="1126"/>
    </row>
    <row r="1749" spans="1:5" x14ac:dyDescent="0.2">
      <c r="A1749" s="1126" t="s">
        <v>2331</v>
      </c>
      <c r="B1749" s="1127">
        <v>148</v>
      </c>
      <c r="C1749" s="1128">
        <v>0</v>
      </c>
      <c r="D1749" s="1128">
        <v>51.74</v>
      </c>
      <c r="E1749" s="1126"/>
    </row>
    <row r="1750" spans="1:5" x14ac:dyDescent="0.2">
      <c r="A1750" s="1126" t="s">
        <v>2332</v>
      </c>
      <c r="B1750" s="1127">
        <v>350</v>
      </c>
      <c r="C1750" s="1128">
        <v>0</v>
      </c>
      <c r="D1750" s="1128">
        <v>140.97999999999999</v>
      </c>
      <c r="E1750" s="1126"/>
    </row>
    <row r="1751" spans="1:5" x14ac:dyDescent="0.2">
      <c r="A1751" s="1126" t="s">
        <v>2333</v>
      </c>
      <c r="B1751" s="1127">
        <v>222</v>
      </c>
      <c r="C1751" s="1128">
        <v>0</v>
      </c>
      <c r="D1751" s="1128">
        <v>19.29</v>
      </c>
      <c r="E1751" s="1126"/>
    </row>
    <row r="1752" spans="1:5" x14ac:dyDescent="0.2">
      <c r="A1752" s="1126" t="s">
        <v>2334</v>
      </c>
      <c r="B1752" s="1127">
        <v>100</v>
      </c>
      <c r="C1752" s="1128">
        <v>0</v>
      </c>
      <c r="D1752" s="1128">
        <v>24.44</v>
      </c>
      <c r="E1752" s="1126"/>
    </row>
    <row r="1753" spans="1:5" x14ac:dyDescent="0.2">
      <c r="A1753" s="1126" t="s">
        <v>2335</v>
      </c>
      <c r="B1753" s="1127">
        <v>209</v>
      </c>
      <c r="C1753" s="1128">
        <v>12.7</v>
      </c>
      <c r="D1753" s="1128">
        <v>156.36000000000001</v>
      </c>
      <c r="E1753" s="1126"/>
    </row>
    <row r="1754" spans="1:5" x14ac:dyDescent="0.2">
      <c r="A1754" s="1126" t="s">
        <v>2336</v>
      </c>
      <c r="B1754" s="1127">
        <v>124</v>
      </c>
      <c r="C1754" s="1128">
        <v>0</v>
      </c>
      <c r="D1754" s="1128">
        <v>63.25</v>
      </c>
      <c r="E1754" s="1126"/>
    </row>
    <row r="1755" spans="1:5" x14ac:dyDescent="0.2">
      <c r="A1755" s="1126" t="s">
        <v>2337</v>
      </c>
      <c r="B1755" s="1127">
        <v>165</v>
      </c>
      <c r="C1755" s="1128">
        <v>0</v>
      </c>
      <c r="D1755" s="1128">
        <v>93.99</v>
      </c>
      <c r="E1755" s="1126"/>
    </row>
    <row r="1756" spans="1:5" x14ac:dyDescent="0.2">
      <c r="A1756" s="1126" t="s">
        <v>2338</v>
      </c>
      <c r="B1756" s="1127">
        <v>167</v>
      </c>
      <c r="C1756" s="1128">
        <v>0</v>
      </c>
      <c r="D1756" s="1128">
        <v>76.02</v>
      </c>
      <c r="E1756" s="1126"/>
    </row>
    <row r="1757" spans="1:5" x14ac:dyDescent="0.2">
      <c r="A1757" s="1126" t="s">
        <v>2339</v>
      </c>
      <c r="B1757" s="1127">
        <v>190</v>
      </c>
      <c r="C1757" s="1128">
        <v>0</v>
      </c>
      <c r="D1757" s="1128">
        <v>47.7</v>
      </c>
      <c r="E1757" s="1126"/>
    </row>
    <row r="1758" spans="1:5" x14ac:dyDescent="0.2">
      <c r="A1758" s="1126" t="s">
        <v>2340</v>
      </c>
      <c r="B1758" s="1127">
        <v>98</v>
      </c>
      <c r="C1758" s="1128">
        <v>57.27</v>
      </c>
      <c r="D1758" s="1128">
        <v>124.64</v>
      </c>
      <c r="E1758" s="1126"/>
    </row>
    <row r="1759" spans="1:5" x14ac:dyDescent="0.2">
      <c r="A1759" s="1126" t="s">
        <v>2341</v>
      </c>
      <c r="B1759" s="1127">
        <v>297</v>
      </c>
      <c r="C1759" s="1128">
        <v>191.42</v>
      </c>
      <c r="D1759" s="1128">
        <v>395.57</v>
      </c>
      <c r="E1759" s="1126"/>
    </row>
    <row r="1760" spans="1:5" x14ac:dyDescent="0.2">
      <c r="A1760" s="1126" t="s">
        <v>2342</v>
      </c>
      <c r="B1760" s="1127">
        <v>254</v>
      </c>
      <c r="C1760" s="1128">
        <v>0</v>
      </c>
      <c r="D1760" s="1128">
        <v>168.2</v>
      </c>
      <c r="E1760" s="1126"/>
    </row>
    <row r="1761" spans="1:5" x14ac:dyDescent="0.2">
      <c r="A1761" s="1126" t="s">
        <v>2343</v>
      </c>
      <c r="B1761" s="1127">
        <v>380</v>
      </c>
      <c r="C1761" s="1128">
        <v>0</v>
      </c>
      <c r="D1761" s="1128">
        <v>186.33</v>
      </c>
      <c r="E1761" s="1126"/>
    </row>
    <row r="1762" spans="1:5" x14ac:dyDescent="0.2">
      <c r="A1762" s="1126" t="s">
        <v>2344</v>
      </c>
      <c r="B1762" s="1127">
        <v>251</v>
      </c>
      <c r="C1762" s="1128">
        <v>0</v>
      </c>
      <c r="D1762" s="1128">
        <v>94.95</v>
      </c>
      <c r="E1762" s="1126"/>
    </row>
    <row r="1763" spans="1:5" x14ac:dyDescent="0.2">
      <c r="A1763" s="1126" t="s">
        <v>2345</v>
      </c>
      <c r="B1763" s="1127">
        <v>240</v>
      </c>
      <c r="C1763" s="1128">
        <v>0</v>
      </c>
      <c r="D1763" s="1128">
        <v>67.55</v>
      </c>
      <c r="E1763" s="1126"/>
    </row>
    <row r="1764" spans="1:5" x14ac:dyDescent="0.2">
      <c r="A1764" s="1126" t="s">
        <v>2346</v>
      </c>
      <c r="B1764" s="1127">
        <v>205</v>
      </c>
      <c r="C1764" s="1128">
        <v>0</v>
      </c>
      <c r="D1764" s="1128">
        <v>43.03</v>
      </c>
      <c r="E1764" s="1126"/>
    </row>
    <row r="1765" spans="1:5" x14ac:dyDescent="0.2">
      <c r="A1765" s="1126" t="s">
        <v>2347</v>
      </c>
      <c r="B1765" s="1127">
        <v>173</v>
      </c>
      <c r="C1765" s="1128">
        <v>0</v>
      </c>
      <c r="D1765" s="1128">
        <v>18.239999999999998</v>
      </c>
      <c r="E1765" s="1126"/>
    </row>
    <row r="1766" spans="1:5" x14ac:dyDescent="0.2">
      <c r="A1766" s="1126" t="s">
        <v>2348</v>
      </c>
      <c r="B1766" s="1127">
        <v>38</v>
      </c>
      <c r="C1766" s="1128">
        <v>63.74</v>
      </c>
      <c r="D1766" s="1128">
        <v>89.86</v>
      </c>
      <c r="E1766" s="1126" t="s">
        <v>669</v>
      </c>
    </row>
    <row r="1767" spans="1:5" x14ac:dyDescent="0.2">
      <c r="A1767" s="1126" t="s">
        <v>2349</v>
      </c>
      <c r="B1767" s="1127">
        <v>69</v>
      </c>
      <c r="C1767" s="1128">
        <v>0</v>
      </c>
      <c r="D1767" s="1128">
        <v>26.84</v>
      </c>
      <c r="E1767" s="1126"/>
    </row>
    <row r="1768" spans="1:5" x14ac:dyDescent="0.2">
      <c r="A1768" s="1126" t="s">
        <v>2350</v>
      </c>
      <c r="B1768" s="1127">
        <v>93</v>
      </c>
      <c r="C1768" s="1128">
        <v>23.37</v>
      </c>
      <c r="D1768" s="1128">
        <v>87.3</v>
      </c>
      <c r="E1768" s="1126"/>
    </row>
    <row r="1769" spans="1:5" x14ac:dyDescent="0.2">
      <c r="A1769" s="1126" t="s">
        <v>2351</v>
      </c>
      <c r="B1769" s="1127">
        <v>240</v>
      </c>
      <c r="C1769" s="1128">
        <v>0</v>
      </c>
      <c r="D1769" s="1128">
        <v>58.42</v>
      </c>
      <c r="E1769" s="1126"/>
    </row>
    <row r="1770" spans="1:5" x14ac:dyDescent="0.2">
      <c r="A1770" s="1126" t="s">
        <v>2352</v>
      </c>
      <c r="B1770" s="1127">
        <v>211</v>
      </c>
      <c r="C1770" s="1128">
        <v>0</v>
      </c>
      <c r="D1770" s="1128">
        <v>5.67</v>
      </c>
      <c r="E1770" s="1126"/>
    </row>
    <row r="1771" spans="1:5" x14ac:dyDescent="0.2">
      <c r="A1771" s="1126" t="s">
        <v>2353</v>
      </c>
      <c r="B1771" s="1127">
        <v>153</v>
      </c>
      <c r="C1771" s="1128">
        <v>0</v>
      </c>
      <c r="D1771" s="1128">
        <v>33.92</v>
      </c>
      <c r="E1771" s="1126"/>
    </row>
    <row r="1772" spans="1:5" x14ac:dyDescent="0.2">
      <c r="A1772" s="1126" t="s">
        <v>2354</v>
      </c>
      <c r="B1772" s="1127">
        <v>455</v>
      </c>
      <c r="C1772" s="1128">
        <v>0</v>
      </c>
      <c r="D1772" s="1128">
        <v>148.13999999999999</v>
      </c>
      <c r="E1772" s="1126"/>
    </row>
    <row r="1773" spans="1:5" x14ac:dyDescent="0.2">
      <c r="A1773" s="1126" t="s">
        <v>2355</v>
      </c>
      <c r="B1773" s="1127">
        <v>259</v>
      </c>
      <c r="C1773" s="1128">
        <v>0</v>
      </c>
      <c r="D1773" s="1128">
        <v>138.11000000000001</v>
      </c>
      <c r="E1773" s="1126"/>
    </row>
    <row r="1774" spans="1:5" x14ac:dyDescent="0.2">
      <c r="A1774" s="1126" t="s">
        <v>2356</v>
      </c>
      <c r="B1774" s="1127">
        <v>78</v>
      </c>
      <c r="C1774" s="1128">
        <v>0</v>
      </c>
      <c r="D1774" s="1128">
        <v>50.43</v>
      </c>
      <c r="E1774" s="1126"/>
    </row>
    <row r="1775" spans="1:5" x14ac:dyDescent="0.2">
      <c r="A1775" s="1126" t="s">
        <v>2357</v>
      </c>
      <c r="B1775" s="1127">
        <v>93</v>
      </c>
      <c r="C1775" s="1128">
        <v>65.27</v>
      </c>
      <c r="D1775" s="1128">
        <v>129.19</v>
      </c>
      <c r="E1775" s="1126"/>
    </row>
    <row r="1776" spans="1:5" x14ac:dyDescent="0.2">
      <c r="A1776" s="1126" t="s">
        <v>2358</v>
      </c>
      <c r="B1776" s="1127">
        <v>147</v>
      </c>
      <c r="C1776" s="1128">
        <v>0</v>
      </c>
      <c r="D1776" s="1128">
        <v>26.67</v>
      </c>
      <c r="E1776" s="1126"/>
    </row>
    <row r="1777" spans="1:5" x14ac:dyDescent="0.2">
      <c r="A1777" s="1126" t="s">
        <v>2359</v>
      </c>
      <c r="B1777" s="1127">
        <v>226</v>
      </c>
      <c r="C1777" s="1128">
        <v>0</v>
      </c>
      <c r="D1777" s="1128">
        <v>114</v>
      </c>
      <c r="E1777" s="1126"/>
    </row>
    <row r="1778" spans="1:5" x14ac:dyDescent="0.2">
      <c r="A1778" s="1126" t="s">
        <v>2360</v>
      </c>
      <c r="B1778" s="1127">
        <v>231</v>
      </c>
      <c r="C1778" s="1128">
        <v>0</v>
      </c>
      <c r="D1778" s="1128">
        <v>143.13</v>
      </c>
      <c r="E1778" s="1126"/>
    </row>
    <row r="1779" spans="1:5" x14ac:dyDescent="0.2">
      <c r="A1779" s="1126" t="s">
        <v>2361</v>
      </c>
      <c r="B1779" s="1127">
        <v>262</v>
      </c>
      <c r="C1779" s="1128">
        <v>0</v>
      </c>
      <c r="D1779" s="1128">
        <v>84.69</v>
      </c>
      <c r="E1779" s="1126"/>
    </row>
    <row r="1780" spans="1:5" x14ac:dyDescent="0.2">
      <c r="A1780" s="1126" t="s">
        <v>2362</v>
      </c>
      <c r="B1780" s="1127">
        <v>103</v>
      </c>
      <c r="C1780" s="1128">
        <v>0</v>
      </c>
      <c r="D1780" s="1128">
        <v>60.29</v>
      </c>
      <c r="E1780" s="1126"/>
    </row>
    <row r="1781" spans="1:5" x14ac:dyDescent="0.2">
      <c r="A1781" s="1126" t="s">
        <v>2363</v>
      </c>
      <c r="B1781" s="1127">
        <v>343</v>
      </c>
      <c r="C1781" s="1128">
        <v>0</v>
      </c>
      <c r="D1781" s="1128">
        <v>90.88</v>
      </c>
      <c r="E1781" s="1126"/>
    </row>
    <row r="1782" spans="1:5" x14ac:dyDescent="0.2">
      <c r="A1782" s="1126" t="s">
        <v>2364</v>
      </c>
      <c r="B1782" s="1127">
        <v>55</v>
      </c>
      <c r="C1782" s="1128">
        <v>162.34</v>
      </c>
      <c r="D1782" s="1128">
        <v>200.14</v>
      </c>
      <c r="E1782" s="1126"/>
    </row>
    <row r="1783" spans="1:5" x14ac:dyDescent="0.2">
      <c r="A1783" s="1126" t="s">
        <v>2365</v>
      </c>
      <c r="B1783" s="1127">
        <v>107</v>
      </c>
      <c r="C1783" s="1128">
        <v>0</v>
      </c>
      <c r="D1783" s="1128">
        <v>0</v>
      </c>
      <c r="E1783" s="1126"/>
    </row>
    <row r="1784" spans="1:5" x14ac:dyDescent="0.2">
      <c r="A1784" s="1126" t="s">
        <v>2366</v>
      </c>
      <c r="B1784" s="1127">
        <v>301</v>
      </c>
      <c r="C1784" s="1128">
        <v>1.72</v>
      </c>
      <c r="D1784" s="1128">
        <v>208.62</v>
      </c>
      <c r="E1784" s="1126"/>
    </row>
    <row r="1785" spans="1:5" x14ac:dyDescent="0.2">
      <c r="A1785" s="1126" t="s">
        <v>2367</v>
      </c>
      <c r="B1785" s="1127">
        <v>292</v>
      </c>
      <c r="C1785" s="1128">
        <v>0</v>
      </c>
      <c r="D1785" s="1128">
        <v>76.930000000000007</v>
      </c>
      <c r="E1785" s="1126"/>
    </row>
    <row r="1786" spans="1:5" x14ac:dyDescent="0.2">
      <c r="A1786" s="1126" t="s">
        <v>2368</v>
      </c>
      <c r="B1786" s="1127">
        <v>141</v>
      </c>
      <c r="C1786" s="1128">
        <v>0</v>
      </c>
      <c r="D1786" s="1128">
        <v>43.61</v>
      </c>
      <c r="E1786" s="1126"/>
    </row>
    <row r="1787" spans="1:5" x14ac:dyDescent="0.2">
      <c r="A1787" s="1126" t="s">
        <v>2369</v>
      </c>
      <c r="B1787" s="1127">
        <v>95</v>
      </c>
      <c r="C1787" s="1128">
        <v>3.45</v>
      </c>
      <c r="D1787" s="1128">
        <v>68.75</v>
      </c>
      <c r="E1787" s="1126"/>
    </row>
    <row r="1788" spans="1:5" x14ac:dyDescent="0.2">
      <c r="A1788" s="1126" t="s">
        <v>2370</v>
      </c>
      <c r="B1788" s="1127">
        <v>297</v>
      </c>
      <c r="C1788" s="1128">
        <v>144.51</v>
      </c>
      <c r="D1788" s="1128">
        <v>348.65</v>
      </c>
      <c r="E1788" s="1126"/>
    </row>
    <row r="1789" spans="1:5" x14ac:dyDescent="0.2">
      <c r="A1789" s="1126" t="s">
        <v>2371</v>
      </c>
      <c r="B1789" s="1127">
        <v>199</v>
      </c>
      <c r="C1789" s="1128">
        <v>5.53</v>
      </c>
      <c r="D1789" s="1128">
        <v>142.31</v>
      </c>
      <c r="E1789" s="1126"/>
    </row>
    <row r="1790" spans="1:5" x14ac:dyDescent="0.2">
      <c r="A1790" s="1126" t="s">
        <v>2372</v>
      </c>
      <c r="B1790" s="1127">
        <v>227</v>
      </c>
      <c r="C1790" s="1128">
        <v>0</v>
      </c>
      <c r="D1790" s="1128">
        <v>44.83</v>
      </c>
      <c r="E1790" s="1126"/>
    </row>
    <row r="1791" spans="1:5" x14ac:dyDescent="0.2">
      <c r="A1791" s="1126" t="s">
        <v>2373</v>
      </c>
      <c r="B1791" s="1127">
        <v>198</v>
      </c>
      <c r="C1791" s="1128">
        <v>0</v>
      </c>
      <c r="D1791" s="1128">
        <v>123.97</v>
      </c>
      <c r="E1791" s="1126"/>
    </row>
    <row r="1792" spans="1:5" x14ac:dyDescent="0.2">
      <c r="A1792" s="1126" t="s">
        <v>2374</v>
      </c>
      <c r="B1792" s="1127">
        <v>71</v>
      </c>
      <c r="C1792" s="1128">
        <v>0</v>
      </c>
      <c r="D1792" s="1128">
        <v>42.04</v>
      </c>
      <c r="E1792" s="1126"/>
    </row>
    <row r="1793" spans="1:5" x14ac:dyDescent="0.2">
      <c r="A1793" s="1126" t="s">
        <v>2375</v>
      </c>
      <c r="B1793" s="1127">
        <v>263</v>
      </c>
      <c r="C1793" s="1128">
        <v>0</v>
      </c>
      <c r="D1793" s="1128">
        <v>160.29</v>
      </c>
      <c r="E1793" s="1126"/>
    </row>
    <row r="1794" spans="1:5" x14ac:dyDescent="0.2">
      <c r="A1794" s="1126" t="s">
        <v>2376</v>
      </c>
      <c r="B1794" s="1127">
        <v>170</v>
      </c>
      <c r="C1794" s="1128">
        <v>0</v>
      </c>
      <c r="D1794" s="1128">
        <v>66.099999999999994</v>
      </c>
      <c r="E1794" s="1126"/>
    </row>
    <row r="1795" spans="1:5" x14ac:dyDescent="0.2">
      <c r="A1795" s="1126" t="s">
        <v>2377</v>
      </c>
      <c r="B1795" s="1127">
        <v>188</v>
      </c>
      <c r="C1795" s="1128">
        <v>0</v>
      </c>
      <c r="D1795" s="1128">
        <v>81.5</v>
      </c>
      <c r="E1795" s="1126"/>
    </row>
    <row r="1796" spans="1:5" x14ac:dyDescent="0.2">
      <c r="A1796" s="1126" t="s">
        <v>2378</v>
      </c>
      <c r="B1796" s="1127">
        <v>173</v>
      </c>
      <c r="C1796" s="1128">
        <v>0</v>
      </c>
      <c r="D1796" s="1128">
        <v>33.28</v>
      </c>
      <c r="E1796" s="1126"/>
    </row>
    <row r="1797" spans="1:5" x14ac:dyDescent="0.2">
      <c r="A1797" s="1126" t="s">
        <v>2379</v>
      </c>
      <c r="B1797" s="1127">
        <v>214</v>
      </c>
      <c r="C1797" s="1128">
        <v>0</v>
      </c>
      <c r="D1797" s="1128">
        <v>69.45</v>
      </c>
      <c r="E1797" s="1126"/>
    </row>
    <row r="1798" spans="1:5" x14ac:dyDescent="0.2">
      <c r="A1798" s="1126" t="s">
        <v>2380</v>
      </c>
      <c r="B1798" s="1127">
        <v>415</v>
      </c>
      <c r="C1798" s="1128">
        <v>0</v>
      </c>
      <c r="D1798" s="1128">
        <v>132.91999999999999</v>
      </c>
      <c r="E1798" s="1126"/>
    </row>
    <row r="1799" spans="1:5" x14ac:dyDescent="0.2">
      <c r="A1799" s="1126" t="s">
        <v>2381</v>
      </c>
      <c r="B1799" s="1127">
        <v>147</v>
      </c>
      <c r="C1799" s="1128">
        <v>0</v>
      </c>
      <c r="D1799" s="1128">
        <v>55.3</v>
      </c>
      <c r="E1799" s="1126"/>
    </row>
    <row r="1800" spans="1:5" x14ac:dyDescent="0.2">
      <c r="A1800" s="1126" t="s">
        <v>2382</v>
      </c>
      <c r="B1800" s="1127">
        <v>494</v>
      </c>
      <c r="C1800" s="1128">
        <v>0</v>
      </c>
      <c r="D1800" s="1128">
        <v>48.89</v>
      </c>
      <c r="E1800" s="1126"/>
    </row>
    <row r="1801" spans="1:5" x14ac:dyDescent="0.2">
      <c r="A1801" s="1126" t="s">
        <v>2383</v>
      </c>
      <c r="B1801" s="1127">
        <v>410</v>
      </c>
      <c r="C1801" s="1128">
        <v>977.91</v>
      </c>
      <c r="D1801" s="1128">
        <v>1259.72</v>
      </c>
      <c r="E1801" s="1126"/>
    </row>
    <row r="1802" spans="1:5" x14ac:dyDescent="0.2">
      <c r="A1802" s="1126" t="s">
        <v>2384</v>
      </c>
      <c r="B1802" s="1127">
        <v>355</v>
      </c>
      <c r="C1802" s="1128">
        <v>0</v>
      </c>
      <c r="D1802" s="1128">
        <v>231.71</v>
      </c>
      <c r="E1802" s="1126"/>
    </row>
    <row r="1803" spans="1:5" x14ac:dyDescent="0.2">
      <c r="A1803" s="1126" t="s">
        <v>2385</v>
      </c>
      <c r="B1803" s="1127">
        <v>341</v>
      </c>
      <c r="C1803" s="1128">
        <v>0</v>
      </c>
      <c r="D1803" s="1128">
        <v>103.28</v>
      </c>
      <c r="E1803" s="1126"/>
    </row>
    <row r="1804" spans="1:5" x14ac:dyDescent="0.2">
      <c r="A1804" s="1126" t="s">
        <v>2386</v>
      </c>
      <c r="B1804" s="1127">
        <v>203</v>
      </c>
      <c r="C1804" s="1128">
        <v>0</v>
      </c>
      <c r="D1804" s="1128">
        <v>73.94</v>
      </c>
      <c r="E1804" s="1126"/>
    </row>
    <row r="1805" spans="1:5" x14ac:dyDescent="0.2">
      <c r="A1805" s="1126" t="s">
        <v>2387</v>
      </c>
      <c r="B1805" s="1127">
        <v>44</v>
      </c>
      <c r="C1805" s="1128">
        <v>0</v>
      </c>
      <c r="D1805" s="1128">
        <v>9.6199999999999992</v>
      </c>
      <c r="E1805" s="1126"/>
    </row>
    <row r="1806" spans="1:5" x14ac:dyDescent="0.2">
      <c r="A1806" s="1126" t="s">
        <v>2388</v>
      </c>
      <c r="B1806" s="1127">
        <v>216</v>
      </c>
      <c r="C1806" s="1128">
        <v>0</v>
      </c>
      <c r="D1806" s="1128">
        <v>57.11</v>
      </c>
      <c r="E1806" s="1126"/>
    </row>
    <row r="1807" spans="1:5" x14ac:dyDescent="0.2">
      <c r="A1807" s="1126" t="s">
        <v>2389</v>
      </c>
      <c r="B1807" s="1127">
        <v>225</v>
      </c>
      <c r="C1807" s="1128">
        <v>0</v>
      </c>
      <c r="D1807" s="1128">
        <v>71.77</v>
      </c>
      <c r="E1807" s="1126"/>
    </row>
    <row r="1808" spans="1:5" x14ac:dyDescent="0.2">
      <c r="A1808" s="1126" t="s">
        <v>2390</v>
      </c>
      <c r="B1808" s="1127">
        <v>371</v>
      </c>
      <c r="C1808" s="1128">
        <v>0</v>
      </c>
      <c r="D1808" s="1128">
        <v>199.76</v>
      </c>
      <c r="E1808" s="1126"/>
    </row>
    <row r="1809" spans="1:5" x14ac:dyDescent="0.2">
      <c r="A1809" s="1126" t="s">
        <v>2391</v>
      </c>
      <c r="B1809" s="1127">
        <v>371</v>
      </c>
      <c r="C1809" s="1128">
        <v>0</v>
      </c>
      <c r="D1809" s="1128">
        <v>179.52</v>
      </c>
      <c r="E1809" s="1126"/>
    </row>
    <row r="1810" spans="1:5" x14ac:dyDescent="0.2">
      <c r="A1810" s="1126" t="s">
        <v>2392</v>
      </c>
      <c r="B1810" s="1127">
        <v>167</v>
      </c>
      <c r="C1810" s="1128">
        <v>26.6</v>
      </c>
      <c r="D1810" s="1128">
        <v>141.38999999999999</v>
      </c>
      <c r="E1810" s="1126"/>
    </row>
    <row r="1811" spans="1:5" x14ac:dyDescent="0.2">
      <c r="A1811" s="1126" t="s">
        <v>2393</v>
      </c>
      <c r="B1811" s="1127">
        <v>141</v>
      </c>
      <c r="C1811" s="1128">
        <v>34.619999999999997</v>
      </c>
      <c r="D1811" s="1128">
        <v>131.54</v>
      </c>
      <c r="E1811" s="1126"/>
    </row>
    <row r="1812" spans="1:5" x14ac:dyDescent="0.2">
      <c r="A1812" s="1126" t="s">
        <v>2394</v>
      </c>
      <c r="B1812" s="1127">
        <v>210</v>
      </c>
      <c r="C1812" s="1128">
        <v>0</v>
      </c>
      <c r="D1812" s="1128">
        <v>120.95</v>
      </c>
      <c r="E1812" s="1126"/>
    </row>
    <row r="1813" spans="1:5" x14ac:dyDescent="0.2">
      <c r="A1813" s="1126" t="s">
        <v>2395</v>
      </c>
      <c r="B1813" s="1127">
        <v>476</v>
      </c>
      <c r="C1813" s="1128">
        <v>0</v>
      </c>
      <c r="D1813" s="1128">
        <v>61.59</v>
      </c>
      <c r="E1813" s="1126"/>
    </row>
    <row r="1814" spans="1:5" x14ac:dyDescent="0.2">
      <c r="A1814" s="1126" t="s">
        <v>2396</v>
      </c>
      <c r="B1814" s="1127">
        <v>201</v>
      </c>
      <c r="C1814" s="1128">
        <v>410.03</v>
      </c>
      <c r="D1814" s="1128">
        <v>548.19000000000005</v>
      </c>
      <c r="E1814" s="1126"/>
    </row>
    <row r="1815" spans="1:5" x14ac:dyDescent="0.2">
      <c r="A1815" s="1126" t="s">
        <v>2397</v>
      </c>
      <c r="B1815" s="1127">
        <v>560</v>
      </c>
      <c r="C1815" s="1128">
        <v>563.72</v>
      </c>
      <c r="D1815" s="1128">
        <v>948.65</v>
      </c>
      <c r="E1815" s="1126"/>
    </row>
    <row r="1816" spans="1:5" x14ac:dyDescent="0.2">
      <c r="A1816" s="1126" t="s">
        <v>2398</v>
      </c>
      <c r="B1816" s="1127">
        <v>171</v>
      </c>
      <c r="C1816" s="1128">
        <v>8.8699999999999992</v>
      </c>
      <c r="D1816" s="1128">
        <v>126.41</v>
      </c>
      <c r="E1816" s="1126"/>
    </row>
    <row r="1817" spans="1:5" x14ac:dyDescent="0.2">
      <c r="A1817" s="1126" t="s">
        <v>2399</v>
      </c>
      <c r="B1817" s="1127">
        <v>251</v>
      </c>
      <c r="C1817" s="1128">
        <v>101.88</v>
      </c>
      <c r="D1817" s="1128">
        <v>274.39999999999998</v>
      </c>
      <c r="E1817" s="1126"/>
    </row>
    <row r="1818" spans="1:5" x14ac:dyDescent="0.2">
      <c r="A1818" s="1126" t="s">
        <v>2400</v>
      </c>
      <c r="B1818" s="1127">
        <v>143</v>
      </c>
      <c r="C1818" s="1128">
        <v>206.36</v>
      </c>
      <c r="D1818" s="1128">
        <v>304.64999999999998</v>
      </c>
      <c r="E1818" s="1126"/>
    </row>
    <row r="1819" spans="1:5" x14ac:dyDescent="0.2">
      <c r="A1819" s="1126" t="s">
        <v>2401</v>
      </c>
      <c r="B1819" s="1127">
        <v>321</v>
      </c>
      <c r="C1819" s="1128">
        <v>275.92</v>
      </c>
      <c r="D1819" s="1128">
        <v>496.56</v>
      </c>
      <c r="E1819" s="1126"/>
    </row>
    <row r="1820" spans="1:5" x14ac:dyDescent="0.2">
      <c r="A1820" s="1126" t="s">
        <v>2402</v>
      </c>
      <c r="B1820" s="1127">
        <v>402</v>
      </c>
      <c r="C1820" s="1128">
        <v>0</v>
      </c>
      <c r="D1820" s="1128">
        <v>85.44</v>
      </c>
      <c r="E1820" s="1126"/>
    </row>
    <row r="1821" spans="1:5" x14ac:dyDescent="0.2">
      <c r="A1821" s="1126" t="s">
        <v>2403</v>
      </c>
      <c r="B1821" s="1127">
        <v>133</v>
      </c>
      <c r="C1821" s="1128">
        <v>0</v>
      </c>
      <c r="D1821" s="1128">
        <v>56.58</v>
      </c>
      <c r="E1821" s="1126"/>
    </row>
    <row r="1822" spans="1:5" x14ac:dyDescent="0.2">
      <c r="A1822" s="1126" t="s">
        <v>2404</v>
      </c>
      <c r="B1822" s="1127">
        <v>130</v>
      </c>
      <c r="C1822" s="1128">
        <v>0</v>
      </c>
      <c r="D1822" s="1128">
        <v>46.47</v>
      </c>
      <c r="E1822" s="1126"/>
    </row>
    <row r="1823" spans="1:5" x14ac:dyDescent="0.2">
      <c r="A1823" s="1126" t="s">
        <v>2405</v>
      </c>
      <c r="B1823" s="1127">
        <v>213</v>
      </c>
      <c r="C1823" s="1128">
        <v>0</v>
      </c>
      <c r="D1823" s="1128">
        <v>138.31</v>
      </c>
      <c r="E1823" s="1126"/>
    </row>
    <row r="1824" spans="1:5" x14ac:dyDescent="0.2">
      <c r="A1824" s="1126" t="s">
        <v>2406</v>
      </c>
      <c r="B1824" s="1127">
        <v>288</v>
      </c>
      <c r="C1824" s="1128">
        <v>0</v>
      </c>
      <c r="D1824" s="1128">
        <v>77.88</v>
      </c>
      <c r="E1824" s="1126"/>
    </row>
    <row r="1825" spans="1:5" x14ac:dyDescent="0.2">
      <c r="A1825" s="1126" t="s">
        <v>2407</v>
      </c>
      <c r="B1825" s="1127">
        <v>362</v>
      </c>
      <c r="C1825" s="1128">
        <v>392.57</v>
      </c>
      <c r="D1825" s="1128">
        <v>641.4</v>
      </c>
      <c r="E1825" s="1126"/>
    </row>
    <row r="1826" spans="1:5" x14ac:dyDescent="0.2">
      <c r="A1826" s="1126" t="s">
        <v>2408</v>
      </c>
      <c r="B1826" s="1127">
        <v>211</v>
      </c>
      <c r="C1826" s="1128">
        <v>391.33</v>
      </c>
      <c r="D1826" s="1128">
        <v>536.36</v>
      </c>
      <c r="E1826" s="1126"/>
    </row>
    <row r="1827" spans="1:5" x14ac:dyDescent="0.2">
      <c r="A1827" s="1126" t="s">
        <v>2409</v>
      </c>
      <c r="B1827" s="1127">
        <v>376</v>
      </c>
      <c r="C1827" s="1128">
        <v>0</v>
      </c>
      <c r="D1827" s="1128">
        <v>221.42</v>
      </c>
      <c r="E1827" s="1126"/>
    </row>
    <row r="1828" spans="1:5" x14ac:dyDescent="0.2">
      <c r="A1828" s="1126" t="s">
        <v>2410</v>
      </c>
      <c r="B1828" s="1127">
        <v>165</v>
      </c>
      <c r="C1828" s="1128">
        <v>538.25</v>
      </c>
      <c r="D1828" s="1128">
        <v>651.66999999999996</v>
      </c>
      <c r="E1828" s="1126"/>
    </row>
    <row r="1829" spans="1:5" x14ac:dyDescent="0.2">
      <c r="A1829" s="1126" t="s">
        <v>2411</v>
      </c>
      <c r="B1829" s="1127">
        <v>276</v>
      </c>
      <c r="C1829" s="1128">
        <v>0</v>
      </c>
      <c r="D1829" s="1128">
        <v>17.95</v>
      </c>
      <c r="E1829" s="1126"/>
    </row>
    <row r="1830" spans="1:5" x14ac:dyDescent="0.2">
      <c r="A1830" s="1126" t="s">
        <v>2412</v>
      </c>
      <c r="B1830" s="1127">
        <v>378</v>
      </c>
      <c r="C1830" s="1128">
        <v>208.05</v>
      </c>
      <c r="D1830" s="1128">
        <v>467.87</v>
      </c>
      <c r="E1830" s="1126"/>
    </row>
    <row r="1831" spans="1:5" x14ac:dyDescent="0.2">
      <c r="A1831" s="1126" t="s">
        <v>2413</v>
      </c>
      <c r="B1831" s="1127">
        <v>264</v>
      </c>
      <c r="C1831" s="1128">
        <v>0</v>
      </c>
      <c r="D1831" s="1128">
        <v>79.83</v>
      </c>
      <c r="E1831" s="1126"/>
    </row>
    <row r="1832" spans="1:5" x14ac:dyDescent="0.2">
      <c r="A1832" s="1126" t="s">
        <v>2414</v>
      </c>
      <c r="B1832" s="1127">
        <v>317</v>
      </c>
      <c r="C1832" s="1128">
        <v>0</v>
      </c>
      <c r="D1832" s="1128">
        <v>161.30000000000001</v>
      </c>
      <c r="E1832" s="1126"/>
    </row>
    <row r="1833" spans="1:5" x14ac:dyDescent="0.2">
      <c r="A1833" s="1126" t="s">
        <v>2415</v>
      </c>
      <c r="B1833" s="1127">
        <v>301</v>
      </c>
      <c r="C1833" s="1128">
        <v>215.57</v>
      </c>
      <c r="D1833" s="1128">
        <v>422.47</v>
      </c>
      <c r="E1833" s="1126"/>
    </row>
    <row r="1834" spans="1:5" x14ac:dyDescent="0.2">
      <c r="A1834" s="1126" t="s">
        <v>2416</v>
      </c>
      <c r="B1834" s="1127">
        <v>198</v>
      </c>
      <c r="C1834" s="1128">
        <v>264.17</v>
      </c>
      <c r="D1834" s="1128">
        <v>400.27</v>
      </c>
      <c r="E1834" s="1126"/>
    </row>
    <row r="1835" spans="1:5" x14ac:dyDescent="0.2">
      <c r="A1835" s="1126" t="s">
        <v>2417</v>
      </c>
      <c r="B1835" s="1127">
        <v>103</v>
      </c>
      <c r="C1835" s="1128">
        <v>0</v>
      </c>
      <c r="D1835" s="1128">
        <v>9.7899999999999991</v>
      </c>
      <c r="E1835" s="1126"/>
    </row>
    <row r="1836" spans="1:5" x14ac:dyDescent="0.2">
      <c r="A1836" s="1126" t="s">
        <v>2418</v>
      </c>
      <c r="B1836" s="1127">
        <v>111</v>
      </c>
      <c r="C1836" s="1128">
        <v>240.2</v>
      </c>
      <c r="D1836" s="1128">
        <v>316.5</v>
      </c>
      <c r="E1836" s="1126"/>
    </row>
    <row r="1837" spans="1:5" x14ac:dyDescent="0.2">
      <c r="A1837" s="1126" t="s">
        <v>2419</v>
      </c>
      <c r="B1837" s="1127">
        <v>138</v>
      </c>
      <c r="C1837" s="1128">
        <v>0</v>
      </c>
      <c r="D1837" s="1128">
        <v>29.52</v>
      </c>
      <c r="E1837" s="1126"/>
    </row>
    <row r="1838" spans="1:5" x14ac:dyDescent="0.2">
      <c r="A1838" s="1126" t="s">
        <v>2420</v>
      </c>
      <c r="B1838" s="1127">
        <v>149</v>
      </c>
      <c r="C1838" s="1128">
        <v>29.67</v>
      </c>
      <c r="D1838" s="1128">
        <v>132.08000000000001</v>
      </c>
      <c r="E1838" s="1126"/>
    </row>
    <row r="1839" spans="1:5" x14ac:dyDescent="0.2">
      <c r="A1839" s="1126" t="s">
        <v>2421</v>
      </c>
      <c r="B1839" s="1127">
        <v>62</v>
      </c>
      <c r="C1839" s="1128">
        <v>147.58000000000001</v>
      </c>
      <c r="D1839" s="1128">
        <v>190.19</v>
      </c>
      <c r="E1839" s="1126"/>
    </row>
    <row r="1840" spans="1:5" x14ac:dyDescent="0.2">
      <c r="A1840" s="1126" t="s">
        <v>2422</v>
      </c>
      <c r="B1840" s="1127">
        <v>233</v>
      </c>
      <c r="C1840" s="1128">
        <v>136.72999999999999</v>
      </c>
      <c r="D1840" s="1128">
        <v>296.88</v>
      </c>
      <c r="E1840" s="1126"/>
    </row>
    <row r="1841" spans="1:5" x14ac:dyDescent="0.2">
      <c r="A1841" s="1126" t="s">
        <v>2423</v>
      </c>
      <c r="B1841" s="1127">
        <v>580</v>
      </c>
      <c r="C1841" s="1128">
        <v>0</v>
      </c>
      <c r="D1841" s="1128">
        <v>158.85</v>
      </c>
      <c r="E1841" s="1126"/>
    </row>
    <row r="1842" spans="1:5" x14ac:dyDescent="0.2">
      <c r="A1842" s="1126" t="s">
        <v>2424</v>
      </c>
      <c r="B1842" s="1127">
        <v>183</v>
      </c>
      <c r="C1842" s="1128">
        <v>0</v>
      </c>
      <c r="D1842" s="1128">
        <v>69.010000000000005</v>
      </c>
      <c r="E1842" s="1126"/>
    </row>
    <row r="1843" spans="1:5" x14ac:dyDescent="0.2">
      <c r="A1843" s="1126" t="s">
        <v>2425</v>
      </c>
      <c r="B1843" s="1127">
        <v>343</v>
      </c>
      <c r="C1843" s="1128">
        <v>256.75</v>
      </c>
      <c r="D1843" s="1128">
        <v>492.52</v>
      </c>
      <c r="E1843" s="1126"/>
    </row>
    <row r="1844" spans="1:5" x14ac:dyDescent="0.2">
      <c r="A1844" s="1126" t="s">
        <v>2426</v>
      </c>
      <c r="B1844" s="1127">
        <v>267</v>
      </c>
      <c r="C1844" s="1128">
        <v>0</v>
      </c>
      <c r="D1844" s="1128">
        <v>130.75</v>
      </c>
      <c r="E1844" s="1126"/>
    </row>
    <row r="1845" spans="1:5" x14ac:dyDescent="0.2">
      <c r="A1845" s="1126" t="s">
        <v>2427</v>
      </c>
      <c r="B1845" s="1127">
        <v>229</v>
      </c>
      <c r="C1845" s="1128">
        <v>0</v>
      </c>
      <c r="D1845" s="1128">
        <v>136.44999999999999</v>
      </c>
      <c r="E1845" s="1126"/>
    </row>
    <row r="1846" spans="1:5" x14ac:dyDescent="0.2">
      <c r="A1846" s="1126" t="s">
        <v>2428</v>
      </c>
      <c r="B1846" s="1127">
        <v>241</v>
      </c>
      <c r="C1846" s="1128">
        <v>758.36</v>
      </c>
      <c r="D1846" s="1128">
        <v>924.01</v>
      </c>
      <c r="E1846" s="1126"/>
    </row>
    <row r="1847" spans="1:5" x14ac:dyDescent="0.2">
      <c r="A1847" s="1126" t="s">
        <v>2429</v>
      </c>
      <c r="B1847" s="1127">
        <v>418</v>
      </c>
      <c r="C1847" s="1128">
        <v>0</v>
      </c>
      <c r="D1847" s="1128">
        <v>0</v>
      </c>
      <c r="E1847" s="1126"/>
    </row>
    <row r="1848" spans="1:5" x14ac:dyDescent="0.2">
      <c r="A1848" s="1126" t="s">
        <v>2430</v>
      </c>
      <c r="B1848" s="1127">
        <v>291</v>
      </c>
      <c r="C1848" s="1128">
        <v>0</v>
      </c>
      <c r="D1848" s="1128">
        <v>85.81</v>
      </c>
      <c r="E1848" s="1126"/>
    </row>
    <row r="1849" spans="1:5" x14ac:dyDescent="0.2">
      <c r="A1849" s="1126" t="s">
        <v>2431</v>
      </c>
      <c r="B1849" s="1127">
        <v>278</v>
      </c>
      <c r="C1849" s="1128">
        <v>0</v>
      </c>
      <c r="D1849" s="1128">
        <v>115.18</v>
      </c>
      <c r="E1849" s="1126"/>
    </row>
    <row r="1850" spans="1:5" x14ac:dyDescent="0.2">
      <c r="A1850" s="1126" t="s">
        <v>2432</v>
      </c>
      <c r="B1850" s="1127">
        <v>197</v>
      </c>
      <c r="C1850" s="1128">
        <v>519.04</v>
      </c>
      <c r="D1850" s="1128">
        <v>654.45000000000005</v>
      </c>
      <c r="E1850" s="1126"/>
    </row>
    <row r="1851" spans="1:5" x14ac:dyDescent="0.2">
      <c r="A1851" s="1126" t="s">
        <v>2433</v>
      </c>
      <c r="B1851" s="1127">
        <v>237</v>
      </c>
      <c r="C1851" s="1128">
        <v>0</v>
      </c>
      <c r="D1851" s="1128">
        <v>124.6</v>
      </c>
      <c r="E1851" s="1126"/>
    </row>
    <row r="1852" spans="1:5" x14ac:dyDescent="0.2">
      <c r="A1852" s="1126" t="s">
        <v>2434</v>
      </c>
      <c r="B1852" s="1127">
        <v>380</v>
      </c>
      <c r="C1852" s="1128">
        <v>0</v>
      </c>
      <c r="D1852" s="1128">
        <v>184.28</v>
      </c>
      <c r="E1852" s="1126"/>
    </row>
    <row r="1853" spans="1:5" x14ac:dyDescent="0.2">
      <c r="A1853" s="1126" t="s">
        <v>2435</v>
      </c>
      <c r="B1853" s="1127">
        <v>413</v>
      </c>
      <c r="C1853" s="1128">
        <v>0</v>
      </c>
      <c r="D1853" s="1128">
        <v>282.85000000000002</v>
      </c>
      <c r="E1853" s="1126"/>
    </row>
    <row r="1854" spans="1:5" x14ac:dyDescent="0.2">
      <c r="A1854" s="1126" t="s">
        <v>2436</v>
      </c>
      <c r="B1854" s="1127">
        <v>193</v>
      </c>
      <c r="C1854" s="1128">
        <v>4.57</v>
      </c>
      <c r="D1854" s="1128">
        <v>137.22999999999999</v>
      </c>
      <c r="E1854" s="1126"/>
    </row>
    <row r="1855" spans="1:5" x14ac:dyDescent="0.2">
      <c r="A1855" s="1126" t="s">
        <v>2437</v>
      </c>
      <c r="B1855" s="1127">
        <v>364</v>
      </c>
      <c r="C1855" s="1128">
        <v>25.42</v>
      </c>
      <c r="D1855" s="1128">
        <v>275.62</v>
      </c>
      <c r="E1855" s="1126"/>
    </row>
    <row r="1856" spans="1:5" x14ac:dyDescent="0.2">
      <c r="A1856" s="1126" t="s">
        <v>2438</v>
      </c>
      <c r="B1856" s="1127">
        <v>161</v>
      </c>
      <c r="C1856" s="1128">
        <v>0</v>
      </c>
      <c r="D1856" s="1128">
        <v>68.41</v>
      </c>
      <c r="E1856" s="1126"/>
    </row>
    <row r="1857" spans="1:5" x14ac:dyDescent="0.2">
      <c r="A1857" s="1126" t="s">
        <v>2439</v>
      </c>
      <c r="B1857" s="1127">
        <v>188</v>
      </c>
      <c r="C1857" s="1128">
        <v>0</v>
      </c>
      <c r="D1857" s="1128">
        <v>69.650000000000006</v>
      </c>
      <c r="E1857" s="1126"/>
    </row>
    <row r="1858" spans="1:5" x14ac:dyDescent="0.2">
      <c r="A1858" s="1126" t="s">
        <v>2440</v>
      </c>
      <c r="B1858" s="1127">
        <v>50</v>
      </c>
      <c r="C1858" s="1128">
        <v>0</v>
      </c>
      <c r="D1858" s="1128">
        <v>5.24</v>
      </c>
      <c r="E1858" s="1126"/>
    </row>
    <row r="1859" spans="1:5" x14ac:dyDescent="0.2">
      <c r="A1859" s="1126" t="s">
        <v>2441</v>
      </c>
      <c r="B1859" s="1127">
        <v>318</v>
      </c>
      <c r="C1859" s="1128">
        <v>0</v>
      </c>
      <c r="D1859" s="1128">
        <v>97.76</v>
      </c>
      <c r="E1859" s="1126"/>
    </row>
    <row r="1860" spans="1:5" x14ac:dyDescent="0.2">
      <c r="A1860" s="1126" t="s">
        <v>2442</v>
      </c>
      <c r="B1860" s="1127">
        <v>388</v>
      </c>
      <c r="C1860" s="1128">
        <v>0</v>
      </c>
      <c r="D1860" s="1128">
        <v>82.9</v>
      </c>
      <c r="E1860" s="1126"/>
    </row>
    <row r="1861" spans="1:5" x14ac:dyDescent="0.2">
      <c r="A1861" s="1126" t="s">
        <v>2443</v>
      </c>
      <c r="B1861" s="1127">
        <v>276</v>
      </c>
      <c r="C1861" s="1128">
        <v>0</v>
      </c>
      <c r="D1861" s="1128">
        <v>49.73</v>
      </c>
      <c r="E1861" s="1126"/>
    </row>
    <row r="1862" spans="1:5" x14ac:dyDescent="0.2">
      <c r="A1862" s="1126" t="s">
        <v>2444</v>
      </c>
      <c r="B1862" s="1127">
        <v>223</v>
      </c>
      <c r="C1862" s="1128">
        <v>0</v>
      </c>
      <c r="D1862" s="1128">
        <v>71.290000000000006</v>
      </c>
      <c r="E1862" s="1126"/>
    </row>
    <row r="1863" spans="1:5" x14ac:dyDescent="0.2">
      <c r="A1863" s="1126" t="s">
        <v>2445</v>
      </c>
      <c r="B1863" s="1127">
        <v>374</v>
      </c>
      <c r="C1863" s="1128">
        <v>0</v>
      </c>
      <c r="D1863" s="1128">
        <v>129.88</v>
      </c>
      <c r="E1863" s="1126"/>
    </row>
    <row r="1864" spans="1:5" x14ac:dyDescent="0.2">
      <c r="A1864" s="1126" t="s">
        <v>2446</v>
      </c>
      <c r="B1864" s="1127">
        <v>345</v>
      </c>
      <c r="C1864" s="1128">
        <v>0</v>
      </c>
      <c r="D1864" s="1128">
        <v>61.44</v>
      </c>
      <c r="E1864" s="1126"/>
    </row>
    <row r="1865" spans="1:5" x14ac:dyDescent="0.2">
      <c r="A1865" s="1126" t="s">
        <v>2447</v>
      </c>
      <c r="B1865" s="1127">
        <v>174</v>
      </c>
      <c r="C1865" s="1128">
        <v>10.75</v>
      </c>
      <c r="D1865" s="1128">
        <v>130.35</v>
      </c>
      <c r="E1865" s="1126"/>
    </row>
    <row r="1866" spans="1:5" x14ac:dyDescent="0.2">
      <c r="A1866" s="1126" t="s">
        <v>2448</v>
      </c>
      <c r="B1866" s="1127">
        <v>258</v>
      </c>
      <c r="C1866" s="1128">
        <v>373.64</v>
      </c>
      <c r="D1866" s="1128">
        <v>550.98</v>
      </c>
      <c r="E1866" s="1126"/>
    </row>
    <row r="1867" spans="1:5" x14ac:dyDescent="0.2">
      <c r="A1867" s="1126" t="s">
        <v>2449</v>
      </c>
      <c r="B1867" s="1127">
        <v>172</v>
      </c>
      <c r="C1867" s="1128">
        <v>8.6199999999999992</v>
      </c>
      <c r="D1867" s="1128">
        <v>126.85</v>
      </c>
      <c r="E1867" s="1126"/>
    </row>
    <row r="1868" spans="1:5" x14ac:dyDescent="0.2">
      <c r="A1868" s="1126" t="s">
        <v>2450</v>
      </c>
      <c r="B1868" s="1127">
        <v>218</v>
      </c>
      <c r="C1868" s="1128">
        <v>600.20000000000005</v>
      </c>
      <c r="D1868" s="1128">
        <v>750.04</v>
      </c>
      <c r="E1868" s="1126"/>
    </row>
    <row r="1869" spans="1:5" x14ac:dyDescent="0.2">
      <c r="A1869" s="1126" t="s">
        <v>2451</v>
      </c>
      <c r="B1869" s="1127">
        <v>172</v>
      </c>
      <c r="C1869" s="1128">
        <v>84.81</v>
      </c>
      <c r="D1869" s="1128">
        <v>203.03</v>
      </c>
      <c r="E1869" s="1126"/>
    </row>
    <row r="1870" spans="1:5" x14ac:dyDescent="0.2">
      <c r="A1870" s="1126" t="s">
        <v>2452</v>
      </c>
      <c r="B1870" s="1127">
        <v>144</v>
      </c>
      <c r="C1870" s="1128">
        <v>21.79</v>
      </c>
      <c r="D1870" s="1128">
        <v>120.77</v>
      </c>
      <c r="E1870" s="1126"/>
    </row>
    <row r="1871" spans="1:5" x14ac:dyDescent="0.2">
      <c r="A1871" s="1126" t="s">
        <v>2453</v>
      </c>
      <c r="B1871" s="1127">
        <v>335</v>
      </c>
      <c r="C1871" s="1128">
        <v>0</v>
      </c>
      <c r="D1871" s="1128">
        <v>42.31</v>
      </c>
      <c r="E1871" s="1126"/>
    </row>
    <row r="1872" spans="1:5" x14ac:dyDescent="0.2">
      <c r="A1872" s="1126" t="s">
        <v>2454</v>
      </c>
      <c r="B1872" s="1127">
        <v>152</v>
      </c>
      <c r="C1872" s="1128">
        <v>0</v>
      </c>
      <c r="D1872" s="1128">
        <v>25.43</v>
      </c>
      <c r="E1872" s="1126"/>
    </row>
    <row r="1873" spans="1:5" x14ac:dyDescent="0.2">
      <c r="A1873" s="1126" t="s">
        <v>2455</v>
      </c>
      <c r="B1873" s="1127">
        <v>150</v>
      </c>
      <c r="C1873" s="1128">
        <v>0</v>
      </c>
      <c r="D1873" s="1128">
        <v>77.06</v>
      </c>
      <c r="E1873" s="1126"/>
    </row>
    <row r="1874" spans="1:5" x14ac:dyDescent="0.2">
      <c r="A1874" s="1126" t="s">
        <v>2456</v>
      </c>
      <c r="B1874" s="1127">
        <v>106</v>
      </c>
      <c r="C1874" s="1128">
        <v>29.64</v>
      </c>
      <c r="D1874" s="1128">
        <v>102.5</v>
      </c>
      <c r="E1874" s="1126"/>
    </row>
    <row r="1875" spans="1:5" x14ac:dyDescent="0.2">
      <c r="A1875" s="1126" t="s">
        <v>2457</v>
      </c>
      <c r="B1875" s="1127">
        <v>150</v>
      </c>
      <c r="C1875" s="1128">
        <v>31.49</v>
      </c>
      <c r="D1875" s="1128">
        <v>134.6</v>
      </c>
      <c r="E1875" s="1126"/>
    </row>
    <row r="1876" spans="1:5" x14ac:dyDescent="0.2">
      <c r="A1876" s="1126" t="s">
        <v>2458</v>
      </c>
      <c r="B1876" s="1127">
        <v>92</v>
      </c>
      <c r="C1876" s="1128">
        <v>35.840000000000003</v>
      </c>
      <c r="D1876" s="1128">
        <v>99.08</v>
      </c>
      <c r="E1876" s="1126"/>
    </row>
    <row r="1877" spans="1:5" x14ac:dyDescent="0.2">
      <c r="A1877" s="1126" t="s">
        <v>2459</v>
      </c>
      <c r="B1877" s="1127">
        <v>39</v>
      </c>
      <c r="C1877" s="1128">
        <v>34.92</v>
      </c>
      <c r="D1877" s="1128">
        <v>61.73</v>
      </c>
      <c r="E1877" s="1126" t="s">
        <v>669</v>
      </c>
    </row>
    <row r="1878" spans="1:5" x14ac:dyDescent="0.2">
      <c r="A1878" s="1126" t="s">
        <v>2460</v>
      </c>
      <c r="B1878" s="1127">
        <v>85</v>
      </c>
      <c r="C1878" s="1128">
        <v>0</v>
      </c>
      <c r="D1878" s="1128">
        <v>56.9</v>
      </c>
      <c r="E1878" s="1126"/>
    </row>
    <row r="1879" spans="1:5" x14ac:dyDescent="0.2">
      <c r="A1879" s="1126" t="s">
        <v>2461</v>
      </c>
      <c r="B1879" s="1127">
        <v>789</v>
      </c>
      <c r="C1879" s="1128">
        <v>0</v>
      </c>
      <c r="D1879" s="1128">
        <v>165.4</v>
      </c>
      <c r="E1879" s="1126"/>
    </row>
    <row r="1880" spans="1:5" x14ac:dyDescent="0.2">
      <c r="A1880" s="1126" t="s">
        <v>2462</v>
      </c>
      <c r="B1880" s="1127">
        <v>152</v>
      </c>
      <c r="C1880" s="1128">
        <v>0.19</v>
      </c>
      <c r="D1880" s="1128">
        <v>104.67</v>
      </c>
      <c r="E1880" s="1126"/>
    </row>
    <row r="1881" spans="1:5" x14ac:dyDescent="0.2">
      <c r="A1881" s="1126" t="s">
        <v>2463</v>
      </c>
      <c r="B1881" s="1127">
        <v>189</v>
      </c>
      <c r="C1881" s="1128">
        <v>0</v>
      </c>
      <c r="D1881" s="1128">
        <v>105.25</v>
      </c>
      <c r="E1881" s="1126"/>
    </row>
    <row r="1882" spans="1:5" x14ac:dyDescent="0.2">
      <c r="A1882" s="1126" t="s">
        <v>2464</v>
      </c>
      <c r="B1882" s="1127">
        <v>520</v>
      </c>
      <c r="C1882" s="1128">
        <v>0</v>
      </c>
      <c r="D1882" s="1128">
        <v>76.430000000000007</v>
      </c>
      <c r="E1882" s="1126"/>
    </row>
    <row r="1883" spans="1:5" x14ac:dyDescent="0.2">
      <c r="A1883" s="1126" t="s">
        <v>2465</v>
      </c>
      <c r="B1883" s="1127">
        <v>70</v>
      </c>
      <c r="C1883" s="1128">
        <v>0</v>
      </c>
      <c r="D1883" s="1128">
        <v>4.95</v>
      </c>
      <c r="E1883" s="1126"/>
    </row>
    <row r="1884" spans="1:5" x14ac:dyDescent="0.2">
      <c r="A1884" s="1126" t="s">
        <v>2466</v>
      </c>
      <c r="B1884" s="1127">
        <v>91</v>
      </c>
      <c r="C1884" s="1128">
        <v>40.82</v>
      </c>
      <c r="D1884" s="1128">
        <v>103.37</v>
      </c>
      <c r="E1884" s="1126"/>
    </row>
    <row r="1885" spans="1:5" x14ac:dyDescent="0.2">
      <c r="A1885" s="1126" t="s">
        <v>2467</v>
      </c>
      <c r="B1885" s="1127">
        <v>239</v>
      </c>
      <c r="C1885" s="1128">
        <v>0</v>
      </c>
      <c r="D1885" s="1128">
        <v>12.04</v>
      </c>
      <c r="E1885" s="1126"/>
    </row>
    <row r="1886" spans="1:5" x14ac:dyDescent="0.2">
      <c r="A1886" s="1126" t="s">
        <v>2468</v>
      </c>
      <c r="B1886" s="1127">
        <v>201</v>
      </c>
      <c r="C1886" s="1128">
        <v>0</v>
      </c>
      <c r="D1886" s="1128">
        <v>42.17</v>
      </c>
      <c r="E1886" s="1126"/>
    </row>
    <row r="1887" spans="1:5" x14ac:dyDescent="0.2">
      <c r="A1887" s="1126" t="s">
        <v>2469</v>
      </c>
      <c r="B1887" s="1127">
        <v>202</v>
      </c>
      <c r="C1887" s="1128">
        <v>0</v>
      </c>
      <c r="D1887" s="1128">
        <v>62.56</v>
      </c>
      <c r="E1887" s="1126"/>
    </row>
    <row r="1888" spans="1:5" x14ac:dyDescent="0.2">
      <c r="A1888" s="1126" t="s">
        <v>2470</v>
      </c>
      <c r="B1888" s="1127">
        <v>187</v>
      </c>
      <c r="C1888" s="1128">
        <v>0</v>
      </c>
      <c r="D1888" s="1128">
        <v>125.86</v>
      </c>
      <c r="E1888" s="1126"/>
    </row>
    <row r="1889" spans="1:5" x14ac:dyDescent="0.2">
      <c r="A1889" s="1126" t="s">
        <v>2471</v>
      </c>
      <c r="B1889" s="1127">
        <v>125</v>
      </c>
      <c r="C1889" s="1128">
        <v>0</v>
      </c>
      <c r="D1889" s="1128">
        <v>23.97</v>
      </c>
      <c r="E1889" s="1126"/>
    </row>
    <row r="1890" spans="1:5" x14ac:dyDescent="0.2">
      <c r="A1890" s="1126" t="s">
        <v>2472</v>
      </c>
      <c r="B1890" s="1127">
        <v>158</v>
      </c>
      <c r="C1890" s="1128">
        <v>0</v>
      </c>
      <c r="D1890" s="1128">
        <v>16.07</v>
      </c>
      <c r="E1890" s="1126"/>
    </row>
    <row r="1891" spans="1:5" x14ac:dyDescent="0.2">
      <c r="A1891" s="1126" t="s">
        <v>2473</v>
      </c>
      <c r="B1891" s="1127">
        <v>56</v>
      </c>
      <c r="C1891" s="1128">
        <v>0</v>
      </c>
      <c r="D1891" s="1128">
        <v>11.46</v>
      </c>
      <c r="E1891" s="1126"/>
    </row>
    <row r="1892" spans="1:5" x14ac:dyDescent="0.2">
      <c r="A1892" s="1126" t="s">
        <v>2474</v>
      </c>
      <c r="B1892" s="1127">
        <v>291</v>
      </c>
      <c r="C1892" s="1128">
        <v>0</v>
      </c>
      <c r="D1892" s="1128">
        <v>48.06</v>
      </c>
      <c r="E1892" s="1126"/>
    </row>
    <row r="1893" spans="1:5" x14ac:dyDescent="0.2">
      <c r="A1893" s="1126" t="s">
        <v>2475</v>
      </c>
      <c r="B1893" s="1127">
        <v>228</v>
      </c>
      <c r="C1893" s="1128">
        <v>0</v>
      </c>
      <c r="D1893" s="1128">
        <v>46.07</v>
      </c>
      <c r="E1893" s="1126"/>
    </row>
    <row r="1894" spans="1:5" x14ac:dyDescent="0.2">
      <c r="A1894" s="1126" t="s">
        <v>2476</v>
      </c>
      <c r="B1894" s="1127">
        <v>140</v>
      </c>
      <c r="C1894" s="1128">
        <v>0</v>
      </c>
      <c r="D1894" s="1128">
        <v>80.239999999999995</v>
      </c>
      <c r="E1894" s="1126"/>
    </row>
    <row r="1895" spans="1:5" x14ac:dyDescent="0.2">
      <c r="A1895" s="1126" t="s">
        <v>2477</v>
      </c>
      <c r="B1895" s="1127">
        <v>121</v>
      </c>
      <c r="C1895" s="1128">
        <v>19.52</v>
      </c>
      <c r="D1895" s="1128">
        <v>102.69</v>
      </c>
      <c r="E1895" s="1126"/>
    </row>
    <row r="1896" spans="1:5" x14ac:dyDescent="0.2">
      <c r="A1896" s="1126" t="s">
        <v>2478</v>
      </c>
      <c r="B1896" s="1127">
        <v>192</v>
      </c>
      <c r="C1896" s="1128">
        <v>57.78</v>
      </c>
      <c r="D1896" s="1128">
        <v>189.76</v>
      </c>
      <c r="E1896" s="1126"/>
    </row>
    <row r="1897" spans="1:5" x14ac:dyDescent="0.2">
      <c r="A1897" s="1126" t="s">
        <v>2479</v>
      </c>
      <c r="B1897" s="1127">
        <v>285</v>
      </c>
      <c r="C1897" s="1128">
        <v>0</v>
      </c>
      <c r="D1897" s="1128">
        <v>58.99</v>
      </c>
      <c r="E1897" s="1126"/>
    </row>
    <row r="1898" spans="1:5" x14ac:dyDescent="0.2">
      <c r="A1898" s="1126" t="s">
        <v>2480</v>
      </c>
      <c r="B1898" s="1127">
        <v>92</v>
      </c>
      <c r="C1898" s="1128">
        <v>7.03</v>
      </c>
      <c r="D1898" s="1128">
        <v>70.260000000000005</v>
      </c>
      <c r="E1898" s="1126"/>
    </row>
    <row r="1899" spans="1:5" x14ac:dyDescent="0.2">
      <c r="A1899" s="1126" t="s">
        <v>2481</v>
      </c>
      <c r="B1899" s="1127">
        <v>96</v>
      </c>
      <c r="C1899" s="1128">
        <v>0</v>
      </c>
      <c r="D1899" s="1128">
        <v>36.46</v>
      </c>
      <c r="E1899" s="1126"/>
    </row>
    <row r="1900" spans="1:5" x14ac:dyDescent="0.2">
      <c r="A1900" s="1126" t="s">
        <v>2482</v>
      </c>
      <c r="B1900" s="1127">
        <v>277</v>
      </c>
      <c r="C1900" s="1128">
        <v>0</v>
      </c>
      <c r="D1900" s="1128">
        <v>23.96</v>
      </c>
      <c r="E1900" s="1126"/>
    </row>
    <row r="1901" spans="1:5" x14ac:dyDescent="0.2">
      <c r="A1901" s="1126" t="s">
        <v>2483</v>
      </c>
      <c r="B1901" s="1127">
        <v>195</v>
      </c>
      <c r="C1901" s="1128">
        <v>25.43</v>
      </c>
      <c r="D1901" s="1128">
        <v>159.46</v>
      </c>
      <c r="E1901" s="1126"/>
    </row>
    <row r="1902" spans="1:5" x14ac:dyDescent="0.2">
      <c r="A1902" s="1126" t="s">
        <v>2484</v>
      </c>
      <c r="B1902" s="1127">
        <v>83</v>
      </c>
      <c r="C1902" s="1128">
        <v>23.28</v>
      </c>
      <c r="D1902" s="1128">
        <v>80.33</v>
      </c>
      <c r="E1902" s="1126"/>
    </row>
    <row r="1903" spans="1:5" x14ac:dyDescent="0.2">
      <c r="A1903" s="1126" t="s">
        <v>2485</v>
      </c>
      <c r="B1903" s="1127">
        <v>108</v>
      </c>
      <c r="C1903" s="1128">
        <v>5.07</v>
      </c>
      <c r="D1903" s="1128">
        <v>79.31</v>
      </c>
      <c r="E1903" s="1126"/>
    </row>
    <row r="1904" spans="1:5" x14ac:dyDescent="0.2">
      <c r="A1904" s="1126" t="s">
        <v>2486</v>
      </c>
      <c r="B1904" s="1127">
        <v>88</v>
      </c>
      <c r="C1904" s="1128">
        <v>0</v>
      </c>
      <c r="D1904" s="1128">
        <v>19.88</v>
      </c>
      <c r="E1904" s="1126"/>
    </row>
    <row r="1905" spans="1:5" x14ac:dyDescent="0.2">
      <c r="A1905" s="1126" t="s">
        <v>2487</v>
      </c>
      <c r="B1905" s="1127">
        <v>368</v>
      </c>
      <c r="C1905" s="1128">
        <v>0</v>
      </c>
      <c r="D1905" s="1128">
        <v>38.549999999999997</v>
      </c>
      <c r="E1905" s="1126"/>
    </row>
    <row r="1906" spans="1:5" x14ac:dyDescent="0.2">
      <c r="A1906" s="1126" t="s">
        <v>2488</v>
      </c>
      <c r="B1906" s="1127">
        <v>218</v>
      </c>
      <c r="C1906" s="1128">
        <v>0</v>
      </c>
      <c r="D1906" s="1128">
        <v>65.52</v>
      </c>
      <c r="E1906" s="1126"/>
    </row>
    <row r="1907" spans="1:5" x14ac:dyDescent="0.2">
      <c r="A1907" s="1126" t="s">
        <v>2489</v>
      </c>
      <c r="B1907" s="1127">
        <v>177</v>
      </c>
      <c r="C1907" s="1128">
        <v>0</v>
      </c>
      <c r="D1907" s="1128">
        <v>65.06</v>
      </c>
      <c r="E1907" s="1126"/>
    </row>
    <row r="1908" spans="1:5" x14ac:dyDescent="0.2">
      <c r="A1908" s="1126" t="s">
        <v>2490</v>
      </c>
      <c r="B1908" s="1127">
        <v>202</v>
      </c>
      <c r="C1908" s="1128">
        <v>0</v>
      </c>
      <c r="D1908" s="1128">
        <v>75.2</v>
      </c>
      <c r="E1908" s="1126"/>
    </row>
    <row r="1909" spans="1:5" x14ac:dyDescent="0.2">
      <c r="A1909" s="1126" t="s">
        <v>2491</v>
      </c>
      <c r="B1909" s="1127">
        <v>100</v>
      </c>
      <c r="C1909" s="1128">
        <v>83.65</v>
      </c>
      <c r="D1909" s="1128">
        <v>152.38999999999999</v>
      </c>
      <c r="E1909" s="1126"/>
    </row>
    <row r="1910" spans="1:5" x14ac:dyDescent="0.2">
      <c r="A1910" s="1126" t="s">
        <v>2492</v>
      </c>
      <c r="B1910" s="1127">
        <v>99</v>
      </c>
      <c r="C1910" s="1128">
        <v>0</v>
      </c>
      <c r="D1910" s="1128">
        <v>65.25</v>
      </c>
      <c r="E1910" s="1126"/>
    </row>
    <row r="1911" spans="1:5" x14ac:dyDescent="0.2">
      <c r="A1911" s="1126" t="s">
        <v>2493</v>
      </c>
      <c r="B1911" s="1127">
        <v>167</v>
      </c>
      <c r="C1911" s="1128">
        <v>13.42</v>
      </c>
      <c r="D1911" s="1128">
        <v>128.21</v>
      </c>
      <c r="E1911" s="1126"/>
    </row>
    <row r="1912" spans="1:5" x14ac:dyDescent="0.2">
      <c r="A1912" s="1126" t="s">
        <v>2494</v>
      </c>
      <c r="B1912" s="1127">
        <v>164</v>
      </c>
      <c r="C1912" s="1128">
        <v>0</v>
      </c>
      <c r="D1912" s="1128">
        <v>43.63</v>
      </c>
      <c r="E1912" s="1126"/>
    </row>
    <row r="1913" spans="1:5" x14ac:dyDescent="0.2">
      <c r="A1913" s="1126" t="s">
        <v>2495</v>
      </c>
      <c r="B1913" s="1127">
        <v>194</v>
      </c>
      <c r="C1913" s="1128">
        <v>0</v>
      </c>
      <c r="D1913" s="1128">
        <v>45.16</v>
      </c>
      <c r="E1913" s="1126"/>
    </row>
    <row r="1914" spans="1:5" x14ac:dyDescent="0.2">
      <c r="A1914" s="1126" t="s">
        <v>2496</v>
      </c>
      <c r="B1914" s="1127">
        <v>132</v>
      </c>
      <c r="C1914" s="1128">
        <v>34.58</v>
      </c>
      <c r="D1914" s="1128">
        <v>125.31</v>
      </c>
      <c r="E1914" s="1126"/>
    </row>
    <row r="1915" spans="1:5" x14ac:dyDescent="0.2">
      <c r="A1915" s="1126" t="s">
        <v>2497</v>
      </c>
      <c r="B1915" s="1127">
        <v>361</v>
      </c>
      <c r="C1915" s="1128">
        <v>0</v>
      </c>
      <c r="D1915" s="1128">
        <v>204.33</v>
      </c>
      <c r="E1915" s="1126"/>
    </row>
    <row r="1916" spans="1:5" x14ac:dyDescent="0.2">
      <c r="A1916" s="1126" t="s">
        <v>2498</v>
      </c>
      <c r="B1916" s="1127">
        <v>84</v>
      </c>
      <c r="C1916" s="1128">
        <v>0</v>
      </c>
      <c r="D1916" s="1128">
        <v>10.44</v>
      </c>
      <c r="E1916" s="1126"/>
    </row>
    <row r="1917" spans="1:5" x14ac:dyDescent="0.2">
      <c r="A1917" s="1126" t="s">
        <v>2499</v>
      </c>
      <c r="B1917" s="1127">
        <v>237</v>
      </c>
      <c r="C1917" s="1128">
        <v>0</v>
      </c>
      <c r="D1917" s="1128">
        <v>49.98</v>
      </c>
      <c r="E1917" s="1126"/>
    </row>
    <row r="1918" spans="1:5" x14ac:dyDescent="0.2">
      <c r="A1918" s="1126" t="s">
        <v>2500</v>
      </c>
      <c r="B1918" s="1127">
        <v>116</v>
      </c>
      <c r="C1918" s="1128">
        <v>0</v>
      </c>
      <c r="D1918" s="1128">
        <v>57.57</v>
      </c>
      <c r="E1918" s="1126"/>
    </row>
    <row r="1919" spans="1:5" x14ac:dyDescent="0.2">
      <c r="A1919" s="1126" t="s">
        <v>2501</v>
      </c>
      <c r="B1919" s="1127">
        <v>60</v>
      </c>
      <c r="C1919" s="1128">
        <v>0</v>
      </c>
      <c r="D1919" s="1128">
        <v>4.6900000000000004</v>
      </c>
      <c r="E1919" s="1126"/>
    </row>
    <row r="1920" spans="1:5" x14ac:dyDescent="0.2">
      <c r="A1920" s="1126" t="s">
        <v>2502</v>
      </c>
      <c r="B1920" s="1127">
        <v>175</v>
      </c>
      <c r="C1920" s="1128">
        <v>0</v>
      </c>
      <c r="D1920" s="1128">
        <v>68.33</v>
      </c>
      <c r="E1920" s="1126"/>
    </row>
    <row r="1921" spans="1:5" x14ac:dyDescent="0.2">
      <c r="A1921" s="1126" t="s">
        <v>2503</v>
      </c>
      <c r="B1921" s="1127">
        <v>62</v>
      </c>
      <c r="C1921" s="1128">
        <v>0</v>
      </c>
      <c r="D1921" s="1128">
        <v>4.47</v>
      </c>
      <c r="E1921" s="1126"/>
    </row>
    <row r="1922" spans="1:5" x14ac:dyDescent="0.2">
      <c r="A1922" s="1126" t="s">
        <v>2504</v>
      </c>
      <c r="B1922" s="1127">
        <v>75</v>
      </c>
      <c r="C1922" s="1128">
        <v>24.29</v>
      </c>
      <c r="D1922" s="1128">
        <v>75.84</v>
      </c>
      <c r="E1922" s="1126"/>
    </row>
    <row r="1923" spans="1:5" x14ac:dyDescent="0.2">
      <c r="A1923" s="1126" t="s">
        <v>2505</v>
      </c>
      <c r="B1923" s="1127">
        <v>200</v>
      </c>
      <c r="C1923" s="1128">
        <v>0</v>
      </c>
      <c r="D1923" s="1128">
        <v>13.46</v>
      </c>
      <c r="E1923" s="1126"/>
    </row>
    <row r="1924" spans="1:5" x14ac:dyDescent="0.2">
      <c r="A1924" s="1126" t="s">
        <v>2506</v>
      </c>
      <c r="B1924" s="1127">
        <v>159</v>
      </c>
      <c r="C1924" s="1128">
        <v>0</v>
      </c>
      <c r="D1924" s="1128">
        <v>40.86</v>
      </c>
      <c r="E1924" s="1126"/>
    </row>
    <row r="1925" spans="1:5" x14ac:dyDescent="0.2">
      <c r="A1925" s="1126" t="s">
        <v>2507</v>
      </c>
      <c r="B1925" s="1127">
        <v>161</v>
      </c>
      <c r="C1925" s="1128">
        <v>0</v>
      </c>
      <c r="D1925" s="1128">
        <v>88.84</v>
      </c>
      <c r="E1925" s="1126"/>
    </row>
    <row r="1926" spans="1:5" x14ac:dyDescent="0.2">
      <c r="A1926" s="1126" t="s">
        <v>2508</v>
      </c>
      <c r="B1926" s="1127">
        <v>85</v>
      </c>
      <c r="C1926" s="1128">
        <v>0</v>
      </c>
      <c r="D1926" s="1128">
        <v>38.409999999999997</v>
      </c>
      <c r="E1926" s="1126"/>
    </row>
    <row r="1927" spans="1:5" x14ac:dyDescent="0.2">
      <c r="A1927" s="1126" t="s">
        <v>2509</v>
      </c>
      <c r="B1927" s="1127">
        <v>177</v>
      </c>
      <c r="C1927" s="1128">
        <v>0</v>
      </c>
      <c r="D1927" s="1128">
        <v>87.46</v>
      </c>
      <c r="E1927" s="1126"/>
    </row>
    <row r="1928" spans="1:5" x14ac:dyDescent="0.2">
      <c r="A1928" s="1126" t="s">
        <v>2510</v>
      </c>
      <c r="B1928" s="1127">
        <v>137</v>
      </c>
      <c r="C1928" s="1128">
        <v>0</v>
      </c>
      <c r="D1928" s="1128">
        <v>40.299999999999997</v>
      </c>
      <c r="E1928" s="1126"/>
    </row>
    <row r="1929" spans="1:5" x14ac:dyDescent="0.2">
      <c r="A1929" s="1126" t="s">
        <v>2511</v>
      </c>
      <c r="B1929" s="1127">
        <v>253</v>
      </c>
      <c r="C1929" s="1128">
        <v>0</v>
      </c>
      <c r="D1929" s="1128">
        <v>135.55000000000001</v>
      </c>
      <c r="E1929" s="1126"/>
    </row>
    <row r="1930" spans="1:5" x14ac:dyDescent="0.2">
      <c r="A1930" s="1126" t="s">
        <v>2512</v>
      </c>
      <c r="B1930" s="1127">
        <v>188</v>
      </c>
      <c r="C1930" s="1128">
        <v>0</v>
      </c>
      <c r="D1930" s="1128">
        <v>61.82</v>
      </c>
      <c r="E1930" s="1126"/>
    </row>
    <row r="1931" spans="1:5" x14ac:dyDescent="0.2">
      <c r="A1931" s="1126" t="s">
        <v>2513</v>
      </c>
      <c r="B1931" s="1127">
        <v>112</v>
      </c>
      <c r="C1931" s="1128">
        <v>0</v>
      </c>
      <c r="D1931" s="1128">
        <v>45.75</v>
      </c>
      <c r="E1931" s="1126"/>
    </row>
    <row r="1932" spans="1:5" x14ac:dyDescent="0.2">
      <c r="A1932" s="1126" t="s">
        <v>2514</v>
      </c>
      <c r="B1932" s="1127">
        <v>207</v>
      </c>
      <c r="C1932" s="1128">
        <v>45.22</v>
      </c>
      <c r="D1932" s="1128">
        <v>187.5</v>
      </c>
      <c r="E1932" s="1126"/>
    </row>
    <row r="1933" spans="1:5" x14ac:dyDescent="0.2">
      <c r="A1933" s="1126" t="s">
        <v>2515</v>
      </c>
      <c r="B1933" s="1127">
        <v>342</v>
      </c>
      <c r="C1933" s="1128">
        <v>0</v>
      </c>
      <c r="D1933" s="1128">
        <v>135.49</v>
      </c>
      <c r="E1933" s="1126"/>
    </row>
    <row r="1934" spans="1:5" x14ac:dyDescent="0.2">
      <c r="A1934" s="1126" t="s">
        <v>2516</v>
      </c>
      <c r="B1934" s="1127">
        <v>134</v>
      </c>
      <c r="C1934" s="1128">
        <v>0.89</v>
      </c>
      <c r="D1934" s="1128">
        <v>93</v>
      </c>
      <c r="E1934" s="1126"/>
    </row>
    <row r="1935" spans="1:5" x14ac:dyDescent="0.2">
      <c r="A1935" s="1126" t="s">
        <v>2517</v>
      </c>
      <c r="B1935" s="1127">
        <v>98</v>
      </c>
      <c r="C1935" s="1128">
        <v>0</v>
      </c>
      <c r="D1935" s="1128">
        <v>9.1300000000000008</v>
      </c>
      <c r="E1935" s="1126"/>
    </row>
    <row r="1936" spans="1:5" x14ac:dyDescent="0.2">
      <c r="A1936" s="1126" t="s">
        <v>2518</v>
      </c>
      <c r="B1936" s="1127">
        <v>59</v>
      </c>
      <c r="C1936" s="1128">
        <v>0</v>
      </c>
      <c r="D1936" s="1128">
        <v>13.33</v>
      </c>
      <c r="E1936" s="1126"/>
    </row>
    <row r="1937" spans="1:5" x14ac:dyDescent="0.2">
      <c r="A1937" s="1126" t="s">
        <v>2519</v>
      </c>
      <c r="B1937" s="1127">
        <v>165</v>
      </c>
      <c r="C1937" s="1128">
        <v>0</v>
      </c>
      <c r="D1937" s="1128">
        <v>90.69</v>
      </c>
      <c r="E1937" s="1126"/>
    </row>
    <row r="1938" spans="1:5" x14ac:dyDescent="0.2">
      <c r="A1938" s="1126" t="s">
        <v>2520</v>
      </c>
      <c r="B1938" s="1127">
        <v>39</v>
      </c>
      <c r="C1938" s="1128">
        <v>0</v>
      </c>
      <c r="D1938" s="1128">
        <v>10.16</v>
      </c>
      <c r="E1938" s="1126" t="s">
        <v>669</v>
      </c>
    </row>
    <row r="1939" spans="1:5" x14ac:dyDescent="0.2">
      <c r="A1939" s="1126" t="s">
        <v>2521</v>
      </c>
      <c r="B1939" s="1127">
        <v>371</v>
      </c>
      <c r="C1939" s="1128">
        <v>269.08</v>
      </c>
      <c r="D1939" s="1128">
        <v>524.09</v>
      </c>
      <c r="E1939" s="1126"/>
    </row>
    <row r="1940" spans="1:5" x14ac:dyDescent="0.2">
      <c r="A1940" s="1126" t="s">
        <v>2522</v>
      </c>
      <c r="B1940" s="1127">
        <v>95</v>
      </c>
      <c r="C1940" s="1128">
        <v>168.22</v>
      </c>
      <c r="D1940" s="1128">
        <v>233.52</v>
      </c>
      <c r="E1940" s="1126"/>
    </row>
    <row r="1941" spans="1:5" x14ac:dyDescent="0.2">
      <c r="A1941" s="1126" t="s">
        <v>2523</v>
      </c>
      <c r="B1941" s="1127">
        <v>247</v>
      </c>
      <c r="C1941" s="1128">
        <v>0</v>
      </c>
      <c r="D1941" s="1128">
        <v>161.96</v>
      </c>
      <c r="E1941" s="1126"/>
    </row>
    <row r="1942" spans="1:5" x14ac:dyDescent="0.2">
      <c r="A1942" s="1126" t="s">
        <v>2524</v>
      </c>
      <c r="B1942" s="1127">
        <v>156</v>
      </c>
      <c r="C1942" s="1128">
        <v>0</v>
      </c>
      <c r="D1942" s="1128">
        <v>69.5</v>
      </c>
      <c r="E1942" s="1126"/>
    </row>
    <row r="1943" spans="1:5" x14ac:dyDescent="0.2">
      <c r="A1943" s="1126" t="s">
        <v>2525</v>
      </c>
      <c r="B1943" s="1127">
        <v>102</v>
      </c>
      <c r="C1943" s="1128">
        <v>0</v>
      </c>
      <c r="D1943" s="1128">
        <v>37.07</v>
      </c>
      <c r="E1943" s="1126"/>
    </row>
    <row r="1944" spans="1:5" x14ac:dyDescent="0.2">
      <c r="A1944" s="1126" t="s">
        <v>2526</v>
      </c>
      <c r="B1944" s="1127">
        <v>168</v>
      </c>
      <c r="C1944" s="1128">
        <v>36.909999999999997</v>
      </c>
      <c r="D1944" s="1128">
        <v>152.38999999999999</v>
      </c>
      <c r="E1944" s="1126"/>
    </row>
    <row r="1945" spans="1:5" x14ac:dyDescent="0.2">
      <c r="A1945" s="1126" t="s">
        <v>2527</v>
      </c>
      <c r="B1945" s="1127">
        <v>201</v>
      </c>
      <c r="C1945" s="1128">
        <v>0</v>
      </c>
      <c r="D1945" s="1128">
        <v>122.67</v>
      </c>
      <c r="E1945" s="1126"/>
    </row>
    <row r="1946" spans="1:5" x14ac:dyDescent="0.2">
      <c r="A1946" s="1126" t="s">
        <v>2528</v>
      </c>
      <c r="B1946" s="1127">
        <v>106</v>
      </c>
      <c r="C1946" s="1128">
        <v>11.47</v>
      </c>
      <c r="D1946" s="1128">
        <v>84.33</v>
      </c>
      <c r="E1946" s="1126"/>
    </row>
    <row r="1947" spans="1:5" x14ac:dyDescent="0.2">
      <c r="A1947" s="1126" t="s">
        <v>2529</v>
      </c>
      <c r="B1947" s="1127">
        <v>61</v>
      </c>
      <c r="C1947" s="1128">
        <v>32.090000000000003</v>
      </c>
      <c r="D1947" s="1128">
        <v>74.02</v>
      </c>
      <c r="E1947" s="1126"/>
    </row>
    <row r="1948" spans="1:5" x14ac:dyDescent="0.2">
      <c r="A1948" s="1126" t="s">
        <v>2530</v>
      </c>
      <c r="B1948" s="1127">
        <v>45</v>
      </c>
      <c r="C1948" s="1128">
        <v>0</v>
      </c>
      <c r="D1948" s="1128">
        <v>4.42</v>
      </c>
      <c r="E1948" s="1126"/>
    </row>
    <row r="1949" spans="1:5" x14ac:dyDescent="0.2">
      <c r="A1949" s="1126" t="s">
        <v>2531</v>
      </c>
      <c r="B1949" s="1127">
        <v>33</v>
      </c>
      <c r="C1949" s="1128">
        <v>0</v>
      </c>
      <c r="D1949" s="1128">
        <v>4.83</v>
      </c>
      <c r="E1949" s="1126" t="s">
        <v>669</v>
      </c>
    </row>
    <row r="1950" spans="1:5" x14ac:dyDescent="0.2">
      <c r="A1950" s="1126" t="s">
        <v>2532</v>
      </c>
      <c r="B1950" s="1127">
        <v>90</v>
      </c>
      <c r="C1950" s="1128">
        <v>7.31</v>
      </c>
      <c r="D1950" s="1128">
        <v>69.17</v>
      </c>
      <c r="E1950" s="1126"/>
    </row>
    <row r="1951" spans="1:5" x14ac:dyDescent="0.2">
      <c r="A1951" s="1126" t="s">
        <v>2533</v>
      </c>
      <c r="B1951" s="1127">
        <v>98</v>
      </c>
      <c r="C1951" s="1128">
        <v>0</v>
      </c>
      <c r="D1951" s="1128">
        <v>66.27</v>
      </c>
      <c r="E1951" s="1126"/>
    </row>
    <row r="1952" spans="1:5" x14ac:dyDescent="0.2">
      <c r="A1952" s="1126" t="s">
        <v>2534</v>
      </c>
      <c r="B1952" s="1127">
        <v>531</v>
      </c>
      <c r="C1952" s="1128">
        <v>0</v>
      </c>
      <c r="D1952" s="1128">
        <v>149.71</v>
      </c>
      <c r="E1952" s="1126"/>
    </row>
    <row r="1953" spans="1:5" x14ac:dyDescent="0.2">
      <c r="A1953" s="1126" t="s">
        <v>2535</v>
      </c>
      <c r="B1953" s="1127">
        <v>247</v>
      </c>
      <c r="C1953" s="1128">
        <v>0</v>
      </c>
      <c r="D1953" s="1128">
        <v>97.4</v>
      </c>
      <c r="E1953" s="1126"/>
    </row>
    <row r="1954" spans="1:5" x14ac:dyDescent="0.2">
      <c r="A1954" s="1126" t="s">
        <v>2536</v>
      </c>
      <c r="B1954" s="1127">
        <v>121</v>
      </c>
      <c r="C1954" s="1128">
        <v>0</v>
      </c>
      <c r="D1954" s="1128">
        <v>30.07</v>
      </c>
      <c r="E1954" s="1126"/>
    </row>
    <row r="1955" spans="1:5" x14ac:dyDescent="0.2">
      <c r="A1955" s="1126" t="s">
        <v>2537</v>
      </c>
      <c r="B1955" s="1127">
        <v>176</v>
      </c>
      <c r="C1955" s="1128">
        <v>0</v>
      </c>
      <c r="D1955" s="1128">
        <v>82.65</v>
      </c>
      <c r="E1955" s="1126"/>
    </row>
    <row r="1956" spans="1:5" x14ac:dyDescent="0.2">
      <c r="A1956" s="1126" t="s">
        <v>2538</v>
      </c>
      <c r="B1956" s="1127">
        <v>357</v>
      </c>
      <c r="C1956" s="1128">
        <v>0</v>
      </c>
      <c r="D1956" s="1128">
        <v>116.71</v>
      </c>
      <c r="E1956" s="1126"/>
    </row>
    <row r="1957" spans="1:5" x14ac:dyDescent="0.2">
      <c r="A1957" s="1126" t="s">
        <v>2539</v>
      </c>
      <c r="B1957" s="1127">
        <v>69</v>
      </c>
      <c r="C1957" s="1128">
        <v>0</v>
      </c>
      <c r="D1957" s="1128">
        <v>31.75</v>
      </c>
      <c r="E1957" s="1126"/>
    </row>
    <row r="1958" spans="1:5" x14ac:dyDescent="0.2">
      <c r="A1958" s="1126" t="s">
        <v>2540</v>
      </c>
      <c r="B1958" s="1127">
        <v>114</v>
      </c>
      <c r="C1958" s="1128">
        <v>0</v>
      </c>
      <c r="D1958" s="1128">
        <v>4.5599999999999996</v>
      </c>
      <c r="E1958" s="1126"/>
    </row>
    <row r="1959" spans="1:5" x14ac:dyDescent="0.2">
      <c r="A1959" s="1126" t="s">
        <v>2541</v>
      </c>
      <c r="B1959" s="1127">
        <v>111</v>
      </c>
      <c r="C1959" s="1128">
        <v>0</v>
      </c>
      <c r="D1959" s="1128">
        <v>4.76</v>
      </c>
      <c r="E1959" s="1126"/>
    </row>
    <row r="1960" spans="1:5" x14ac:dyDescent="0.2">
      <c r="A1960" s="1126" t="s">
        <v>2542</v>
      </c>
      <c r="B1960" s="1127">
        <v>65</v>
      </c>
      <c r="C1960" s="1128">
        <v>15.81</v>
      </c>
      <c r="D1960" s="1128">
        <v>60.48</v>
      </c>
      <c r="E1960" s="1126"/>
    </row>
    <row r="1961" spans="1:5" x14ac:dyDescent="0.2">
      <c r="A1961" s="1126" t="s">
        <v>2543</v>
      </c>
      <c r="B1961" s="1127">
        <v>60</v>
      </c>
      <c r="C1961" s="1128">
        <v>0</v>
      </c>
      <c r="D1961" s="1128">
        <v>0</v>
      </c>
      <c r="E1961" s="1126"/>
    </row>
    <row r="1962" spans="1:5" x14ac:dyDescent="0.2">
      <c r="A1962" s="1126" t="s">
        <v>2544</v>
      </c>
      <c r="B1962" s="1127">
        <v>123</v>
      </c>
      <c r="C1962" s="1128">
        <v>0</v>
      </c>
      <c r="D1962" s="1128">
        <v>38.340000000000003</v>
      </c>
      <c r="E1962" s="1126"/>
    </row>
    <row r="1963" spans="1:5" x14ac:dyDescent="0.2">
      <c r="A1963" s="1126" t="s">
        <v>2545</v>
      </c>
      <c r="B1963" s="1127">
        <v>180</v>
      </c>
      <c r="C1963" s="1128">
        <v>0</v>
      </c>
      <c r="D1963" s="1128">
        <v>118.82</v>
      </c>
      <c r="E1963" s="1126"/>
    </row>
    <row r="1964" spans="1:5" x14ac:dyDescent="0.2">
      <c r="A1964" s="1126" t="s">
        <v>2546</v>
      </c>
      <c r="B1964" s="1127">
        <v>81</v>
      </c>
      <c r="C1964" s="1128">
        <v>0</v>
      </c>
      <c r="D1964" s="1128">
        <v>27.57</v>
      </c>
      <c r="E1964" s="1126"/>
    </row>
    <row r="1965" spans="1:5" x14ac:dyDescent="0.2">
      <c r="A1965" s="1126" t="s">
        <v>2547</v>
      </c>
      <c r="B1965" s="1127">
        <v>100</v>
      </c>
      <c r="C1965" s="1128">
        <v>16.86</v>
      </c>
      <c r="D1965" s="1128">
        <v>85.6</v>
      </c>
      <c r="E1965" s="1126"/>
    </row>
    <row r="1966" spans="1:5" x14ac:dyDescent="0.2">
      <c r="A1966" s="1126" t="s">
        <v>2548</v>
      </c>
      <c r="B1966" s="1127">
        <v>96</v>
      </c>
      <c r="C1966" s="1128">
        <v>0</v>
      </c>
      <c r="D1966" s="1128">
        <v>59.13</v>
      </c>
      <c r="E1966" s="1126"/>
    </row>
    <row r="1967" spans="1:5" x14ac:dyDescent="0.2">
      <c r="A1967" s="1126" t="s">
        <v>2549</v>
      </c>
      <c r="B1967" s="1127">
        <v>394</v>
      </c>
      <c r="C1967" s="1128">
        <v>0</v>
      </c>
      <c r="D1967" s="1128">
        <v>25.15</v>
      </c>
      <c r="E1967" s="1126"/>
    </row>
    <row r="1968" spans="1:5" x14ac:dyDescent="0.2">
      <c r="A1968" s="1126" t="s">
        <v>2550</v>
      </c>
      <c r="B1968" s="1127">
        <v>432</v>
      </c>
      <c r="C1968" s="1128">
        <v>0</v>
      </c>
      <c r="D1968" s="1128">
        <v>22.29</v>
      </c>
      <c r="E1968" s="1126"/>
    </row>
    <row r="1969" spans="1:5" x14ac:dyDescent="0.2">
      <c r="A1969" s="1126" t="s">
        <v>2551</v>
      </c>
      <c r="B1969" s="1127">
        <v>424</v>
      </c>
      <c r="C1969" s="1128">
        <v>0</v>
      </c>
      <c r="D1969" s="1128">
        <v>9.89</v>
      </c>
      <c r="E1969" s="1126"/>
    </row>
    <row r="1970" spans="1:5" x14ac:dyDescent="0.2">
      <c r="A1970" s="1126" t="s">
        <v>2552</v>
      </c>
      <c r="B1970" s="1127">
        <v>53</v>
      </c>
      <c r="C1970" s="1128">
        <v>5.79</v>
      </c>
      <c r="D1970" s="1128">
        <v>42.22</v>
      </c>
      <c r="E1970" s="1126"/>
    </row>
    <row r="1971" spans="1:5" x14ac:dyDescent="0.2">
      <c r="A1971" s="1126" t="s">
        <v>2553</v>
      </c>
      <c r="B1971" s="1127">
        <v>264</v>
      </c>
      <c r="C1971" s="1128">
        <v>0</v>
      </c>
      <c r="D1971" s="1128">
        <v>103.39</v>
      </c>
      <c r="E1971" s="1126"/>
    </row>
    <row r="1972" spans="1:5" x14ac:dyDescent="0.2">
      <c r="A1972" s="1126" t="s">
        <v>2554</v>
      </c>
      <c r="B1972" s="1127">
        <v>228</v>
      </c>
      <c r="C1972" s="1128">
        <v>0</v>
      </c>
      <c r="D1972" s="1128">
        <v>4.8499999999999996</v>
      </c>
      <c r="E1972" s="1126"/>
    </row>
    <row r="1973" spans="1:5" x14ac:dyDescent="0.2">
      <c r="A1973" s="1126" t="s">
        <v>2555</v>
      </c>
      <c r="B1973" s="1127">
        <v>398</v>
      </c>
      <c r="C1973" s="1128">
        <v>0</v>
      </c>
      <c r="D1973" s="1128">
        <v>5.26</v>
      </c>
      <c r="E1973" s="1126"/>
    </row>
    <row r="1974" spans="1:5" x14ac:dyDescent="0.2">
      <c r="A1974" s="1126" t="s">
        <v>2556</v>
      </c>
      <c r="B1974" s="1127">
        <v>369</v>
      </c>
      <c r="C1974" s="1128">
        <v>0</v>
      </c>
      <c r="D1974" s="1128">
        <v>39.79</v>
      </c>
      <c r="E1974" s="1126"/>
    </row>
    <row r="1975" spans="1:5" x14ac:dyDescent="0.2">
      <c r="A1975" s="1126" t="s">
        <v>2557</v>
      </c>
      <c r="B1975" s="1127">
        <v>282</v>
      </c>
      <c r="C1975" s="1128">
        <v>0</v>
      </c>
      <c r="D1975" s="1128">
        <v>98.89</v>
      </c>
      <c r="E1975" s="1126"/>
    </row>
    <row r="1976" spans="1:5" x14ac:dyDescent="0.2">
      <c r="A1976" s="1126" t="s">
        <v>2558</v>
      </c>
      <c r="B1976" s="1127">
        <v>338</v>
      </c>
      <c r="C1976" s="1128">
        <v>0</v>
      </c>
      <c r="D1976" s="1128">
        <v>4.6900000000000004</v>
      </c>
      <c r="E1976" s="1126"/>
    </row>
    <row r="1977" spans="1:5" x14ac:dyDescent="0.2">
      <c r="A1977" s="1126" t="s">
        <v>2559</v>
      </c>
      <c r="B1977" s="1127">
        <v>237</v>
      </c>
      <c r="C1977" s="1128">
        <v>0</v>
      </c>
      <c r="D1977" s="1128">
        <v>56.39</v>
      </c>
      <c r="E1977" s="1126"/>
    </row>
    <row r="1978" spans="1:5" x14ac:dyDescent="0.2">
      <c r="A1978" s="1126" t="s">
        <v>2560</v>
      </c>
      <c r="B1978" s="1127">
        <v>232</v>
      </c>
      <c r="C1978" s="1128">
        <v>0</v>
      </c>
      <c r="D1978" s="1128">
        <v>68.23</v>
      </c>
      <c r="E1978" s="1126"/>
    </row>
    <row r="1979" spans="1:5" x14ac:dyDescent="0.2">
      <c r="A1979" s="1126" t="s">
        <v>2561</v>
      </c>
      <c r="B1979" s="1127">
        <v>135</v>
      </c>
      <c r="C1979" s="1128">
        <v>0</v>
      </c>
      <c r="D1979" s="1128">
        <v>44.32</v>
      </c>
      <c r="E1979" s="1126"/>
    </row>
    <row r="1980" spans="1:5" x14ac:dyDescent="0.2">
      <c r="A1980" s="1126" t="s">
        <v>2562</v>
      </c>
      <c r="B1980" s="1127">
        <v>237</v>
      </c>
      <c r="C1980" s="1128">
        <v>0</v>
      </c>
      <c r="D1980" s="1128">
        <v>141.18</v>
      </c>
      <c r="E1980" s="1126"/>
    </row>
    <row r="1981" spans="1:5" x14ac:dyDescent="0.2">
      <c r="A1981" s="1126" t="s">
        <v>2563</v>
      </c>
      <c r="B1981" s="1127">
        <v>193</v>
      </c>
      <c r="C1981" s="1128">
        <v>289.32</v>
      </c>
      <c r="D1981" s="1128">
        <v>421.98</v>
      </c>
      <c r="E1981" s="1126"/>
    </row>
    <row r="1982" spans="1:5" x14ac:dyDescent="0.2">
      <c r="A1982" s="1126" t="s">
        <v>2564</v>
      </c>
      <c r="B1982" s="1127">
        <v>601</v>
      </c>
      <c r="C1982" s="1128">
        <v>506.14</v>
      </c>
      <c r="D1982" s="1128">
        <v>919.24</v>
      </c>
      <c r="E1982" s="1126"/>
    </row>
    <row r="1983" spans="1:5" x14ac:dyDescent="0.2">
      <c r="A1983" s="1126" t="s">
        <v>2565</v>
      </c>
      <c r="B1983" s="1127">
        <v>223</v>
      </c>
      <c r="C1983" s="1128">
        <v>0</v>
      </c>
      <c r="D1983" s="1128">
        <v>20.54</v>
      </c>
      <c r="E1983" s="1126"/>
    </row>
    <row r="1984" spans="1:5" x14ac:dyDescent="0.2">
      <c r="A1984" s="1126" t="s">
        <v>2566</v>
      </c>
      <c r="B1984" s="1127">
        <v>68</v>
      </c>
      <c r="C1984" s="1128">
        <v>45.03</v>
      </c>
      <c r="D1984" s="1128">
        <v>91.78</v>
      </c>
      <c r="E1984" s="1126"/>
    </row>
    <row r="1985" spans="1:5" x14ac:dyDescent="0.2">
      <c r="A1985" s="1126" t="s">
        <v>2567</v>
      </c>
      <c r="B1985" s="1127">
        <v>67</v>
      </c>
      <c r="C1985" s="1128">
        <v>0</v>
      </c>
      <c r="D1985" s="1128">
        <v>27.57</v>
      </c>
      <c r="E1985" s="1126"/>
    </row>
    <row r="1986" spans="1:5" x14ac:dyDescent="0.2">
      <c r="A1986" s="1126" t="s">
        <v>2568</v>
      </c>
      <c r="B1986" s="1127">
        <v>166</v>
      </c>
      <c r="C1986" s="1128">
        <v>0</v>
      </c>
      <c r="D1986" s="1128">
        <v>22.3</v>
      </c>
      <c r="E1986" s="1126"/>
    </row>
    <row r="1987" spans="1:5" x14ac:dyDescent="0.2">
      <c r="A1987" s="1126" t="s">
        <v>2569</v>
      </c>
      <c r="B1987" s="1127">
        <v>183</v>
      </c>
      <c r="C1987" s="1128">
        <v>29.54</v>
      </c>
      <c r="D1987" s="1128">
        <v>155.33000000000001</v>
      </c>
      <c r="E1987" s="1126"/>
    </row>
    <row r="1988" spans="1:5" x14ac:dyDescent="0.2">
      <c r="A1988" s="1126" t="s">
        <v>2570</v>
      </c>
      <c r="B1988" s="1127">
        <v>45</v>
      </c>
      <c r="C1988" s="1128">
        <v>0</v>
      </c>
      <c r="D1988" s="1128">
        <v>15.54</v>
      </c>
      <c r="E1988" s="1126"/>
    </row>
    <row r="1989" spans="1:5" x14ac:dyDescent="0.2">
      <c r="A1989" s="1126" t="s">
        <v>2571</v>
      </c>
      <c r="B1989" s="1127">
        <v>70</v>
      </c>
      <c r="C1989" s="1128">
        <v>29.36</v>
      </c>
      <c r="D1989" s="1128">
        <v>77.48</v>
      </c>
      <c r="E1989" s="1126"/>
    </row>
    <row r="1990" spans="1:5" x14ac:dyDescent="0.2">
      <c r="A1990" s="1126" t="s">
        <v>2572</v>
      </c>
      <c r="B1990" s="1127">
        <v>86</v>
      </c>
      <c r="C1990" s="1128">
        <v>0</v>
      </c>
      <c r="D1990" s="1128">
        <v>56.3</v>
      </c>
      <c r="E1990" s="1126"/>
    </row>
    <row r="1991" spans="1:5" x14ac:dyDescent="0.2">
      <c r="A1991" s="1126" t="s">
        <v>2573</v>
      </c>
      <c r="B1991" s="1127">
        <v>244</v>
      </c>
      <c r="C1991" s="1128">
        <v>0</v>
      </c>
      <c r="D1991" s="1128">
        <v>116.21</v>
      </c>
      <c r="E1991" s="1126"/>
    </row>
    <row r="1992" spans="1:5" x14ac:dyDescent="0.2">
      <c r="A1992" s="1126" t="s">
        <v>2574</v>
      </c>
      <c r="B1992" s="1127">
        <v>42</v>
      </c>
      <c r="C1992" s="1128">
        <v>0</v>
      </c>
      <c r="D1992" s="1128">
        <v>20.43</v>
      </c>
      <c r="E1992" s="1126"/>
    </row>
    <row r="1993" spans="1:5" x14ac:dyDescent="0.2">
      <c r="A1993" s="1126" t="s">
        <v>2575</v>
      </c>
      <c r="B1993" s="1127">
        <v>180</v>
      </c>
      <c r="C1993" s="1128">
        <v>0</v>
      </c>
      <c r="D1993" s="1128">
        <v>46.4</v>
      </c>
      <c r="E1993" s="1126"/>
    </row>
    <row r="1994" spans="1:5" x14ac:dyDescent="0.2">
      <c r="A1994" s="1126" t="s">
        <v>2576</v>
      </c>
      <c r="B1994" s="1127">
        <v>121</v>
      </c>
      <c r="C1994" s="1128">
        <v>75.92</v>
      </c>
      <c r="D1994" s="1128">
        <v>159.09</v>
      </c>
      <c r="E1994" s="1126"/>
    </row>
    <row r="1995" spans="1:5" x14ac:dyDescent="0.2">
      <c r="A1995" s="1126" t="s">
        <v>2577</v>
      </c>
      <c r="B1995" s="1127">
        <v>147</v>
      </c>
      <c r="C1995" s="1128">
        <v>7.57</v>
      </c>
      <c r="D1995" s="1128">
        <v>108.61</v>
      </c>
      <c r="E1995" s="1126"/>
    </row>
    <row r="1996" spans="1:5" x14ac:dyDescent="0.2">
      <c r="A1996" s="1126" t="s">
        <v>2578</v>
      </c>
      <c r="B1996" s="1127">
        <v>376</v>
      </c>
      <c r="C1996" s="1128">
        <v>0</v>
      </c>
      <c r="D1996" s="1128">
        <v>161.46</v>
      </c>
      <c r="E1996" s="1126"/>
    </row>
    <row r="1997" spans="1:5" x14ac:dyDescent="0.2">
      <c r="A1997" s="1126" t="s">
        <v>2579</v>
      </c>
      <c r="B1997" s="1127">
        <v>50</v>
      </c>
      <c r="C1997" s="1128">
        <v>0</v>
      </c>
      <c r="D1997" s="1128">
        <v>0</v>
      </c>
      <c r="E1997" s="1126"/>
    </row>
    <row r="1998" spans="1:5" x14ac:dyDescent="0.2">
      <c r="A1998" s="1126" t="s">
        <v>2580</v>
      </c>
      <c r="B1998" s="1127">
        <v>57</v>
      </c>
      <c r="C1998" s="1128">
        <v>0</v>
      </c>
      <c r="D1998" s="1128">
        <v>19.02</v>
      </c>
      <c r="E1998" s="1126"/>
    </row>
    <row r="1999" spans="1:5" x14ac:dyDescent="0.2">
      <c r="A1999" s="1126" t="s">
        <v>2581</v>
      </c>
      <c r="B1999" s="1127">
        <v>154</v>
      </c>
      <c r="C1999" s="1128">
        <v>190.91</v>
      </c>
      <c r="D1999" s="1128">
        <v>296.76</v>
      </c>
      <c r="E1999" s="1126"/>
    </row>
    <row r="2000" spans="1:5" x14ac:dyDescent="0.2">
      <c r="A2000" s="1126" t="s">
        <v>2582</v>
      </c>
      <c r="B2000" s="1127">
        <v>254</v>
      </c>
      <c r="C2000" s="1128">
        <v>0</v>
      </c>
      <c r="D2000" s="1128">
        <v>154.56</v>
      </c>
      <c r="E2000" s="1126"/>
    </row>
    <row r="2001" spans="1:5" x14ac:dyDescent="0.2">
      <c r="A2001" s="1126" t="s">
        <v>2583</v>
      </c>
      <c r="B2001" s="1127">
        <v>28</v>
      </c>
      <c r="C2001" s="1128">
        <v>0</v>
      </c>
      <c r="D2001" s="1128">
        <v>4.5</v>
      </c>
      <c r="E2001" s="1126" t="s">
        <v>669</v>
      </c>
    </row>
    <row r="2002" spans="1:5" x14ac:dyDescent="0.2">
      <c r="A2002" s="1126" t="s">
        <v>2584</v>
      </c>
      <c r="B2002" s="1127">
        <v>70</v>
      </c>
      <c r="C2002" s="1128">
        <v>45.85</v>
      </c>
      <c r="D2002" s="1128">
        <v>93.96</v>
      </c>
      <c r="E2002" s="1126"/>
    </row>
    <row r="2003" spans="1:5" x14ac:dyDescent="0.2">
      <c r="A2003" s="1126" t="s">
        <v>2585</v>
      </c>
      <c r="B2003" s="1127">
        <v>543</v>
      </c>
      <c r="C2003" s="1128">
        <v>0</v>
      </c>
      <c r="D2003" s="1128">
        <v>244.48</v>
      </c>
      <c r="E2003" s="1126"/>
    </row>
    <row r="2004" spans="1:5" x14ac:dyDescent="0.2">
      <c r="A2004" s="1126" t="s">
        <v>2586</v>
      </c>
      <c r="B2004" s="1127">
        <v>156</v>
      </c>
      <c r="C2004" s="1128">
        <v>111.69</v>
      </c>
      <c r="D2004" s="1128">
        <v>218.92</v>
      </c>
      <c r="E2004" s="1126"/>
    </row>
    <row r="2005" spans="1:5" x14ac:dyDescent="0.2">
      <c r="A2005" s="1126" t="s">
        <v>2587</v>
      </c>
      <c r="B2005" s="1127">
        <v>201</v>
      </c>
      <c r="C2005" s="1128">
        <v>295.87</v>
      </c>
      <c r="D2005" s="1128">
        <v>434.03</v>
      </c>
      <c r="E2005" s="1126"/>
    </row>
    <row r="2006" spans="1:5" x14ac:dyDescent="0.2">
      <c r="A2006" s="1126" t="s">
        <v>2588</v>
      </c>
      <c r="B2006" s="1127">
        <v>287</v>
      </c>
      <c r="C2006" s="1128">
        <v>0</v>
      </c>
      <c r="D2006" s="1128">
        <v>106.34</v>
      </c>
      <c r="E2006" s="1126"/>
    </row>
    <row r="2007" spans="1:5" x14ac:dyDescent="0.2">
      <c r="A2007" s="1126" t="s">
        <v>2589</v>
      </c>
      <c r="B2007" s="1127">
        <v>120</v>
      </c>
      <c r="C2007" s="1128">
        <v>370.42</v>
      </c>
      <c r="D2007" s="1128">
        <v>452.9</v>
      </c>
      <c r="E2007" s="1126"/>
    </row>
    <row r="2008" spans="1:5" x14ac:dyDescent="0.2">
      <c r="A2008" s="1126" t="s">
        <v>2590</v>
      </c>
      <c r="B2008" s="1127">
        <v>62</v>
      </c>
      <c r="C2008" s="1128">
        <v>0.88</v>
      </c>
      <c r="D2008" s="1128">
        <v>43.5</v>
      </c>
      <c r="E2008" s="1126"/>
    </row>
    <row r="2009" spans="1:5" x14ac:dyDescent="0.2">
      <c r="A2009" s="1126" t="s">
        <v>2591</v>
      </c>
      <c r="B2009" s="1127">
        <v>97</v>
      </c>
      <c r="C2009" s="1128">
        <v>0</v>
      </c>
      <c r="D2009" s="1128">
        <v>46.55</v>
      </c>
      <c r="E2009" s="1126"/>
    </row>
    <row r="2010" spans="1:5" x14ac:dyDescent="0.2">
      <c r="A2010" s="1126" t="s">
        <v>2592</v>
      </c>
      <c r="B2010" s="1127">
        <v>131</v>
      </c>
      <c r="C2010" s="1128">
        <v>0</v>
      </c>
      <c r="D2010" s="1128">
        <v>78.150000000000006</v>
      </c>
      <c r="E2010" s="1126"/>
    </row>
    <row r="2011" spans="1:5" x14ac:dyDescent="0.2">
      <c r="A2011" s="1126" t="s">
        <v>2593</v>
      </c>
      <c r="B2011" s="1127">
        <v>300</v>
      </c>
      <c r="C2011" s="1128">
        <v>193.63</v>
      </c>
      <c r="D2011" s="1128">
        <v>399.84</v>
      </c>
      <c r="E2011" s="1126"/>
    </row>
    <row r="2012" spans="1:5" x14ac:dyDescent="0.2">
      <c r="A2012" s="1126" t="s">
        <v>2594</v>
      </c>
      <c r="B2012" s="1127">
        <v>302</v>
      </c>
      <c r="C2012" s="1128">
        <v>0</v>
      </c>
      <c r="D2012" s="1128">
        <v>70.150000000000006</v>
      </c>
      <c r="E2012" s="1126"/>
    </row>
    <row r="2013" spans="1:5" x14ac:dyDescent="0.2">
      <c r="A2013" s="1126" t="s">
        <v>2595</v>
      </c>
      <c r="B2013" s="1127">
        <v>108</v>
      </c>
      <c r="C2013" s="1128">
        <v>15.31</v>
      </c>
      <c r="D2013" s="1128">
        <v>89.55</v>
      </c>
      <c r="E2013" s="1126"/>
    </row>
    <row r="2014" spans="1:5" x14ac:dyDescent="0.2">
      <c r="A2014" s="1126" t="s">
        <v>2596</v>
      </c>
      <c r="B2014" s="1127">
        <v>115</v>
      </c>
      <c r="C2014" s="1128">
        <v>0</v>
      </c>
      <c r="D2014" s="1128">
        <v>71.66</v>
      </c>
      <c r="E2014" s="1126"/>
    </row>
    <row r="2015" spans="1:5" x14ac:dyDescent="0.2">
      <c r="A2015" s="1126" t="s">
        <v>2597</v>
      </c>
      <c r="B2015" s="1127">
        <v>131</v>
      </c>
      <c r="C2015" s="1128">
        <v>70.040000000000006</v>
      </c>
      <c r="D2015" s="1128">
        <v>160.09</v>
      </c>
      <c r="E2015" s="1126"/>
    </row>
    <row r="2016" spans="1:5" x14ac:dyDescent="0.2">
      <c r="A2016" s="1126" t="s">
        <v>2598</v>
      </c>
      <c r="B2016" s="1127">
        <v>105</v>
      </c>
      <c r="C2016" s="1128">
        <v>0</v>
      </c>
      <c r="D2016" s="1128">
        <v>32.18</v>
      </c>
      <c r="E2016" s="1126"/>
    </row>
    <row r="2017" spans="1:5" x14ac:dyDescent="0.2">
      <c r="A2017" s="1126" t="s">
        <v>2599</v>
      </c>
      <c r="B2017" s="1127">
        <v>56</v>
      </c>
      <c r="C2017" s="1128">
        <v>37.950000000000003</v>
      </c>
      <c r="D2017" s="1128">
        <v>76.45</v>
      </c>
      <c r="E2017" s="1126"/>
    </row>
    <row r="2018" spans="1:5" x14ac:dyDescent="0.2">
      <c r="A2018" s="1126" t="s">
        <v>2600</v>
      </c>
      <c r="B2018" s="1127">
        <v>325</v>
      </c>
      <c r="C2018" s="1128">
        <v>0</v>
      </c>
      <c r="D2018" s="1128">
        <v>193.06</v>
      </c>
      <c r="E2018" s="1126"/>
    </row>
    <row r="2019" spans="1:5" x14ac:dyDescent="0.2">
      <c r="A2019" s="1126" t="s">
        <v>2601</v>
      </c>
      <c r="B2019" s="1127">
        <v>49</v>
      </c>
      <c r="C2019" s="1128">
        <v>20.87</v>
      </c>
      <c r="D2019" s="1128">
        <v>54.55</v>
      </c>
      <c r="E2019" s="1126"/>
    </row>
    <row r="2020" spans="1:5" x14ac:dyDescent="0.2">
      <c r="A2020" s="1126" t="s">
        <v>2602</v>
      </c>
      <c r="B2020" s="1127">
        <v>152</v>
      </c>
      <c r="C2020" s="1128">
        <v>0</v>
      </c>
      <c r="D2020" s="1128">
        <v>34.380000000000003</v>
      </c>
      <c r="E2020" s="1126"/>
    </row>
    <row r="2021" spans="1:5" x14ac:dyDescent="0.2">
      <c r="A2021" s="1126" t="s">
        <v>2603</v>
      </c>
      <c r="B2021" s="1127">
        <v>75</v>
      </c>
      <c r="C2021" s="1128">
        <v>0</v>
      </c>
      <c r="D2021" s="1128">
        <v>46.16</v>
      </c>
      <c r="E2021" s="1126"/>
    </row>
    <row r="2022" spans="1:5" x14ac:dyDescent="0.2">
      <c r="A2022" s="1126" t="s">
        <v>2604</v>
      </c>
      <c r="B2022" s="1127">
        <v>121</v>
      </c>
      <c r="C2022" s="1128">
        <v>16.57</v>
      </c>
      <c r="D2022" s="1128">
        <v>99.74</v>
      </c>
      <c r="E2022" s="1126"/>
    </row>
    <row r="2023" spans="1:5" x14ac:dyDescent="0.2">
      <c r="A2023" s="1126" t="s">
        <v>2605</v>
      </c>
      <c r="B2023" s="1127">
        <v>159</v>
      </c>
      <c r="C2023" s="1128">
        <v>0</v>
      </c>
      <c r="D2023" s="1128">
        <v>64.790000000000006</v>
      </c>
      <c r="E2023" s="1126"/>
    </row>
    <row r="2024" spans="1:5" x14ac:dyDescent="0.2">
      <c r="A2024" s="1126" t="s">
        <v>2606</v>
      </c>
      <c r="B2024" s="1127">
        <v>104</v>
      </c>
      <c r="C2024" s="1128">
        <v>26.19</v>
      </c>
      <c r="D2024" s="1128">
        <v>97.68</v>
      </c>
      <c r="E2024" s="1126"/>
    </row>
    <row r="2025" spans="1:5" x14ac:dyDescent="0.2">
      <c r="A2025" s="1126" t="s">
        <v>2607</v>
      </c>
      <c r="B2025" s="1127">
        <v>357</v>
      </c>
      <c r="C2025" s="1128">
        <v>301.88</v>
      </c>
      <c r="D2025" s="1128">
        <v>547.27</v>
      </c>
      <c r="E2025" s="1126"/>
    </row>
    <row r="2026" spans="1:5" x14ac:dyDescent="0.2">
      <c r="A2026" s="1126" t="s">
        <v>2608</v>
      </c>
      <c r="B2026" s="1127">
        <v>128</v>
      </c>
      <c r="C2026" s="1128">
        <v>0</v>
      </c>
      <c r="D2026" s="1128">
        <v>79.19</v>
      </c>
      <c r="E2026" s="1126"/>
    </row>
    <row r="2027" spans="1:5" x14ac:dyDescent="0.2">
      <c r="A2027" s="1126" t="s">
        <v>2609</v>
      </c>
      <c r="B2027" s="1127">
        <v>122</v>
      </c>
      <c r="C2027" s="1128">
        <v>0</v>
      </c>
      <c r="D2027" s="1128">
        <v>42.54</v>
      </c>
      <c r="E2027" s="1126"/>
    </row>
    <row r="2028" spans="1:5" x14ac:dyDescent="0.2">
      <c r="A2028" s="1126" t="s">
        <v>2610</v>
      </c>
      <c r="B2028" s="1127">
        <v>245</v>
      </c>
      <c r="C2028" s="1128">
        <v>51.49</v>
      </c>
      <c r="D2028" s="1128">
        <v>219.9</v>
      </c>
      <c r="E2028" s="1126"/>
    </row>
    <row r="2029" spans="1:5" x14ac:dyDescent="0.2">
      <c r="A2029" s="1126" t="s">
        <v>2611</v>
      </c>
      <c r="B2029" s="1127">
        <v>234</v>
      </c>
      <c r="C2029" s="1128">
        <v>0</v>
      </c>
      <c r="D2029" s="1128">
        <v>113.87</v>
      </c>
      <c r="E2029" s="1126"/>
    </row>
    <row r="2030" spans="1:5" x14ac:dyDescent="0.2">
      <c r="A2030" s="1126" t="s">
        <v>2612</v>
      </c>
      <c r="B2030" s="1127">
        <v>223</v>
      </c>
      <c r="C2030" s="1128">
        <v>0</v>
      </c>
      <c r="D2030" s="1128">
        <v>124.28</v>
      </c>
      <c r="E2030" s="1126"/>
    </row>
    <row r="2031" spans="1:5" x14ac:dyDescent="0.2">
      <c r="A2031" s="1126" t="s">
        <v>2613</v>
      </c>
      <c r="B2031" s="1127">
        <v>51</v>
      </c>
      <c r="C2031" s="1128">
        <v>18.07</v>
      </c>
      <c r="D2031" s="1128">
        <v>53.13</v>
      </c>
      <c r="E2031" s="1126"/>
    </row>
    <row r="2032" spans="1:5" x14ac:dyDescent="0.2">
      <c r="A2032" s="1126" t="s">
        <v>2614</v>
      </c>
      <c r="B2032" s="1127">
        <v>105</v>
      </c>
      <c r="C2032" s="1128">
        <v>377.18</v>
      </c>
      <c r="D2032" s="1128">
        <v>449.35</v>
      </c>
      <c r="E2032" s="1126"/>
    </row>
    <row r="2033" spans="1:5" x14ac:dyDescent="0.2">
      <c r="A2033" s="1126" t="s">
        <v>2615</v>
      </c>
      <c r="B2033" s="1127">
        <v>92</v>
      </c>
      <c r="C2033" s="1128">
        <v>0</v>
      </c>
      <c r="D2033" s="1128">
        <v>57.43</v>
      </c>
      <c r="E2033" s="1126"/>
    </row>
    <row r="2034" spans="1:5" x14ac:dyDescent="0.2">
      <c r="A2034" s="1126" t="s">
        <v>2616</v>
      </c>
      <c r="B2034" s="1127">
        <v>109</v>
      </c>
      <c r="C2034" s="1128">
        <v>64.22</v>
      </c>
      <c r="D2034" s="1128">
        <v>139.15</v>
      </c>
      <c r="E2034" s="1126"/>
    </row>
    <row r="2035" spans="1:5" x14ac:dyDescent="0.2">
      <c r="A2035" s="1126" t="s">
        <v>2617</v>
      </c>
      <c r="B2035" s="1127">
        <v>224</v>
      </c>
      <c r="C2035" s="1128">
        <v>71.150000000000006</v>
      </c>
      <c r="D2035" s="1128">
        <v>225.12</v>
      </c>
      <c r="E2035" s="1126"/>
    </row>
    <row r="2036" spans="1:5" x14ac:dyDescent="0.2">
      <c r="A2036" s="1126" t="s">
        <v>2618</v>
      </c>
      <c r="B2036" s="1127">
        <v>290</v>
      </c>
      <c r="C2036" s="1128">
        <v>0</v>
      </c>
      <c r="D2036" s="1128">
        <v>74.69</v>
      </c>
      <c r="E2036" s="1126"/>
    </row>
    <row r="2037" spans="1:5" x14ac:dyDescent="0.2">
      <c r="A2037" s="1126" t="s">
        <v>2619</v>
      </c>
      <c r="B2037" s="1127">
        <v>111</v>
      </c>
      <c r="C2037" s="1128">
        <v>0</v>
      </c>
      <c r="D2037" s="1128">
        <v>63.51</v>
      </c>
      <c r="E2037" s="1126"/>
    </row>
    <row r="2038" spans="1:5" x14ac:dyDescent="0.2">
      <c r="A2038" s="1126" t="s">
        <v>2620</v>
      </c>
      <c r="B2038" s="1127">
        <v>238</v>
      </c>
      <c r="C2038" s="1128">
        <v>23.41</v>
      </c>
      <c r="D2038" s="1128">
        <v>187</v>
      </c>
      <c r="E2038" s="1126"/>
    </row>
    <row r="2039" spans="1:5" x14ac:dyDescent="0.2">
      <c r="A2039" s="1126" t="s">
        <v>2621</v>
      </c>
      <c r="B2039" s="1127">
        <v>257</v>
      </c>
      <c r="C2039" s="1128">
        <v>0</v>
      </c>
      <c r="D2039" s="1128">
        <v>127.43</v>
      </c>
      <c r="E2039" s="1126"/>
    </row>
    <row r="2040" spans="1:5" x14ac:dyDescent="0.2">
      <c r="A2040" s="1126" t="s">
        <v>2622</v>
      </c>
      <c r="B2040" s="1127">
        <v>76</v>
      </c>
      <c r="C2040" s="1128">
        <v>28.83</v>
      </c>
      <c r="D2040" s="1128">
        <v>81.069999999999993</v>
      </c>
      <c r="E2040" s="1126"/>
    </row>
    <row r="2041" spans="1:5" x14ac:dyDescent="0.2">
      <c r="A2041" s="1126" t="s">
        <v>2623</v>
      </c>
      <c r="B2041" s="1127">
        <v>93</v>
      </c>
      <c r="C2041" s="1128">
        <v>141.44999999999999</v>
      </c>
      <c r="D2041" s="1128">
        <v>205.37</v>
      </c>
      <c r="E2041" s="1126"/>
    </row>
    <row r="2042" spans="1:5" x14ac:dyDescent="0.2">
      <c r="A2042" s="1126" t="s">
        <v>2624</v>
      </c>
      <c r="B2042" s="1127">
        <v>165</v>
      </c>
      <c r="C2042" s="1128">
        <v>104.38</v>
      </c>
      <c r="D2042" s="1128">
        <v>217.8</v>
      </c>
      <c r="E2042" s="1126"/>
    </row>
    <row r="2043" spans="1:5" x14ac:dyDescent="0.2">
      <c r="A2043" s="1126" t="s">
        <v>2625</v>
      </c>
      <c r="B2043" s="1127">
        <v>266</v>
      </c>
      <c r="C2043" s="1128">
        <v>0</v>
      </c>
      <c r="D2043" s="1128">
        <v>118.1</v>
      </c>
      <c r="E2043" s="1126"/>
    </row>
    <row r="2044" spans="1:5" x14ac:dyDescent="0.2">
      <c r="A2044" s="1126" t="s">
        <v>2626</v>
      </c>
      <c r="B2044" s="1127">
        <v>224</v>
      </c>
      <c r="C2044" s="1128">
        <v>0</v>
      </c>
      <c r="D2044" s="1128">
        <v>72.650000000000006</v>
      </c>
      <c r="E2044" s="1126"/>
    </row>
    <row r="2045" spans="1:5" x14ac:dyDescent="0.2">
      <c r="A2045" s="1126" t="s">
        <v>2627</v>
      </c>
      <c r="B2045" s="1127">
        <v>204</v>
      </c>
      <c r="C2045" s="1128">
        <v>1.32</v>
      </c>
      <c r="D2045" s="1128">
        <v>141.54</v>
      </c>
      <c r="E2045" s="1126"/>
    </row>
    <row r="2046" spans="1:5" x14ac:dyDescent="0.2">
      <c r="A2046" s="1126" t="s">
        <v>2628</v>
      </c>
      <c r="B2046" s="1127">
        <v>128</v>
      </c>
      <c r="C2046" s="1128">
        <v>14</v>
      </c>
      <c r="D2046" s="1128">
        <v>101.98</v>
      </c>
      <c r="E2046" s="1126"/>
    </row>
    <row r="2047" spans="1:5" x14ac:dyDescent="0.2">
      <c r="A2047" s="1126" t="s">
        <v>2629</v>
      </c>
      <c r="B2047" s="1127">
        <v>210</v>
      </c>
      <c r="C2047" s="1128">
        <v>90.39</v>
      </c>
      <c r="D2047" s="1128">
        <v>234.73</v>
      </c>
      <c r="E2047" s="1126"/>
    </row>
    <row r="2048" spans="1:5" x14ac:dyDescent="0.2">
      <c r="A2048" s="1126" t="s">
        <v>2630</v>
      </c>
      <c r="B2048" s="1127">
        <v>99</v>
      </c>
      <c r="C2048" s="1128">
        <v>141.12</v>
      </c>
      <c r="D2048" s="1128">
        <v>209.17</v>
      </c>
      <c r="E2048" s="1126"/>
    </row>
    <row r="2049" spans="1:5" x14ac:dyDescent="0.2">
      <c r="A2049" s="1126" t="s">
        <v>2631</v>
      </c>
      <c r="B2049" s="1127">
        <v>354</v>
      </c>
      <c r="C2049" s="1128">
        <v>0</v>
      </c>
      <c r="D2049" s="1128">
        <v>15.65</v>
      </c>
      <c r="E2049" s="1126"/>
    </row>
    <row r="2050" spans="1:5" x14ac:dyDescent="0.2">
      <c r="A2050" s="1126" t="s">
        <v>2632</v>
      </c>
      <c r="B2050" s="1127">
        <v>177</v>
      </c>
      <c r="C2050" s="1128">
        <v>0</v>
      </c>
      <c r="D2050" s="1128">
        <v>69.89</v>
      </c>
      <c r="E2050" s="1126"/>
    </row>
    <row r="2051" spans="1:5" x14ac:dyDescent="0.2">
      <c r="A2051" s="1126" t="s">
        <v>2633</v>
      </c>
      <c r="B2051" s="1127">
        <v>683</v>
      </c>
      <c r="C2051" s="1128">
        <v>103.58</v>
      </c>
      <c r="D2051" s="1128">
        <v>573.04999999999995</v>
      </c>
      <c r="E2051" s="1126"/>
    </row>
    <row r="2052" spans="1:5" x14ac:dyDescent="0.2">
      <c r="A2052" s="1126" t="s">
        <v>2634</v>
      </c>
      <c r="B2052" s="1127">
        <v>150</v>
      </c>
      <c r="C2052" s="1128">
        <v>37.99</v>
      </c>
      <c r="D2052" s="1128">
        <v>141.1</v>
      </c>
      <c r="E2052" s="1126"/>
    </row>
    <row r="2053" spans="1:5" x14ac:dyDescent="0.2">
      <c r="A2053" s="1126" t="s">
        <v>2635</v>
      </c>
      <c r="B2053" s="1127">
        <v>253</v>
      </c>
      <c r="C2053" s="1128">
        <v>79.28</v>
      </c>
      <c r="D2053" s="1128">
        <v>253.18</v>
      </c>
      <c r="E2053" s="1126"/>
    </row>
    <row r="2054" spans="1:5" x14ac:dyDescent="0.2">
      <c r="A2054" s="1126" t="s">
        <v>2636</v>
      </c>
      <c r="B2054" s="1127">
        <v>79</v>
      </c>
      <c r="C2054" s="1128">
        <v>11.34</v>
      </c>
      <c r="D2054" s="1128">
        <v>65.64</v>
      </c>
      <c r="E2054" s="1126"/>
    </row>
    <row r="2055" spans="1:5" x14ac:dyDescent="0.2">
      <c r="A2055" s="1126" t="s">
        <v>2637</v>
      </c>
      <c r="B2055" s="1127">
        <v>80</v>
      </c>
      <c r="C2055" s="1128">
        <v>0</v>
      </c>
      <c r="D2055" s="1128">
        <v>8.93</v>
      </c>
      <c r="E2055" s="1126"/>
    </row>
    <row r="2056" spans="1:5" x14ac:dyDescent="0.2">
      <c r="A2056" s="1126" t="s">
        <v>2638</v>
      </c>
      <c r="B2056" s="1127">
        <v>233</v>
      </c>
      <c r="C2056" s="1128">
        <v>0</v>
      </c>
      <c r="D2056" s="1128">
        <v>68.06</v>
      </c>
      <c r="E2056" s="1126"/>
    </row>
    <row r="2057" spans="1:5" x14ac:dyDescent="0.2">
      <c r="A2057" s="1126" t="s">
        <v>2639</v>
      </c>
      <c r="B2057" s="1127">
        <v>124</v>
      </c>
      <c r="C2057" s="1128">
        <v>0</v>
      </c>
      <c r="D2057" s="1128">
        <v>45.6</v>
      </c>
      <c r="E2057" s="1126"/>
    </row>
    <row r="2058" spans="1:5" x14ac:dyDescent="0.2">
      <c r="A2058" s="1126" t="s">
        <v>2640</v>
      </c>
      <c r="B2058" s="1127">
        <v>391</v>
      </c>
      <c r="C2058" s="1128">
        <v>0</v>
      </c>
      <c r="D2058" s="1128">
        <v>135.19</v>
      </c>
      <c r="E2058" s="1126"/>
    </row>
    <row r="2059" spans="1:5" x14ac:dyDescent="0.2">
      <c r="A2059" s="1126" t="s">
        <v>2641</v>
      </c>
      <c r="B2059" s="1127">
        <v>341</v>
      </c>
      <c r="C2059" s="1128">
        <v>0</v>
      </c>
      <c r="D2059" s="1128">
        <v>117.73</v>
      </c>
      <c r="E2059" s="1126"/>
    </row>
    <row r="2060" spans="1:5" x14ac:dyDescent="0.2">
      <c r="A2060" s="1126" t="s">
        <v>2642</v>
      </c>
      <c r="B2060" s="1127">
        <v>58</v>
      </c>
      <c r="C2060" s="1128">
        <v>5.65</v>
      </c>
      <c r="D2060" s="1128">
        <v>45.51</v>
      </c>
      <c r="E2060" s="1126"/>
    </row>
    <row r="2061" spans="1:5" x14ac:dyDescent="0.2">
      <c r="A2061" s="1126" t="s">
        <v>2643</v>
      </c>
      <c r="B2061" s="1127">
        <v>288</v>
      </c>
      <c r="C2061" s="1128">
        <v>0</v>
      </c>
      <c r="D2061" s="1128">
        <v>79.87</v>
      </c>
      <c r="E2061" s="1126"/>
    </row>
    <row r="2062" spans="1:5" x14ac:dyDescent="0.2">
      <c r="A2062" s="1126" t="s">
        <v>2644</v>
      </c>
      <c r="B2062" s="1127">
        <v>56</v>
      </c>
      <c r="C2062" s="1128">
        <v>0</v>
      </c>
      <c r="D2062" s="1128">
        <v>0</v>
      </c>
      <c r="E2062" s="1126"/>
    </row>
    <row r="2063" spans="1:5" x14ac:dyDescent="0.2">
      <c r="A2063" s="1126" t="s">
        <v>2645</v>
      </c>
      <c r="B2063" s="1127">
        <v>455</v>
      </c>
      <c r="C2063" s="1128">
        <v>33.36</v>
      </c>
      <c r="D2063" s="1128">
        <v>346.11</v>
      </c>
      <c r="E2063" s="1126"/>
    </row>
    <row r="2064" spans="1:5" x14ac:dyDescent="0.2">
      <c r="A2064" s="1126" t="s">
        <v>2646</v>
      </c>
      <c r="B2064" s="1127">
        <v>190</v>
      </c>
      <c r="C2064" s="1128">
        <v>9.73</v>
      </c>
      <c r="D2064" s="1128">
        <v>140.33000000000001</v>
      </c>
      <c r="E2064" s="1126"/>
    </row>
    <row r="2065" spans="1:5" x14ac:dyDescent="0.2">
      <c r="A2065" s="1126" t="s">
        <v>2647</v>
      </c>
      <c r="B2065" s="1127">
        <v>312</v>
      </c>
      <c r="C2065" s="1128">
        <v>30.45</v>
      </c>
      <c r="D2065" s="1128">
        <v>244.91</v>
      </c>
      <c r="E2065" s="1126"/>
    </row>
    <row r="2066" spans="1:5" x14ac:dyDescent="0.2">
      <c r="A2066" s="1126" t="s">
        <v>2648</v>
      </c>
      <c r="B2066" s="1127">
        <v>180</v>
      </c>
      <c r="C2066" s="1128">
        <v>401.11</v>
      </c>
      <c r="D2066" s="1128">
        <v>524.84</v>
      </c>
      <c r="E2066" s="1126"/>
    </row>
    <row r="2067" spans="1:5" x14ac:dyDescent="0.2">
      <c r="A2067" s="1126" t="s">
        <v>2649</v>
      </c>
      <c r="B2067" s="1127">
        <v>256</v>
      </c>
      <c r="C2067" s="1128">
        <v>0</v>
      </c>
      <c r="D2067" s="1128">
        <v>130.84</v>
      </c>
      <c r="E2067" s="1126"/>
    </row>
    <row r="2068" spans="1:5" x14ac:dyDescent="0.2">
      <c r="A2068" s="1126" t="s">
        <v>2650</v>
      </c>
      <c r="B2068" s="1127">
        <v>285</v>
      </c>
      <c r="C2068" s="1128">
        <v>227.88</v>
      </c>
      <c r="D2068" s="1128">
        <v>423.78</v>
      </c>
      <c r="E2068" s="1126"/>
    </row>
    <row r="2069" spans="1:5" x14ac:dyDescent="0.2">
      <c r="A2069" s="1126" t="s">
        <v>2651</v>
      </c>
      <c r="B2069" s="1127">
        <v>182</v>
      </c>
      <c r="C2069" s="1128">
        <v>498.37</v>
      </c>
      <c r="D2069" s="1128">
        <v>623.47</v>
      </c>
      <c r="E2069" s="1126"/>
    </row>
    <row r="2070" spans="1:5" x14ac:dyDescent="0.2">
      <c r="A2070" s="1126" t="s">
        <v>2652</v>
      </c>
      <c r="B2070" s="1127">
        <v>477</v>
      </c>
      <c r="C2070" s="1128">
        <v>0</v>
      </c>
      <c r="D2070" s="1128">
        <v>98.85</v>
      </c>
      <c r="E2070" s="1126"/>
    </row>
    <row r="2071" spans="1:5" x14ac:dyDescent="0.2">
      <c r="A2071" s="1126" t="s">
        <v>2653</v>
      </c>
      <c r="B2071" s="1127">
        <v>326</v>
      </c>
      <c r="C2071" s="1128">
        <v>0</v>
      </c>
      <c r="D2071" s="1128">
        <v>56.2</v>
      </c>
      <c r="E2071" s="1126"/>
    </row>
    <row r="2072" spans="1:5" x14ac:dyDescent="0.2">
      <c r="A2072" s="1126" t="s">
        <v>2654</v>
      </c>
      <c r="B2072" s="1127">
        <v>157</v>
      </c>
      <c r="C2072" s="1128">
        <v>186.87</v>
      </c>
      <c r="D2072" s="1128">
        <v>294.77999999999997</v>
      </c>
      <c r="E2072" s="1126"/>
    </row>
    <row r="2073" spans="1:5" x14ac:dyDescent="0.2">
      <c r="A2073" s="1126" t="s">
        <v>2655</v>
      </c>
      <c r="B2073" s="1127">
        <v>227</v>
      </c>
      <c r="C2073" s="1128">
        <v>483.64</v>
      </c>
      <c r="D2073" s="1128">
        <v>639.66999999999996</v>
      </c>
      <c r="E2073" s="1126"/>
    </row>
    <row r="2074" spans="1:5" x14ac:dyDescent="0.2">
      <c r="A2074" s="1126" t="s">
        <v>2656</v>
      </c>
      <c r="B2074" s="1127">
        <v>399</v>
      </c>
      <c r="C2074" s="1128">
        <v>0</v>
      </c>
      <c r="D2074" s="1128">
        <v>193.4</v>
      </c>
      <c r="E2074" s="1126"/>
    </row>
    <row r="2075" spans="1:5" x14ac:dyDescent="0.2">
      <c r="A2075" s="1126" t="s">
        <v>2657</v>
      </c>
      <c r="B2075" s="1127">
        <v>61</v>
      </c>
      <c r="C2075" s="1128">
        <v>0</v>
      </c>
      <c r="D2075" s="1128">
        <v>0</v>
      </c>
      <c r="E2075" s="1126"/>
    </row>
    <row r="2076" spans="1:5" x14ac:dyDescent="0.2">
      <c r="A2076" s="1126" t="s">
        <v>2658</v>
      </c>
      <c r="B2076" s="1127">
        <v>91</v>
      </c>
      <c r="C2076" s="1128">
        <v>21.11</v>
      </c>
      <c r="D2076" s="1128">
        <v>83.66</v>
      </c>
      <c r="E2076" s="1126"/>
    </row>
    <row r="2077" spans="1:5" x14ac:dyDescent="0.2">
      <c r="A2077" s="1126" t="s">
        <v>2659</v>
      </c>
      <c r="B2077" s="1127">
        <v>208</v>
      </c>
      <c r="C2077" s="1128">
        <v>0</v>
      </c>
      <c r="D2077" s="1128">
        <v>96.06</v>
      </c>
      <c r="E2077" s="1126"/>
    </row>
    <row r="2078" spans="1:5" x14ac:dyDescent="0.2">
      <c r="A2078" s="1126" t="s">
        <v>2660</v>
      </c>
      <c r="B2078" s="1127">
        <v>229</v>
      </c>
      <c r="C2078" s="1128">
        <v>212.2</v>
      </c>
      <c r="D2078" s="1128">
        <v>369.61</v>
      </c>
      <c r="E2078" s="1126"/>
    </row>
    <row r="2079" spans="1:5" x14ac:dyDescent="0.2">
      <c r="A2079" s="1126" t="s">
        <v>2661</v>
      </c>
      <c r="B2079" s="1127">
        <v>305</v>
      </c>
      <c r="C2079" s="1128">
        <v>0</v>
      </c>
      <c r="D2079" s="1128">
        <v>61.39</v>
      </c>
      <c r="E2079" s="1126"/>
    </row>
    <row r="2080" spans="1:5" x14ac:dyDescent="0.2">
      <c r="A2080" s="1126" t="s">
        <v>2662</v>
      </c>
      <c r="B2080" s="1127">
        <v>172</v>
      </c>
      <c r="C2080" s="1128">
        <v>390.99</v>
      </c>
      <c r="D2080" s="1128">
        <v>509.22</v>
      </c>
      <c r="E2080" s="1126"/>
    </row>
    <row r="2081" spans="1:5" x14ac:dyDescent="0.2">
      <c r="A2081" s="1126" t="s">
        <v>2663</v>
      </c>
      <c r="B2081" s="1127">
        <v>74</v>
      </c>
      <c r="C2081" s="1128">
        <v>22.25</v>
      </c>
      <c r="D2081" s="1128">
        <v>73.11</v>
      </c>
      <c r="E2081" s="1126"/>
    </row>
    <row r="2082" spans="1:5" x14ac:dyDescent="0.2">
      <c r="A2082" s="1126" t="s">
        <v>2664</v>
      </c>
      <c r="B2082" s="1127">
        <v>248</v>
      </c>
      <c r="C2082" s="1128">
        <v>51.65</v>
      </c>
      <c r="D2082" s="1128">
        <v>222.12</v>
      </c>
      <c r="E2082" s="1126"/>
    </row>
    <row r="2083" spans="1:5" x14ac:dyDescent="0.2">
      <c r="A2083" s="1126" t="s">
        <v>2665</v>
      </c>
      <c r="B2083" s="1127">
        <v>82</v>
      </c>
      <c r="C2083" s="1128">
        <v>0</v>
      </c>
      <c r="D2083" s="1128">
        <v>52.44</v>
      </c>
      <c r="E2083" s="1126"/>
    </row>
    <row r="2084" spans="1:5" x14ac:dyDescent="0.2">
      <c r="A2084" s="1126" t="s">
        <v>2666</v>
      </c>
      <c r="B2084" s="1127">
        <v>186</v>
      </c>
      <c r="C2084" s="1128">
        <v>0</v>
      </c>
      <c r="D2084" s="1128">
        <v>50.58</v>
      </c>
      <c r="E2084" s="1126"/>
    </row>
    <row r="2085" spans="1:5" x14ac:dyDescent="0.2">
      <c r="A2085" s="1126" t="s">
        <v>2667</v>
      </c>
      <c r="B2085" s="1127">
        <v>213</v>
      </c>
      <c r="C2085" s="1128">
        <v>133.72</v>
      </c>
      <c r="D2085" s="1128">
        <v>280.13</v>
      </c>
      <c r="E2085" s="1126"/>
    </row>
    <row r="2086" spans="1:5" x14ac:dyDescent="0.2">
      <c r="A2086" s="1126" t="s">
        <v>2668</v>
      </c>
      <c r="B2086" s="1127">
        <v>290</v>
      </c>
      <c r="C2086" s="1128">
        <v>119.26</v>
      </c>
      <c r="D2086" s="1128">
        <v>318.60000000000002</v>
      </c>
      <c r="E2086" s="1126"/>
    </row>
    <row r="2087" spans="1:5" x14ac:dyDescent="0.2">
      <c r="A2087" s="1126" t="s">
        <v>2669</v>
      </c>
      <c r="B2087" s="1127">
        <v>156</v>
      </c>
      <c r="C2087" s="1128">
        <v>0</v>
      </c>
      <c r="D2087" s="1128">
        <v>58.86</v>
      </c>
      <c r="E2087" s="1126"/>
    </row>
    <row r="2088" spans="1:5" x14ac:dyDescent="0.2">
      <c r="A2088" s="1126" t="s">
        <v>2670</v>
      </c>
      <c r="B2088" s="1127">
        <v>108</v>
      </c>
      <c r="C2088" s="1128">
        <v>132.55000000000001</v>
      </c>
      <c r="D2088" s="1128">
        <v>206.79</v>
      </c>
      <c r="E2088" s="1126"/>
    </row>
    <row r="2089" spans="1:5" x14ac:dyDescent="0.2">
      <c r="A2089" s="1126" t="s">
        <v>2671</v>
      </c>
      <c r="B2089" s="1127">
        <v>113</v>
      </c>
      <c r="C2089" s="1128">
        <v>12.37</v>
      </c>
      <c r="D2089" s="1128">
        <v>90.04</v>
      </c>
      <c r="E2089" s="1126"/>
    </row>
    <row r="2090" spans="1:5" x14ac:dyDescent="0.2">
      <c r="A2090" s="1126" t="s">
        <v>2672</v>
      </c>
      <c r="B2090" s="1127">
        <v>61</v>
      </c>
      <c r="C2090" s="1128">
        <v>0</v>
      </c>
      <c r="D2090" s="1128">
        <v>36.14</v>
      </c>
      <c r="E2090" s="1126"/>
    </row>
    <row r="2091" spans="1:5" x14ac:dyDescent="0.2">
      <c r="A2091" s="1126" t="s">
        <v>2673</v>
      </c>
      <c r="B2091" s="1127">
        <v>420</v>
      </c>
      <c r="C2091" s="1128">
        <v>949.01</v>
      </c>
      <c r="D2091" s="1128">
        <v>1237.7</v>
      </c>
      <c r="E2091" s="1126"/>
    </row>
    <row r="2092" spans="1:5" x14ac:dyDescent="0.2">
      <c r="A2092" s="1126" t="s">
        <v>2674</v>
      </c>
      <c r="B2092" s="1127">
        <v>732</v>
      </c>
      <c r="C2092" s="1128">
        <v>0</v>
      </c>
      <c r="D2092" s="1128">
        <v>260.89</v>
      </c>
      <c r="E2092" s="1126"/>
    </row>
    <row r="2093" spans="1:5" x14ac:dyDescent="0.2">
      <c r="A2093" s="1126" t="s">
        <v>2675</v>
      </c>
      <c r="B2093" s="1127">
        <v>221</v>
      </c>
      <c r="C2093" s="1128">
        <v>0</v>
      </c>
      <c r="D2093" s="1128">
        <v>112.26</v>
      </c>
      <c r="E2093" s="1126"/>
    </row>
    <row r="2094" spans="1:5" x14ac:dyDescent="0.2">
      <c r="A2094" s="1126" t="s">
        <v>2676</v>
      </c>
      <c r="B2094" s="1127">
        <v>232</v>
      </c>
      <c r="C2094" s="1128">
        <v>71</v>
      </c>
      <c r="D2094" s="1128">
        <v>230.46</v>
      </c>
      <c r="E2094" s="1126"/>
    </row>
    <row r="2095" spans="1:5" x14ac:dyDescent="0.2">
      <c r="A2095" s="1126" t="s">
        <v>2677</v>
      </c>
      <c r="B2095" s="1127">
        <v>263</v>
      </c>
      <c r="C2095" s="1128">
        <v>0</v>
      </c>
      <c r="D2095" s="1128">
        <v>65.13</v>
      </c>
      <c r="E2095" s="1126"/>
    </row>
    <row r="2096" spans="1:5" x14ac:dyDescent="0.2">
      <c r="A2096" s="1126" t="s">
        <v>2678</v>
      </c>
      <c r="B2096" s="1127">
        <v>210</v>
      </c>
      <c r="C2096" s="1128">
        <v>0</v>
      </c>
      <c r="D2096" s="1128">
        <v>40.56</v>
      </c>
      <c r="E2096" s="1126"/>
    </row>
    <row r="2097" spans="1:5" x14ac:dyDescent="0.2">
      <c r="A2097" s="1126" t="s">
        <v>2679</v>
      </c>
      <c r="B2097" s="1127">
        <v>388</v>
      </c>
      <c r="C2097" s="1128">
        <v>0</v>
      </c>
      <c r="D2097" s="1128">
        <v>192.01</v>
      </c>
      <c r="E2097" s="1126"/>
    </row>
    <row r="2098" spans="1:5" x14ac:dyDescent="0.2">
      <c r="A2098" s="1126" t="s">
        <v>2680</v>
      </c>
      <c r="B2098" s="1127">
        <v>267</v>
      </c>
      <c r="C2098" s="1128">
        <v>0</v>
      </c>
      <c r="D2098" s="1128">
        <v>111.4</v>
      </c>
      <c r="E2098" s="1126"/>
    </row>
    <row r="2099" spans="1:5" x14ac:dyDescent="0.2">
      <c r="A2099" s="1126" t="s">
        <v>2681</v>
      </c>
      <c r="B2099" s="1127">
        <v>347</v>
      </c>
      <c r="C2099" s="1128">
        <v>0</v>
      </c>
      <c r="D2099" s="1128">
        <v>67</v>
      </c>
      <c r="E2099" s="1126"/>
    </row>
    <row r="2100" spans="1:5" x14ac:dyDescent="0.2">
      <c r="A2100" s="1126" t="s">
        <v>2682</v>
      </c>
      <c r="B2100" s="1127">
        <v>202</v>
      </c>
      <c r="C2100" s="1128">
        <v>0</v>
      </c>
      <c r="D2100" s="1128">
        <v>129.12</v>
      </c>
      <c r="E2100" s="1126"/>
    </row>
    <row r="2101" spans="1:5" x14ac:dyDescent="0.2">
      <c r="A2101" s="1126" t="s">
        <v>2683</v>
      </c>
      <c r="B2101" s="1127">
        <v>234</v>
      </c>
      <c r="C2101" s="1128">
        <v>0</v>
      </c>
      <c r="D2101" s="1128">
        <v>62.8</v>
      </c>
      <c r="E2101" s="1126"/>
    </row>
    <row r="2102" spans="1:5" x14ac:dyDescent="0.2">
      <c r="A2102" s="1126" t="s">
        <v>2684</v>
      </c>
      <c r="B2102" s="1127">
        <v>137</v>
      </c>
      <c r="C2102" s="1128">
        <v>0</v>
      </c>
      <c r="D2102" s="1128">
        <v>23.44</v>
      </c>
      <c r="E2102" s="1126"/>
    </row>
    <row r="2103" spans="1:5" x14ac:dyDescent="0.2">
      <c r="A2103" s="1126" t="s">
        <v>2685</v>
      </c>
      <c r="B2103" s="1127">
        <v>126</v>
      </c>
      <c r="C2103" s="1128">
        <v>0</v>
      </c>
      <c r="D2103" s="1128">
        <v>82.68</v>
      </c>
      <c r="E2103" s="1126"/>
    </row>
    <row r="2104" spans="1:5" x14ac:dyDescent="0.2">
      <c r="A2104" s="1126" t="s">
        <v>2686</v>
      </c>
      <c r="B2104" s="1127">
        <v>157</v>
      </c>
      <c r="C2104" s="1128">
        <v>22.06</v>
      </c>
      <c r="D2104" s="1128">
        <v>129.97</v>
      </c>
      <c r="E2104" s="1126"/>
    </row>
    <row r="2105" spans="1:5" x14ac:dyDescent="0.2">
      <c r="A2105" s="1126" t="s">
        <v>2687</v>
      </c>
      <c r="B2105" s="1127">
        <v>275</v>
      </c>
      <c r="C2105" s="1128">
        <v>0</v>
      </c>
      <c r="D2105" s="1128">
        <v>34.22</v>
      </c>
      <c r="E2105" s="1126"/>
    </row>
    <row r="2106" spans="1:5" x14ac:dyDescent="0.2">
      <c r="A2106" s="1126" t="s">
        <v>2688</v>
      </c>
      <c r="B2106" s="1127">
        <v>263</v>
      </c>
      <c r="C2106" s="1128">
        <v>0</v>
      </c>
      <c r="D2106" s="1128">
        <v>116.97</v>
      </c>
      <c r="E2106" s="1126"/>
    </row>
    <row r="2107" spans="1:5" x14ac:dyDescent="0.2">
      <c r="A2107" s="1126" t="s">
        <v>2689</v>
      </c>
      <c r="B2107" s="1127">
        <v>144</v>
      </c>
      <c r="C2107" s="1128">
        <v>94.09</v>
      </c>
      <c r="D2107" s="1128">
        <v>193.07</v>
      </c>
      <c r="E2107" s="1126"/>
    </row>
    <row r="2108" spans="1:5" x14ac:dyDescent="0.2">
      <c r="A2108" s="1126" t="s">
        <v>2690</v>
      </c>
      <c r="B2108" s="1127">
        <v>167</v>
      </c>
      <c r="C2108" s="1128">
        <v>602.63</v>
      </c>
      <c r="D2108" s="1128">
        <v>717.42</v>
      </c>
      <c r="E2108" s="1126"/>
    </row>
    <row r="2109" spans="1:5" x14ac:dyDescent="0.2">
      <c r="A2109" s="1126" t="s">
        <v>2691</v>
      </c>
      <c r="B2109" s="1127">
        <v>179</v>
      </c>
      <c r="C2109" s="1128">
        <v>0</v>
      </c>
      <c r="D2109" s="1128">
        <v>103.32</v>
      </c>
      <c r="E2109" s="1126"/>
    </row>
    <row r="2110" spans="1:5" x14ac:dyDescent="0.2">
      <c r="A2110" s="1126" t="s">
        <v>2692</v>
      </c>
      <c r="B2110" s="1127">
        <v>140</v>
      </c>
      <c r="C2110" s="1128">
        <v>0</v>
      </c>
      <c r="D2110" s="1128">
        <v>25.29</v>
      </c>
      <c r="E2110" s="1126"/>
    </row>
    <row r="2111" spans="1:5" x14ac:dyDescent="0.2">
      <c r="A2111" s="1126" t="s">
        <v>2693</v>
      </c>
      <c r="B2111" s="1127">
        <v>62</v>
      </c>
      <c r="C2111" s="1128">
        <v>0</v>
      </c>
      <c r="D2111" s="1128">
        <v>0</v>
      </c>
      <c r="E2111" s="1126"/>
    </row>
    <row r="2112" spans="1:5" x14ac:dyDescent="0.2">
      <c r="A2112" s="1126" t="s">
        <v>2694</v>
      </c>
      <c r="B2112" s="1127">
        <v>47</v>
      </c>
      <c r="C2112" s="1128">
        <v>0</v>
      </c>
      <c r="D2112" s="1128">
        <v>24.52</v>
      </c>
      <c r="E2112" s="1126"/>
    </row>
    <row r="2113" spans="1:5" x14ac:dyDescent="0.2">
      <c r="A2113" s="1126" t="s">
        <v>2695</v>
      </c>
      <c r="B2113" s="1127">
        <v>101</v>
      </c>
      <c r="C2113" s="1128">
        <v>0</v>
      </c>
      <c r="D2113" s="1128">
        <v>20.78</v>
      </c>
      <c r="E2113" s="1126"/>
    </row>
    <row r="2114" spans="1:5" x14ac:dyDescent="0.2">
      <c r="A2114" s="1126" t="s">
        <v>2696</v>
      </c>
      <c r="B2114" s="1127">
        <v>266</v>
      </c>
      <c r="C2114" s="1128">
        <v>74.03</v>
      </c>
      <c r="D2114" s="1128">
        <v>256.86</v>
      </c>
      <c r="E2114" s="1126"/>
    </row>
    <row r="2115" spans="1:5" x14ac:dyDescent="0.2">
      <c r="A2115" s="1126" t="s">
        <v>2697</v>
      </c>
      <c r="B2115" s="1127">
        <v>223</v>
      </c>
      <c r="C2115" s="1128">
        <v>0</v>
      </c>
      <c r="D2115" s="1128">
        <v>97.24</v>
      </c>
      <c r="E2115" s="1126"/>
    </row>
    <row r="2116" spans="1:5" x14ac:dyDescent="0.2">
      <c r="A2116" s="1126" t="s">
        <v>2698</v>
      </c>
      <c r="B2116" s="1127">
        <v>309</v>
      </c>
      <c r="C2116" s="1128">
        <v>554.49</v>
      </c>
      <c r="D2116" s="1128">
        <v>766.88</v>
      </c>
      <c r="E2116" s="1126"/>
    </row>
    <row r="2117" spans="1:5" x14ac:dyDescent="0.2">
      <c r="A2117" s="1126" t="s">
        <v>2699</v>
      </c>
      <c r="B2117" s="1127">
        <v>142</v>
      </c>
      <c r="C2117" s="1128">
        <v>41.02</v>
      </c>
      <c r="D2117" s="1128">
        <v>138.62</v>
      </c>
      <c r="E2117" s="1126"/>
    </row>
    <row r="2118" spans="1:5" x14ac:dyDescent="0.2">
      <c r="A2118" s="1126" t="s">
        <v>2700</v>
      </c>
      <c r="B2118" s="1127">
        <v>188</v>
      </c>
      <c r="C2118" s="1128">
        <v>0</v>
      </c>
      <c r="D2118" s="1128">
        <v>44.53</v>
      </c>
      <c r="E2118" s="1126"/>
    </row>
    <row r="2119" spans="1:5" x14ac:dyDescent="0.2">
      <c r="A2119" s="1126" t="s">
        <v>2701</v>
      </c>
      <c r="B2119" s="1127">
        <v>35</v>
      </c>
      <c r="C2119" s="1128">
        <v>0</v>
      </c>
      <c r="D2119" s="1128">
        <v>10.96</v>
      </c>
      <c r="E2119" s="1126" t="s">
        <v>669</v>
      </c>
    </row>
    <row r="2120" spans="1:5" x14ac:dyDescent="0.2">
      <c r="A2120" s="1126" t="s">
        <v>2702</v>
      </c>
      <c r="B2120" s="1127">
        <v>330</v>
      </c>
      <c r="C2120" s="1128">
        <v>105.02</v>
      </c>
      <c r="D2120" s="1128">
        <v>331.85</v>
      </c>
      <c r="E2120" s="1126"/>
    </row>
    <row r="2121" spans="1:5" x14ac:dyDescent="0.2">
      <c r="A2121" s="1126" t="s">
        <v>2703</v>
      </c>
      <c r="B2121" s="1127">
        <v>232</v>
      </c>
      <c r="C2121" s="1128">
        <v>0</v>
      </c>
      <c r="D2121" s="1128">
        <v>11.46</v>
      </c>
      <c r="E2121" s="1126"/>
    </row>
    <row r="2122" spans="1:5" x14ac:dyDescent="0.2">
      <c r="A2122" s="1126" t="s">
        <v>2704</v>
      </c>
      <c r="B2122" s="1127">
        <v>90</v>
      </c>
      <c r="C2122" s="1128">
        <v>0</v>
      </c>
      <c r="D2122" s="1128">
        <v>46.77</v>
      </c>
      <c r="E2122" s="1126"/>
    </row>
    <row r="2123" spans="1:5" x14ac:dyDescent="0.2">
      <c r="A2123" s="1126" t="s">
        <v>2705</v>
      </c>
      <c r="B2123" s="1127">
        <v>305</v>
      </c>
      <c r="C2123" s="1128">
        <v>235.44</v>
      </c>
      <c r="D2123" s="1128">
        <v>445.08</v>
      </c>
      <c r="E2123" s="1126"/>
    </row>
    <row r="2124" spans="1:5" x14ac:dyDescent="0.2">
      <c r="A2124" s="1126" t="s">
        <v>2706</v>
      </c>
      <c r="B2124" s="1127">
        <v>115</v>
      </c>
      <c r="C2124" s="1128">
        <v>39.53</v>
      </c>
      <c r="D2124" s="1128">
        <v>118.58</v>
      </c>
      <c r="E2124" s="1126"/>
    </row>
    <row r="2125" spans="1:5" x14ac:dyDescent="0.2">
      <c r="A2125" s="1126" t="s">
        <v>2707</v>
      </c>
      <c r="B2125" s="1127">
        <v>511</v>
      </c>
      <c r="C2125" s="1128">
        <v>0</v>
      </c>
      <c r="D2125" s="1128">
        <v>18.649999999999999</v>
      </c>
      <c r="E2125" s="1126"/>
    </row>
    <row r="2126" spans="1:5" x14ac:dyDescent="0.2">
      <c r="A2126" s="1126" t="s">
        <v>2708</v>
      </c>
      <c r="B2126" s="1127">
        <v>434</v>
      </c>
      <c r="C2126" s="1128">
        <v>0</v>
      </c>
      <c r="D2126" s="1128">
        <v>44.3</v>
      </c>
      <c r="E2126" s="1126"/>
    </row>
    <row r="2127" spans="1:5" x14ac:dyDescent="0.2">
      <c r="A2127" s="1126" t="s">
        <v>2709</v>
      </c>
      <c r="B2127" s="1127">
        <v>163</v>
      </c>
      <c r="C2127" s="1128">
        <v>0</v>
      </c>
      <c r="D2127" s="1128">
        <v>111.55</v>
      </c>
      <c r="E2127" s="1126"/>
    </row>
    <row r="2128" spans="1:5" x14ac:dyDescent="0.2">
      <c r="A2128" s="1126" t="s">
        <v>2710</v>
      </c>
      <c r="B2128" s="1127">
        <v>93</v>
      </c>
      <c r="C2128" s="1128">
        <v>17.260000000000002</v>
      </c>
      <c r="D2128" s="1128">
        <v>81.19</v>
      </c>
      <c r="E2128" s="1126"/>
    </row>
    <row r="2129" spans="1:5" x14ac:dyDescent="0.2">
      <c r="A2129" s="1126" t="s">
        <v>2711</v>
      </c>
      <c r="B2129" s="1127">
        <v>126</v>
      </c>
      <c r="C2129" s="1128">
        <v>0</v>
      </c>
      <c r="D2129" s="1128">
        <v>84.36</v>
      </c>
      <c r="E2129" s="1126"/>
    </row>
    <row r="2130" spans="1:5" x14ac:dyDescent="0.2">
      <c r="A2130" s="1126" t="s">
        <v>2712</v>
      </c>
      <c r="B2130" s="1127">
        <v>398</v>
      </c>
      <c r="C2130" s="1128">
        <v>0</v>
      </c>
      <c r="D2130" s="1128">
        <v>248.66</v>
      </c>
      <c r="E2130" s="1126"/>
    </row>
    <row r="2131" spans="1:5" x14ac:dyDescent="0.2">
      <c r="A2131" s="1126" t="s">
        <v>2713</v>
      </c>
      <c r="B2131" s="1127">
        <v>385</v>
      </c>
      <c r="C2131" s="1128">
        <v>0</v>
      </c>
      <c r="D2131" s="1128">
        <v>150.68</v>
      </c>
      <c r="E2131" s="1126"/>
    </row>
    <row r="2132" spans="1:5" x14ac:dyDescent="0.2">
      <c r="A2132" s="1126" t="s">
        <v>2714</v>
      </c>
      <c r="B2132" s="1127">
        <v>122</v>
      </c>
      <c r="C2132" s="1128">
        <v>0</v>
      </c>
      <c r="D2132" s="1128">
        <v>61.29</v>
      </c>
      <c r="E2132" s="1126"/>
    </row>
    <row r="2133" spans="1:5" x14ac:dyDescent="0.2">
      <c r="A2133" s="1126" t="s">
        <v>2715</v>
      </c>
      <c r="B2133" s="1127">
        <v>200</v>
      </c>
      <c r="C2133" s="1128">
        <v>0</v>
      </c>
      <c r="D2133" s="1128">
        <v>37.29</v>
      </c>
      <c r="E2133" s="1126"/>
    </row>
    <row r="2134" spans="1:5" x14ac:dyDescent="0.2">
      <c r="A2134" s="1126" t="s">
        <v>2716</v>
      </c>
      <c r="B2134" s="1127">
        <v>273</v>
      </c>
      <c r="C2134" s="1128">
        <v>0</v>
      </c>
      <c r="D2134" s="1128">
        <v>25.36</v>
      </c>
      <c r="E2134" s="1126"/>
    </row>
    <row r="2135" spans="1:5" x14ac:dyDescent="0.2">
      <c r="A2135" s="1126" t="s">
        <v>2717</v>
      </c>
      <c r="B2135" s="1127">
        <v>116</v>
      </c>
      <c r="C2135" s="1128">
        <v>148.52000000000001</v>
      </c>
      <c r="D2135" s="1128">
        <v>228.25</v>
      </c>
      <c r="E2135" s="1126"/>
    </row>
    <row r="2136" spans="1:5" x14ac:dyDescent="0.2">
      <c r="A2136" s="1126" t="s">
        <v>2718</v>
      </c>
      <c r="B2136" s="1127">
        <v>330</v>
      </c>
      <c r="C2136" s="1128">
        <v>0</v>
      </c>
      <c r="D2136" s="1128">
        <v>55.6</v>
      </c>
      <c r="E2136" s="1126"/>
    </row>
    <row r="2137" spans="1:5" x14ac:dyDescent="0.2">
      <c r="A2137" s="1126" t="s">
        <v>2719</v>
      </c>
      <c r="B2137" s="1127">
        <v>653</v>
      </c>
      <c r="C2137" s="1128">
        <v>0</v>
      </c>
      <c r="D2137" s="1128">
        <v>302.64</v>
      </c>
      <c r="E2137" s="1126"/>
    </row>
    <row r="2138" spans="1:5" x14ac:dyDescent="0.2">
      <c r="A2138" s="1126" t="s">
        <v>2720</v>
      </c>
      <c r="B2138" s="1127">
        <v>288</v>
      </c>
      <c r="C2138" s="1128">
        <v>0</v>
      </c>
      <c r="D2138" s="1128">
        <v>65.45</v>
      </c>
      <c r="E2138" s="1126"/>
    </row>
    <row r="2139" spans="1:5" x14ac:dyDescent="0.2">
      <c r="A2139" s="1126" t="s">
        <v>2721</v>
      </c>
      <c r="B2139" s="1127">
        <v>572</v>
      </c>
      <c r="C2139" s="1128">
        <v>0</v>
      </c>
      <c r="D2139" s="1128">
        <v>179.55</v>
      </c>
      <c r="E2139" s="1126"/>
    </row>
    <row r="2140" spans="1:5" x14ac:dyDescent="0.2">
      <c r="A2140" s="1126" t="s">
        <v>2722</v>
      </c>
      <c r="B2140" s="1127">
        <v>364</v>
      </c>
      <c r="C2140" s="1128">
        <v>0</v>
      </c>
      <c r="D2140" s="1128">
        <v>83.24</v>
      </c>
      <c r="E2140" s="1126"/>
    </row>
    <row r="2141" spans="1:5" x14ac:dyDescent="0.2">
      <c r="A2141" s="1126" t="s">
        <v>2723</v>
      </c>
      <c r="B2141" s="1127">
        <v>85</v>
      </c>
      <c r="C2141" s="1128">
        <v>123.25</v>
      </c>
      <c r="D2141" s="1128">
        <v>181.67</v>
      </c>
      <c r="E2141" s="1126"/>
    </row>
    <row r="2142" spans="1:5" x14ac:dyDescent="0.2">
      <c r="A2142" s="1126" t="s">
        <v>2724</v>
      </c>
      <c r="B2142" s="1127">
        <v>75</v>
      </c>
      <c r="C2142" s="1128">
        <v>0</v>
      </c>
      <c r="D2142" s="1128">
        <v>0</v>
      </c>
      <c r="E2142" s="1126"/>
    </row>
    <row r="2143" spans="1:5" x14ac:dyDescent="0.2">
      <c r="A2143" s="1126" t="s">
        <v>2725</v>
      </c>
      <c r="B2143" s="1127">
        <v>241</v>
      </c>
      <c r="C2143" s="1128">
        <v>0</v>
      </c>
      <c r="D2143" s="1128">
        <v>149.81</v>
      </c>
      <c r="E2143" s="1126"/>
    </row>
    <row r="2144" spans="1:5" x14ac:dyDescent="0.2">
      <c r="A2144" s="1126" t="s">
        <v>2726</v>
      </c>
      <c r="B2144" s="1127">
        <v>123</v>
      </c>
      <c r="C2144" s="1128">
        <v>0</v>
      </c>
      <c r="D2144" s="1128">
        <v>33.75</v>
      </c>
      <c r="E2144" s="1126"/>
    </row>
    <row r="2145" spans="1:5" x14ac:dyDescent="0.2">
      <c r="A2145" s="1126" t="s">
        <v>2727</v>
      </c>
      <c r="B2145" s="1127">
        <v>159</v>
      </c>
      <c r="C2145" s="1128">
        <v>0</v>
      </c>
      <c r="D2145" s="1128">
        <v>80.040000000000006</v>
      </c>
      <c r="E2145" s="1126"/>
    </row>
    <row r="2146" spans="1:5" x14ac:dyDescent="0.2">
      <c r="A2146" s="1126" t="s">
        <v>2728</v>
      </c>
      <c r="B2146" s="1127">
        <v>135</v>
      </c>
      <c r="C2146" s="1128">
        <v>0</v>
      </c>
      <c r="D2146" s="1128">
        <v>68.56</v>
      </c>
      <c r="E2146" s="1126"/>
    </row>
    <row r="2147" spans="1:5" x14ac:dyDescent="0.2">
      <c r="A2147" s="1126" t="s">
        <v>2729</v>
      </c>
      <c r="B2147" s="1127">
        <v>232</v>
      </c>
      <c r="C2147" s="1128">
        <v>0</v>
      </c>
      <c r="D2147" s="1128">
        <v>9.6199999999999992</v>
      </c>
      <c r="E2147" s="1126"/>
    </row>
    <row r="2148" spans="1:5" x14ac:dyDescent="0.2">
      <c r="A2148" s="1126" t="s">
        <v>2730</v>
      </c>
      <c r="B2148" s="1127">
        <v>171</v>
      </c>
      <c r="C2148" s="1128">
        <v>0</v>
      </c>
      <c r="D2148" s="1128">
        <v>91.42</v>
      </c>
      <c r="E2148" s="1126"/>
    </row>
    <row r="2149" spans="1:5" x14ac:dyDescent="0.2">
      <c r="A2149" s="1126" t="s">
        <v>2731</v>
      </c>
      <c r="B2149" s="1127">
        <v>270</v>
      </c>
      <c r="C2149" s="1128">
        <v>0</v>
      </c>
      <c r="D2149" s="1128">
        <v>104.83</v>
      </c>
      <c r="E2149" s="1126"/>
    </row>
    <row r="2150" spans="1:5" x14ac:dyDescent="0.2">
      <c r="A2150" s="1126" t="s">
        <v>2732</v>
      </c>
      <c r="B2150" s="1127">
        <v>244</v>
      </c>
      <c r="C2150" s="1128">
        <v>0</v>
      </c>
      <c r="D2150" s="1128">
        <v>52.09</v>
      </c>
      <c r="E2150" s="1126"/>
    </row>
    <row r="2151" spans="1:5" x14ac:dyDescent="0.2">
      <c r="A2151" s="1126" t="s">
        <v>2733</v>
      </c>
      <c r="B2151" s="1127">
        <v>178</v>
      </c>
      <c r="C2151" s="1128">
        <v>37.89</v>
      </c>
      <c r="D2151" s="1128">
        <v>160.24</v>
      </c>
      <c r="E2151" s="1126"/>
    </row>
    <row r="2152" spans="1:5" x14ac:dyDescent="0.2">
      <c r="A2152" s="1126" t="s">
        <v>2734</v>
      </c>
      <c r="B2152" s="1127">
        <v>163</v>
      </c>
      <c r="C2152" s="1128">
        <v>1.39</v>
      </c>
      <c r="D2152" s="1128">
        <v>113.43</v>
      </c>
      <c r="E2152" s="1126"/>
    </row>
    <row r="2153" spans="1:5" x14ac:dyDescent="0.2">
      <c r="A2153" s="1126" t="s">
        <v>2735</v>
      </c>
      <c r="B2153" s="1127">
        <v>159</v>
      </c>
      <c r="C2153" s="1128">
        <v>0</v>
      </c>
      <c r="D2153" s="1128">
        <v>69.5</v>
      </c>
      <c r="E2153" s="1126"/>
    </row>
    <row r="2154" spans="1:5" x14ac:dyDescent="0.2">
      <c r="A2154" s="1126" t="s">
        <v>2736</v>
      </c>
      <c r="B2154" s="1127">
        <v>261</v>
      </c>
      <c r="C2154" s="1128">
        <v>0</v>
      </c>
      <c r="D2154" s="1128">
        <v>58.39</v>
      </c>
      <c r="E2154" s="1126"/>
    </row>
    <row r="2155" spans="1:5" x14ac:dyDescent="0.2">
      <c r="A2155" s="1126" t="s">
        <v>2737</v>
      </c>
      <c r="B2155" s="1127">
        <v>38</v>
      </c>
      <c r="C2155" s="1128">
        <v>4.7699999999999996</v>
      </c>
      <c r="D2155" s="1128">
        <v>30.89</v>
      </c>
      <c r="E2155" s="1126" t="s">
        <v>669</v>
      </c>
    </row>
    <row r="2156" spans="1:5" x14ac:dyDescent="0.2">
      <c r="A2156" s="1126" t="s">
        <v>2738</v>
      </c>
      <c r="B2156" s="1127">
        <v>164</v>
      </c>
      <c r="C2156" s="1128">
        <v>0</v>
      </c>
      <c r="D2156" s="1128">
        <v>56.86</v>
      </c>
      <c r="E2156" s="1126"/>
    </row>
    <row r="2157" spans="1:5" x14ac:dyDescent="0.2">
      <c r="A2157" s="1126" t="s">
        <v>2739</v>
      </c>
      <c r="B2157" s="1127">
        <v>234</v>
      </c>
      <c r="C2157" s="1128">
        <v>0</v>
      </c>
      <c r="D2157" s="1128">
        <v>25.42</v>
      </c>
      <c r="E2157" s="1126"/>
    </row>
    <row r="2158" spans="1:5" x14ac:dyDescent="0.2">
      <c r="A2158" s="1126" t="s">
        <v>2740</v>
      </c>
      <c r="B2158" s="1127">
        <v>244</v>
      </c>
      <c r="C2158" s="1128">
        <v>0</v>
      </c>
      <c r="D2158" s="1128">
        <v>119.37</v>
      </c>
      <c r="E2158" s="1126"/>
    </row>
    <row r="2159" spans="1:5" x14ac:dyDescent="0.2">
      <c r="A2159" s="1126" t="s">
        <v>2741</v>
      </c>
      <c r="B2159" s="1127">
        <v>60</v>
      </c>
      <c r="C2159" s="1128">
        <v>0</v>
      </c>
      <c r="D2159" s="1128">
        <v>14.09</v>
      </c>
      <c r="E2159" s="1126"/>
    </row>
    <row r="2160" spans="1:5" x14ac:dyDescent="0.2">
      <c r="A2160" s="1126" t="s">
        <v>2742</v>
      </c>
      <c r="B2160" s="1127">
        <v>198</v>
      </c>
      <c r="C2160" s="1128">
        <v>0</v>
      </c>
      <c r="D2160" s="1128">
        <v>68.599999999999994</v>
      </c>
      <c r="E2160" s="1126"/>
    </row>
    <row r="2161" spans="1:5" x14ac:dyDescent="0.2">
      <c r="A2161" s="1126" t="s">
        <v>2743</v>
      </c>
      <c r="B2161" s="1127">
        <v>92</v>
      </c>
      <c r="C2161" s="1128">
        <v>0</v>
      </c>
      <c r="D2161" s="1128">
        <v>47.19</v>
      </c>
      <c r="E2161" s="1126"/>
    </row>
    <row r="2162" spans="1:5" x14ac:dyDescent="0.2">
      <c r="A2162" s="1126" t="s">
        <v>2744</v>
      </c>
      <c r="B2162" s="1127">
        <v>52</v>
      </c>
      <c r="C2162" s="1128">
        <v>0</v>
      </c>
      <c r="D2162" s="1128">
        <v>15.29</v>
      </c>
      <c r="E2162" s="1126"/>
    </row>
    <row r="2163" spans="1:5" x14ac:dyDescent="0.2">
      <c r="A2163" s="1126" t="s">
        <v>2745</v>
      </c>
      <c r="B2163" s="1127">
        <v>396</v>
      </c>
      <c r="C2163" s="1128">
        <v>823.82</v>
      </c>
      <c r="D2163" s="1128">
        <v>1096.02</v>
      </c>
      <c r="E2163" s="1126"/>
    </row>
    <row r="2164" spans="1:5" x14ac:dyDescent="0.2">
      <c r="A2164" s="1126" t="s">
        <v>2746</v>
      </c>
      <c r="B2164" s="1127">
        <v>107</v>
      </c>
      <c r="C2164" s="1128">
        <v>0</v>
      </c>
      <c r="D2164" s="1128">
        <v>29.85</v>
      </c>
      <c r="E2164" s="1126"/>
    </row>
    <row r="2165" spans="1:5" x14ac:dyDescent="0.2">
      <c r="A2165" s="1126" t="s">
        <v>2747</v>
      </c>
      <c r="B2165" s="1127">
        <v>178</v>
      </c>
      <c r="C2165" s="1128">
        <v>0</v>
      </c>
      <c r="D2165" s="1128">
        <v>11.96</v>
      </c>
      <c r="E2165" s="1126"/>
    </row>
    <row r="2166" spans="1:5" x14ac:dyDescent="0.2">
      <c r="A2166" s="1126" t="s">
        <v>2748</v>
      </c>
      <c r="B2166" s="1127">
        <v>45</v>
      </c>
      <c r="C2166" s="1128">
        <v>0</v>
      </c>
      <c r="D2166" s="1128">
        <v>29.05</v>
      </c>
      <c r="E2166" s="1126"/>
    </row>
    <row r="2167" spans="1:5" x14ac:dyDescent="0.2">
      <c r="A2167" s="1126" t="s">
        <v>2749</v>
      </c>
      <c r="B2167" s="1127">
        <v>239</v>
      </c>
      <c r="C2167" s="1128">
        <v>0</v>
      </c>
      <c r="D2167" s="1128">
        <v>63.65</v>
      </c>
      <c r="E2167" s="1126"/>
    </row>
    <row r="2168" spans="1:5" x14ac:dyDescent="0.2">
      <c r="A2168" s="1126" t="s">
        <v>2750</v>
      </c>
      <c r="B2168" s="1127">
        <v>301</v>
      </c>
      <c r="C2168" s="1128">
        <v>0</v>
      </c>
      <c r="D2168" s="1128">
        <v>0</v>
      </c>
      <c r="E2168" s="1126"/>
    </row>
    <row r="2169" spans="1:5" x14ac:dyDescent="0.2">
      <c r="A2169" s="1126" t="s">
        <v>2751</v>
      </c>
      <c r="B2169" s="1127">
        <v>161</v>
      </c>
      <c r="C2169" s="1128">
        <v>0</v>
      </c>
      <c r="D2169" s="1128">
        <v>58.89</v>
      </c>
      <c r="E2169" s="1126"/>
    </row>
    <row r="2170" spans="1:5" x14ac:dyDescent="0.2">
      <c r="A2170" s="1126" t="s">
        <v>2752</v>
      </c>
      <c r="B2170" s="1127">
        <v>279</v>
      </c>
      <c r="C2170" s="1128">
        <v>0</v>
      </c>
      <c r="D2170" s="1128">
        <v>101.17</v>
      </c>
      <c r="E2170" s="1126"/>
    </row>
    <row r="2171" spans="1:5" x14ac:dyDescent="0.2">
      <c r="A2171" s="1126" t="s">
        <v>2753</v>
      </c>
      <c r="B2171" s="1127">
        <v>334</v>
      </c>
      <c r="C2171" s="1128">
        <v>87.58</v>
      </c>
      <c r="D2171" s="1128">
        <v>317.16000000000003</v>
      </c>
      <c r="E2171" s="1126"/>
    </row>
    <row r="2172" spans="1:5" x14ac:dyDescent="0.2">
      <c r="A2172" s="1126" t="s">
        <v>2754</v>
      </c>
      <c r="B2172" s="1127">
        <v>227</v>
      </c>
      <c r="C2172" s="1128">
        <v>113.76</v>
      </c>
      <c r="D2172" s="1128">
        <v>269.79000000000002</v>
      </c>
      <c r="E2172" s="1126"/>
    </row>
    <row r="2173" spans="1:5" x14ac:dyDescent="0.2">
      <c r="A2173" s="1126" t="s">
        <v>2755</v>
      </c>
      <c r="B2173" s="1127">
        <v>108</v>
      </c>
      <c r="C2173" s="1128">
        <v>0</v>
      </c>
      <c r="D2173" s="1128">
        <v>28.06</v>
      </c>
      <c r="E2173" s="1126"/>
    </row>
    <row r="2174" spans="1:5" x14ac:dyDescent="0.2">
      <c r="A2174" s="1126" t="s">
        <v>2756</v>
      </c>
      <c r="B2174" s="1127">
        <v>77</v>
      </c>
      <c r="C2174" s="1128">
        <v>0</v>
      </c>
      <c r="D2174" s="1128">
        <v>34.5</v>
      </c>
      <c r="E2174" s="1126"/>
    </row>
    <row r="2175" spans="1:5" x14ac:dyDescent="0.2">
      <c r="A2175" s="1126" t="s">
        <v>2757</v>
      </c>
      <c r="B2175" s="1127">
        <v>135</v>
      </c>
      <c r="C2175" s="1128">
        <v>52.95</v>
      </c>
      <c r="D2175" s="1128">
        <v>145.74</v>
      </c>
      <c r="E2175" s="1126"/>
    </row>
    <row r="2176" spans="1:5" x14ac:dyDescent="0.2">
      <c r="A2176" s="1126" t="s">
        <v>2758</v>
      </c>
      <c r="B2176" s="1127">
        <v>392</v>
      </c>
      <c r="C2176" s="1128">
        <v>0</v>
      </c>
      <c r="D2176" s="1128">
        <v>49.11</v>
      </c>
      <c r="E2176" s="1126"/>
    </row>
    <row r="2177" spans="1:5" x14ac:dyDescent="0.2">
      <c r="A2177" s="1126" t="s">
        <v>2759</v>
      </c>
      <c r="B2177" s="1127">
        <v>272</v>
      </c>
      <c r="C2177" s="1128">
        <v>78.31</v>
      </c>
      <c r="D2177" s="1128">
        <v>265.27</v>
      </c>
      <c r="E2177" s="1126"/>
    </row>
    <row r="2178" spans="1:5" x14ac:dyDescent="0.2">
      <c r="A2178" s="1126" t="s">
        <v>2760</v>
      </c>
      <c r="B2178" s="1127">
        <v>228</v>
      </c>
      <c r="C2178" s="1128">
        <v>0</v>
      </c>
      <c r="D2178" s="1128">
        <v>96.56</v>
      </c>
      <c r="E2178" s="1126"/>
    </row>
    <row r="2179" spans="1:5" x14ac:dyDescent="0.2">
      <c r="A2179" s="1126" t="s">
        <v>2761</v>
      </c>
      <c r="B2179" s="1127">
        <v>346</v>
      </c>
      <c r="C2179" s="1128">
        <v>0</v>
      </c>
      <c r="D2179" s="1128">
        <v>110.15</v>
      </c>
      <c r="E2179" s="1126"/>
    </row>
    <row r="2180" spans="1:5" x14ac:dyDescent="0.2">
      <c r="A2180" s="1126" t="s">
        <v>2762</v>
      </c>
      <c r="B2180" s="1127">
        <v>419</v>
      </c>
      <c r="C2180" s="1128">
        <v>0</v>
      </c>
      <c r="D2180" s="1128">
        <v>163.66</v>
      </c>
      <c r="E2180" s="1126"/>
    </row>
    <row r="2181" spans="1:5" x14ac:dyDescent="0.2">
      <c r="A2181" s="1126" t="s">
        <v>2763</v>
      </c>
      <c r="B2181" s="1127">
        <v>328</v>
      </c>
      <c r="C2181" s="1128">
        <v>0</v>
      </c>
      <c r="D2181" s="1128">
        <v>72.16</v>
      </c>
      <c r="E2181" s="1126"/>
    </row>
    <row r="2182" spans="1:5" x14ac:dyDescent="0.2">
      <c r="A2182" s="1126" t="s">
        <v>2764</v>
      </c>
      <c r="B2182" s="1127">
        <v>403</v>
      </c>
      <c r="C2182" s="1128">
        <v>0</v>
      </c>
      <c r="D2182" s="1128">
        <v>96.96</v>
      </c>
      <c r="E2182" s="1126"/>
    </row>
    <row r="2183" spans="1:5" x14ac:dyDescent="0.2">
      <c r="A2183" s="1126" t="s">
        <v>2765</v>
      </c>
      <c r="B2183" s="1127">
        <v>194</v>
      </c>
      <c r="C2183" s="1128">
        <v>0</v>
      </c>
      <c r="D2183" s="1128">
        <v>111.36</v>
      </c>
      <c r="E2183" s="1126"/>
    </row>
    <row r="2184" spans="1:5" x14ac:dyDescent="0.2">
      <c r="A2184" s="1126" t="s">
        <v>2766</v>
      </c>
      <c r="B2184" s="1127">
        <v>488</v>
      </c>
      <c r="C2184" s="1128">
        <v>0</v>
      </c>
      <c r="D2184" s="1128">
        <v>55.39</v>
      </c>
      <c r="E2184" s="1126"/>
    </row>
    <row r="2185" spans="1:5" x14ac:dyDescent="0.2">
      <c r="A2185" s="1126" t="s">
        <v>2767</v>
      </c>
      <c r="B2185" s="1127">
        <v>96</v>
      </c>
      <c r="C2185" s="1128">
        <v>0</v>
      </c>
      <c r="D2185" s="1128">
        <v>23.91</v>
      </c>
      <c r="E2185" s="1126"/>
    </row>
    <row r="2186" spans="1:5" x14ac:dyDescent="0.2">
      <c r="A2186" s="1126" t="s">
        <v>2768</v>
      </c>
      <c r="B2186" s="1127">
        <v>332</v>
      </c>
      <c r="C2186" s="1128">
        <v>0</v>
      </c>
      <c r="D2186" s="1128">
        <v>116.53</v>
      </c>
      <c r="E2186" s="1126"/>
    </row>
    <row r="2187" spans="1:5" x14ac:dyDescent="0.2">
      <c r="A2187" s="1126" t="s">
        <v>2769</v>
      </c>
      <c r="B2187" s="1127">
        <v>141</v>
      </c>
      <c r="C2187" s="1128">
        <v>0</v>
      </c>
      <c r="D2187" s="1128">
        <v>42.03</v>
      </c>
      <c r="E2187" s="1126"/>
    </row>
    <row r="2188" spans="1:5" x14ac:dyDescent="0.2">
      <c r="A2188" s="1126" t="s">
        <v>2770</v>
      </c>
      <c r="B2188" s="1127">
        <v>115</v>
      </c>
      <c r="C2188" s="1128">
        <v>0</v>
      </c>
      <c r="D2188" s="1128">
        <v>28.62</v>
      </c>
      <c r="E2188" s="1126"/>
    </row>
    <row r="2189" spans="1:5" x14ac:dyDescent="0.2">
      <c r="A2189" s="1126" t="s">
        <v>2771</v>
      </c>
      <c r="B2189" s="1127">
        <v>348</v>
      </c>
      <c r="C2189" s="1128">
        <v>64.36</v>
      </c>
      <c r="D2189" s="1128">
        <v>303.56</v>
      </c>
      <c r="E2189" s="1126"/>
    </row>
    <row r="2190" spans="1:5" x14ac:dyDescent="0.2">
      <c r="A2190" s="1126" t="s">
        <v>2772</v>
      </c>
      <c r="B2190" s="1127">
        <v>185</v>
      </c>
      <c r="C2190" s="1128">
        <v>0</v>
      </c>
      <c r="D2190" s="1128">
        <v>10.33</v>
      </c>
      <c r="E2190" s="1126"/>
    </row>
    <row r="2191" spans="1:5" x14ac:dyDescent="0.2">
      <c r="A2191" s="1126" t="s">
        <v>2773</v>
      </c>
      <c r="B2191" s="1127">
        <v>117</v>
      </c>
      <c r="C2191" s="1128">
        <v>0</v>
      </c>
      <c r="D2191" s="1128">
        <v>59.72</v>
      </c>
      <c r="E2191" s="1126"/>
    </row>
    <row r="2192" spans="1:5" x14ac:dyDescent="0.2">
      <c r="A2192" s="1126" t="s">
        <v>2774</v>
      </c>
      <c r="B2192" s="1127">
        <v>221</v>
      </c>
      <c r="C2192" s="1128">
        <v>65.61</v>
      </c>
      <c r="D2192" s="1128">
        <v>217.52</v>
      </c>
      <c r="E2192" s="1126"/>
    </row>
    <row r="2193" spans="1:5" x14ac:dyDescent="0.2">
      <c r="A2193" s="1126" t="s">
        <v>2775</v>
      </c>
      <c r="B2193" s="1127">
        <v>177</v>
      </c>
      <c r="C2193" s="1128">
        <v>0</v>
      </c>
      <c r="D2193" s="1128">
        <v>39.61</v>
      </c>
      <c r="E2193" s="1126"/>
    </row>
    <row r="2194" spans="1:5" x14ac:dyDescent="0.2">
      <c r="A2194" s="1126" t="s">
        <v>2776</v>
      </c>
      <c r="B2194" s="1127">
        <v>86</v>
      </c>
      <c r="C2194" s="1128">
        <v>251.04</v>
      </c>
      <c r="D2194" s="1128">
        <v>310.14999999999998</v>
      </c>
      <c r="E2194" s="1126"/>
    </row>
    <row r="2195" spans="1:5" x14ac:dyDescent="0.2">
      <c r="A2195" s="1126" t="s">
        <v>2777</v>
      </c>
      <c r="B2195" s="1127">
        <v>71</v>
      </c>
      <c r="C2195" s="1128">
        <v>106.2</v>
      </c>
      <c r="D2195" s="1128">
        <v>155.01</v>
      </c>
      <c r="E2195" s="1126"/>
    </row>
    <row r="2196" spans="1:5" x14ac:dyDescent="0.2">
      <c r="A2196" s="1126" t="s">
        <v>2778</v>
      </c>
      <c r="B2196" s="1127">
        <v>304</v>
      </c>
      <c r="C2196" s="1128">
        <v>215.8</v>
      </c>
      <c r="D2196" s="1128">
        <v>424.76</v>
      </c>
      <c r="E2196" s="1126"/>
    </row>
    <row r="2197" spans="1:5" x14ac:dyDescent="0.2">
      <c r="A2197" s="1126" t="s">
        <v>2779</v>
      </c>
      <c r="B2197" s="1127">
        <v>80</v>
      </c>
      <c r="C2197" s="1128">
        <v>25.89</v>
      </c>
      <c r="D2197" s="1128">
        <v>80.88</v>
      </c>
      <c r="E2197" s="1126"/>
    </row>
    <row r="2198" spans="1:5" x14ac:dyDescent="0.2">
      <c r="A2198" s="1126" t="s">
        <v>2780</v>
      </c>
      <c r="B2198" s="1127">
        <v>148</v>
      </c>
      <c r="C2198" s="1128">
        <v>32.81</v>
      </c>
      <c r="D2198" s="1128">
        <v>134.54</v>
      </c>
      <c r="E2198" s="1126"/>
    </row>
    <row r="2199" spans="1:5" x14ac:dyDescent="0.2">
      <c r="A2199" s="1126" t="s">
        <v>2781</v>
      </c>
      <c r="B2199" s="1127">
        <v>141</v>
      </c>
      <c r="C2199" s="1128">
        <v>0</v>
      </c>
      <c r="D2199" s="1128">
        <v>61.81</v>
      </c>
      <c r="E2199" s="1126"/>
    </row>
    <row r="2200" spans="1:5" x14ac:dyDescent="0.2">
      <c r="A2200" s="1126" t="s">
        <v>2782</v>
      </c>
      <c r="B2200" s="1127">
        <v>107</v>
      </c>
      <c r="C2200" s="1128">
        <v>24.24</v>
      </c>
      <c r="D2200" s="1128">
        <v>97.79</v>
      </c>
      <c r="E2200" s="1126"/>
    </row>
    <row r="2201" spans="1:5" x14ac:dyDescent="0.2">
      <c r="A2201" s="1126" t="s">
        <v>2783</v>
      </c>
      <c r="B2201" s="1127">
        <v>419</v>
      </c>
      <c r="C2201" s="1128">
        <v>0</v>
      </c>
      <c r="D2201" s="1128">
        <v>76.05</v>
      </c>
      <c r="E2201" s="1126"/>
    </row>
    <row r="2202" spans="1:5" x14ac:dyDescent="0.2">
      <c r="A2202" s="1126" t="s">
        <v>2784</v>
      </c>
      <c r="B2202" s="1127">
        <v>241</v>
      </c>
      <c r="C2202" s="1128">
        <v>34.1</v>
      </c>
      <c r="D2202" s="1128">
        <v>199.75</v>
      </c>
      <c r="E2202" s="1126"/>
    </row>
    <row r="2203" spans="1:5" x14ac:dyDescent="0.2">
      <c r="A2203" s="1126" t="s">
        <v>2785</v>
      </c>
      <c r="B2203" s="1127">
        <v>219</v>
      </c>
      <c r="C2203" s="1128">
        <v>0</v>
      </c>
      <c r="D2203" s="1128">
        <v>57.91</v>
      </c>
      <c r="E2203" s="1126"/>
    </row>
    <row r="2204" spans="1:5" x14ac:dyDescent="0.2">
      <c r="A2204" s="1126" t="s">
        <v>2786</v>
      </c>
      <c r="B2204" s="1127">
        <v>311</v>
      </c>
      <c r="C2204" s="1128">
        <v>0</v>
      </c>
      <c r="D2204" s="1128">
        <v>80.010000000000005</v>
      </c>
      <c r="E2204" s="1126"/>
    </row>
    <row r="2205" spans="1:5" x14ac:dyDescent="0.2">
      <c r="A2205" s="1126" t="s">
        <v>2787</v>
      </c>
      <c r="B2205" s="1127">
        <v>94</v>
      </c>
      <c r="C2205" s="1128">
        <v>0</v>
      </c>
      <c r="D2205" s="1128">
        <v>61.69</v>
      </c>
      <c r="E2205" s="1126"/>
    </row>
    <row r="2206" spans="1:5" x14ac:dyDescent="0.2">
      <c r="A2206" s="1126" t="s">
        <v>2788</v>
      </c>
      <c r="B2206" s="1127">
        <v>175</v>
      </c>
      <c r="C2206" s="1128">
        <v>170</v>
      </c>
      <c r="D2206" s="1128">
        <v>290.29000000000002</v>
      </c>
      <c r="E2206" s="1126"/>
    </row>
    <row r="2207" spans="1:5" x14ac:dyDescent="0.2">
      <c r="A2207" s="1126" t="s">
        <v>2789</v>
      </c>
      <c r="B2207" s="1127">
        <v>122</v>
      </c>
      <c r="C2207" s="1128">
        <v>0</v>
      </c>
      <c r="D2207" s="1128">
        <v>58.72</v>
      </c>
      <c r="E2207" s="1126"/>
    </row>
    <row r="2208" spans="1:5" x14ac:dyDescent="0.2">
      <c r="A2208" s="1126" t="s">
        <v>2790</v>
      </c>
      <c r="B2208" s="1127">
        <v>33</v>
      </c>
      <c r="C2208" s="1128">
        <v>2.54</v>
      </c>
      <c r="D2208" s="1128">
        <v>25.23</v>
      </c>
      <c r="E2208" s="1126" t="s">
        <v>669</v>
      </c>
    </row>
    <row r="2209" spans="1:5" x14ac:dyDescent="0.2">
      <c r="A2209" s="1126" t="s">
        <v>2791</v>
      </c>
      <c r="B2209" s="1127">
        <v>151</v>
      </c>
      <c r="C2209" s="1128">
        <v>79.08</v>
      </c>
      <c r="D2209" s="1128">
        <v>182.87</v>
      </c>
      <c r="E2209" s="1126"/>
    </row>
    <row r="2210" spans="1:5" x14ac:dyDescent="0.2">
      <c r="A2210" s="1126" t="s">
        <v>2792</v>
      </c>
      <c r="B2210" s="1127">
        <v>370</v>
      </c>
      <c r="C2210" s="1128">
        <v>0</v>
      </c>
      <c r="D2210" s="1128">
        <v>175.26</v>
      </c>
      <c r="E2210" s="1126"/>
    </row>
    <row r="2211" spans="1:5" x14ac:dyDescent="0.2">
      <c r="A2211" s="1126" t="s">
        <v>2793</v>
      </c>
      <c r="B2211" s="1127">
        <v>200</v>
      </c>
      <c r="C2211" s="1128">
        <v>290.97000000000003</v>
      </c>
      <c r="D2211" s="1128">
        <v>428.44</v>
      </c>
      <c r="E2211" s="1126"/>
    </row>
    <row r="2212" spans="1:5" x14ac:dyDescent="0.2">
      <c r="A2212" s="1126" t="s">
        <v>2794</v>
      </c>
      <c r="B2212" s="1127">
        <v>156</v>
      </c>
      <c r="C2212" s="1128">
        <v>0</v>
      </c>
      <c r="D2212" s="1128">
        <v>22.72</v>
      </c>
      <c r="E2212" s="1126"/>
    </row>
    <row r="2213" spans="1:5" x14ac:dyDescent="0.2">
      <c r="A2213" s="1126" t="s">
        <v>2795</v>
      </c>
      <c r="B2213" s="1127">
        <v>154</v>
      </c>
      <c r="C2213" s="1128">
        <v>337.01</v>
      </c>
      <c r="D2213" s="1128">
        <v>442.87</v>
      </c>
      <c r="E2213" s="1126"/>
    </row>
    <row r="2214" spans="1:5" x14ac:dyDescent="0.2">
      <c r="A2214" s="1126" t="s">
        <v>2796</v>
      </c>
      <c r="B2214" s="1127">
        <v>373</v>
      </c>
      <c r="C2214" s="1128">
        <v>0</v>
      </c>
      <c r="D2214" s="1128">
        <v>203.19</v>
      </c>
      <c r="E2214" s="1126"/>
    </row>
    <row r="2215" spans="1:5" x14ac:dyDescent="0.2">
      <c r="A2215" s="1126" t="s">
        <v>2797</v>
      </c>
      <c r="B2215" s="1127">
        <v>153</v>
      </c>
      <c r="C2215" s="1128">
        <v>0</v>
      </c>
      <c r="D2215" s="1128">
        <v>95.16</v>
      </c>
      <c r="E2215" s="1126"/>
    </row>
    <row r="2216" spans="1:5" x14ac:dyDescent="0.2">
      <c r="A2216" s="1126" t="s">
        <v>2798</v>
      </c>
      <c r="B2216" s="1127">
        <v>294</v>
      </c>
      <c r="C2216" s="1128">
        <v>0</v>
      </c>
      <c r="D2216" s="1128">
        <v>101.55</v>
      </c>
      <c r="E2216" s="1126"/>
    </row>
    <row r="2217" spans="1:5" x14ac:dyDescent="0.2">
      <c r="A2217" s="1126" t="s">
        <v>2799</v>
      </c>
      <c r="B2217" s="1127">
        <v>293</v>
      </c>
      <c r="C2217" s="1128">
        <v>387.46</v>
      </c>
      <c r="D2217" s="1128">
        <v>588.86</v>
      </c>
      <c r="E2217" s="1126"/>
    </row>
    <row r="2218" spans="1:5" x14ac:dyDescent="0.2">
      <c r="A2218" s="1126" t="s">
        <v>2800</v>
      </c>
      <c r="B2218" s="1127">
        <v>234</v>
      </c>
      <c r="C2218" s="1128">
        <v>0</v>
      </c>
      <c r="D2218" s="1128">
        <v>5.48</v>
      </c>
      <c r="E2218" s="1126"/>
    </row>
    <row r="2219" spans="1:5" x14ac:dyDescent="0.2">
      <c r="A2219" s="1126" t="s">
        <v>2801</v>
      </c>
      <c r="B2219" s="1127">
        <v>280</v>
      </c>
      <c r="C2219" s="1128">
        <v>0</v>
      </c>
      <c r="D2219" s="1128">
        <v>158.88</v>
      </c>
      <c r="E2219" s="1126"/>
    </row>
    <row r="2220" spans="1:5" x14ac:dyDescent="0.2">
      <c r="A2220" s="1126" t="s">
        <v>2802</v>
      </c>
      <c r="B2220" s="1127">
        <v>191</v>
      </c>
      <c r="C2220" s="1128">
        <v>0</v>
      </c>
      <c r="D2220" s="1128">
        <v>126.65</v>
      </c>
      <c r="E2220" s="1126"/>
    </row>
    <row r="2221" spans="1:5" x14ac:dyDescent="0.2">
      <c r="A2221" s="1126" t="s">
        <v>2803</v>
      </c>
      <c r="B2221" s="1127">
        <v>167</v>
      </c>
      <c r="C2221" s="1128">
        <v>4.66</v>
      </c>
      <c r="D2221" s="1128">
        <v>119.45</v>
      </c>
      <c r="E2221" s="1126"/>
    </row>
    <row r="2222" spans="1:5" x14ac:dyDescent="0.2">
      <c r="A2222" s="1126" t="s">
        <v>2804</v>
      </c>
      <c r="B2222" s="1127">
        <v>243</v>
      </c>
      <c r="C2222" s="1128">
        <v>0</v>
      </c>
      <c r="D2222" s="1128">
        <v>81.93</v>
      </c>
      <c r="E2222" s="1126"/>
    </row>
    <row r="2223" spans="1:5" x14ac:dyDescent="0.2">
      <c r="A2223" s="1126" t="s">
        <v>2805</v>
      </c>
      <c r="B2223" s="1127">
        <v>182</v>
      </c>
      <c r="C2223" s="1128">
        <v>0</v>
      </c>
      <c r="D2223" s="1128">
        <v>61.95</v>
      </c>
      <c r="E2223" s="1126"/>
    </row>
    <row r="2224" spans="1:5" x14ac:dyDescent="0.2">
      <c r="A2224" s="1126" t="s">
        <v>2806</v>
      </c>
      <c r="B2224" s="1127">
        <v>160</v>
      </c>
      <c r="C2224" s="1128">
        <v>0</v>
      </c>
      <c r="D2224" s="1128">
        <v>69.010000000000005</v>
      </c>
      <c r="E2224" s="1126"/>
    </row>
    <row r="2225" spans="1:5" x14ac:dyDescent="0.2">
      <c r="A2225" s="1126" t="s">
        <v>2807</v>
      </c>
      <c r="B2225" s="1127">
        <v>264</v>
      </c>
      <c r="C2225" s="1128">
        <v>13.63</v>
      </c>
      <c r="D2225" s="1128">
        <v>195.1</v>
      </c>
      <c r="E2225" s="1126"/>
    </row>
    <row r="2226" spans="1:5" x14ac:dyDescent="0.2">
      <c r="A2226" s="1126" t="s">
        <v>2808</v>
      </c>
      <c r="B2226" s="1127">
        <v>124</v>
      </c>
      <c r="C2226" s="1128">
        <v>3.19</v>
      </c>
      <c r="D2226" s="1128">
        <v>88.43</v>
      </c>
      <c r="E2226" s="1126"/>
    </row>
    <row r="2227" spans="1:5" x14ac:dyDescent="0.2">
      <c r="A2227" s="1126" t="s">
        <v>2809</v>
      </c>
      <c r="B2227" s="1127">
        <v>272</v>
      </c>
      <c r="C2227" s="1128">
        <v>101.49</v>
      </c>
      <c r="D2227" s="1128">
        <v>288.45999999999998</v>
      </c>
      <c r="E2227" s="1126"/>
    </row>
    <row r="2228" spans="1:5" x14ac:dyDescent="0.2">
      <c r="A2228" s="1126" t="s">
        <v>2810</v>
      </c>
      <c r="B2228" s="1127">
        <v>204</v>
      </c>
      <c r="C2228" s="1128">
        <v>1.48</v>
      </c>
      <c r="D2228" s="1128">
        <v>141.71</v>
      </c>
      <c r="E2228" s="1126"/>
    </row>
    <row r="2229" spans="1:5" x14ac:dyDescent="0.2">
      <c r="A2229" s="1126" t="s">
        <v>2811</v>
      </c>
      <c r="B2229" s="1127">
        <v>255</v>
      </c>
      <c r="C2229" s="1128">
        <v>0</v>
      </c>
      <c r="D2229" s="1128">
        <v>85.32</v>
      </c>
      <c r="E2229" s="1126"/>
    </row>
    <row r="2230" spans="1:5" x14ac:dyDescent="0.2">
      <c r="A2230" s="1126" t="s">
        <v>2812</v>
      </c>
      <c r="B2230" s="1127">
        <v>414</v>
      </c>
      <c r="C2230" s="1128">
        <v>0</v>
      </c>
      <c r="D2230" s="1128">
        <v>173.66</v>
      </c>
      <c r="E2230" s="1126"/>
    </row>
    <row r="2231" spans="1:5" x14ac:dyDescent="0.2">
      <c r="A2231" s="1126" t="s">
        <v>2813</v>
      </c>
      <c r="B2231" s="1127">
        <v>107</v>
      </c>
      <c r="C2231" s="1128">
        <v>35.21</v>
      </c>
      <c r="D2231" s="1128">
        <v>108.76</v>
      </c>
      <c r="E2231" s="1126"/>
    </row>
    <row r="2232" spans="1:5" x14ac:dyDescent="0.2">
      <c r="A2232" s="1126" t="s">
        <v>2814</v>
      </c>
      <c r="B2232" s="1127">
        <v>220</v>
      </c>
      <c r="C2232" s="1128">
        <v>30.06</v>
      </c>
      <c r="D2232" s="1128">
        <v>181.28</v>
      </c>
      <c r="E2232" s="1126"/>
    </row>
    <row r="2233" spans="1:5" x14ac:dyDescent="0.2">
      <c r="A2233" s="1126" t="s">
        <v>2815</v>
      </c>
      <c r="B2233" s="1127">
        <v>165</v>
      </c>
      <c r="C2233" s="1128">
        <v>0</v>
      </c>
      <c r="D2233" s="1128">
        <v>105.76</v>
      </c>
      <c r="E2233" s="1126"/>
    </row>
    <row r="2234" spans="1:5" x14ac:dyDescent="0.2">
      <c r="A2234" s="1126" t="s">
        <v>2816</v>
      </c>
      <c r="B2234" s="1127">
        <v>313</v>
      </c>
      <c r="C2234" s="1128">
        <v>0</v>
      </c>
      <c r="D2234" s="1128">
        <v>21.49</v>
      </c>
      <c r="E2234" s="1126"/>
    </row>
    <row r="2235" spans="1:5" x14ac:dyDescent="0.2">
      <c r="A2235" s="1126" t="s">
        <v>2817</v>
      </c>
      <c r="B2235" s="1127">
        <v>56</v>
      </c>
      <c r="C2235" s="1128">
        <v>0</v>
      </c>
      <c r="D2235" s="1128">
        <v>4.71</v>
      </c>
      <c r="E2235" s="1126"/>
    </row>
    <row r="2236" spans="1:5" x14ac:dyDescent="0.2">
      <c r="A2236" s="1126" t="s">
        <v>2818</v>
      </c>
      <c r="B2236" s="1127">
        <v>138</v>
      </c>
      <c r="C2236" s="1128">
        <v>39.65</v>
      </c>
      <c r="D2236" s="1128">
        <v>134.51</v>
      </c>
      <c r="E2236" s="1126"/>
    </row>
    <row r="2237" spans="1:5" x14ac:dyDescent="0.2">
      <c r="A2237" s="1126" t="s">
        <v>2819</v>
      </c>
      <c r="B2237" s="1127">
        <v>145</v>
      </c>
      <c r="C2237" s="1128">
        <v>0</v>
      </c>
      <c r="D2237" s="1128">
        <v>61.22</v>
      </c>
      <c r="E2237" s="1126"/>
    </row>
    <row r="2238" spans="1:5" x14ac:dyDescent="0.2">
      <c r="A2238" s="1126" t="s">
        <v>2820</v>
      </c>
      <c r="B2238" s="1127">
        <v>211</v>
      </c>
      <c r="C2238" s="1128">
        <v>0</v>
      </c>
      <c r="D2238" s="1128">
        <v>46.97</v>
      </c>
      <c r="E2238" s="1126"/>
    </row>
    <row r="2239" spans="1:5" x14ac:dyDescent="0.2">
      <c r="A2239" s="1126" t="s">
        <v>2821</v>
      </c>
      <c r="B2239" s="1127">
        <v>208</v>
      </c>
      <c r="C2239" s="1128">
        <v>0</v>
      </c>
      <c r="D2239" s="1128">
        <v>48.33</v>
      </c>
      <c r="E2239" s="1126"/>
    </row>
    <row r="2240" spans="1:5" x14ac:dyDescent="0.2">
      <c r="A2240" s="1126" t="s">
        <v>2822</v>
      </c>
      <c r="B2240" s="1127">
        <v>269</v>
      </c>
      <c r="C2240" s="1128">
        <v>804.9</v>
      </c>
      <c r="D2240" s="1128">
        <v>989.81</v>
      </c>
      <c r="E2240" s="1126"/>
    </row>
    <row r="2241" spans="1:5" x14ac:dyDescent="0.2">
      <c r="A2241" s="1126" t="s">
        <v>2823</v>
      </c>
      <c r="B2241" s="1127">
        <v>276</v>
      </c>
      <c r="C2241" s="1128">
        <v>0</v>
      </c>
      <c r="D2241" s="1128">
        <v>13.49</v>
      </c>
      <c r="E2241" s="1126"/>
    </row>
    <row r="2242" spans="1:5" x14ac:dyDescent="0.2">
      <c r="A2242" s="1126" t="s">
        <v>2824</v>
      </c>
      <c r="B2242" s="1127">
        <v>136</v>
      </c>
      <c r="C2242" s="1128">
        <v>0</v>
      </c>
      <c r="D2242" s="1128">
        <v>57.02</v>
      </c>
      <c r="E2242" s="1126"/>
    </row>
    <row r="2243" spans="1:5" x14ac:dyDescent="0.2">
      <c r="A2243" s="1126" t="s">
        <v>2825</v>
      </c>
      <c r="B2243" s="1127">
        <v>223</v>
      </c>
      <c r="C2243" s="1128">
        <v>0</v>
      </c>
      <c r="D2243" s="1128">
        <v>57.25</v>
      </c>
      <c r="E2243" s="1126"/>
    </row>
    <row r="2244" spans="1:5" x14ac:dyDescent="0.2">
      <c r="A2244" s="1126" t="s">
        <v>2826</v>
      </c>
      <c r="B2244" s="1127">
        <v>70</v>
      </c>
      <c r="C2244" s="1128">
        <v>0</v>
      </c>
      <c r="D2244" s="1128">
        <v>9.65</v>
      </c>
      <c r="E2244" s="1126"/>
    </row>
    <row r="2245" spans="1:5" x14ac:dyDescent="0.2">
      <c r="A2245" s="1126" t="s">
        <v>2827</v>
      </c>
      <c r="B2245" s="1127">
        <v>203</v>
      </c>
      <c r="C2245" s="1128">
        <v>0</v>
      </c>
      <c r="D2245" s="1128">
        <v>89.85</v>
      </c>
      <c r="E2245" s="1126"/>
    </row>
    <row r="2246" spans="1:5" x14ac:dyDescent="0.2">
      <c r="A2246" s="1126" t="s">
        <v>2828</v>
      </c>
      <c r="B2246" s="1127">
        <v>193</v>
      </c>
      <c r="C2246" s="1128">
        <v>123.6</v>
      </c>
      <c r="D2246" s="1128">
        <v>256.26</v>
      </c>
      <c r="E2246" s="1126"/>
    </row>
    <row r="2247" spans="1:5" x14ac:dyDescent="0.2">
      <c r="A2247" s="1126" t="s">
        <v>2829</v>
      </c>
      <c r="B2247" s="1127">
        <v>105</v>
      </c>
      <c r="C2247" s="1128">
        <v>37.159999999999997</v>
      </c>
      <c r="D2247" s="1128">
        <v>109.34</v>
      </c>
      <c r="E2247" s="1126"/>
    </row>
    <row r="2248" spans="1:5" x14ac:dyDescent="0.2">
      <c r="A2248" s="1126" t="s">
        <v>2830</v>
      </c>
      <c r="B2248" s="1127">
        <v>64</v>
      </c>
      <c r="C2248" s="1128">
        <v>0</v>
      </c>
      <c r="D2248" s="1128">
        <v>9.01</v>
      </c>
      <c r="E2248" s="1126"/>
    </row>
    <row r="2249" spans="1:5" x14ac:dyDescent="0.2">
      <c r="A2249" s="1126" t="s">
        <v>2831</v>
      </c>
      <c r="B2249" s="1127">
        <v>96</v>
      </c>
      <c r="C2249" s="1128">
        <v>0</v>
      </c>
      <c r="D2249" s="1128">
        <v>29.63</v>
      </c>
      <c r="E2249" s="1126"/>
    </row>
    <row r="2250" spans="1:5" x14ac:dyDescent="0.2">
      <c r="A2250" s="1126" t="s">
        <v>2832</v>
      </c>
      <c r="B2250" s="1127">
        <v>532</v>
      </c>
      <c r="C2250" s="1128">
        <v>50.1</v>
      </c>
      <c r="D2250" s="1128">
        <v>415.77</v>
      </c>
      <c r="E2250" s="1126"/>
    </row>
    <row r="2251" spans="1:5" x14ac:dyDescent="0.2">
      <c r="A2251" s="1126" t="s">
        <v>2833</v>
      </c>
      <c r="B2251" s="1127">
        <v>520</v>
      </c>
      <c r="C2251" s="1128">
        <v>0</v>
      </c>
      <c r="D2251" s="1128">
        <v>104.3</v>
      </c>
      <c r="E2251" s="1126"/>
    </row>
    <row r="2252" spans="1:5" x14ac:dyDescent="0.2">
      <c r="A2252" s="1126" t="s">
        <v>2834</v>
      </c>
      <c r="B2252" s="1127">
        <v>222</v>
      </c>
      <c r="C2252" s="1128">
        <v>32.11</v>
      </c>
      <c r="D2252" s="1128">
        <v>184.7</v>
      </c>
      <c r="E2252" s="1126"/>
    </row>
    <row r="2253" spans="1:5" x14ac:dyDescent="0.2">
      <c r="A2253" s="1126" t="s">
        <v>2835</v>
      </c>
      <c r="B2253" s="1127">
        <v>236</v>
      </c>
      <c r="C2253" s="1128">
        <v>220.98</v>
      </c>
      <c r="D2253" s="1128">
        <v>383.2</v>
      </c>
      <c r="E2253" s="1126"/>
    </row>
    <row r="2254" spans="1:5" x14ac:dyDescent="0.2">
      <c r="A2254" s="1126" t="s">
        <v>2836</v>
      </c>
      <c r="B2254" s="1127">
        <v>126</v>
      </c>
      <c r="C2254" s="1128">
        <v>1.83</v>
      </c>
      <c r="D2254" s="1128">
        <v>88.44</v>
      </c>
      <c r="E2254" s="1126"/>
    </row>
    <row r="2255" spans="1:5" x14ac:dyDescent="0.2">
      <c r="A2255" s="1126" t="s">
        <v>2837</v>
      </c>
      <c r="B2255" s="1127">
        <v>158</v>
      </c>
      <c r="C2255" s="1128">
        <v>0</v>
      </c>
      <c r="D2255" s="1128">
        <v>34.08</v>
      </c>
      <c r="E2255" s="1126"/>
    </row>
    <row r="2256" spans="1:5" x14ac:dyDescent="0.2">
      <c r="A2256" s="1126" t="s">
        <v>2838</v>
      </c>
      <c r="B2256" s="1127">
        <v>344</v>
      </c>
      <c r="C2256" s="1128">
        <v>0</v>
      </c>
      <c r="D2256" s="1128">
        <v>89.96</v>
      </c>
      <c r="E2256" s="1126"/>
    </row>
    <row r="2257" spans="1:5" x14ac:dyDescent="0.2">
      <c r="A2257" s="1126" t="s">
        <v>2839</v>
      </c>
      <c r="B2257" s="1127">
        <v>340</v>
      </c>
      <c r="C2257" s="1128">
        <v>0</v>
      </c>
      <c r="D2257" s="1128">
        <v>83.17</v>
      </c>
      <c r="E2257" s="1126"/>
    </row>
    <row r="2258" spans="1:5" x14ac:dyDescent="0.2">
      <c r="A2258" s="1126" t="s">
        <v>2840</v>
      </c>
      <c r="B2258" s="1127">
        <v>175</v>
      </c>
      <c r="C2258" s="1128">
        <v>0</v>
      </c>
      <c r="D2258" s="1128">
        <v>63.3</v>
      </c>
      <c r="E2258" s="1126"/>
    </row>
    <row r="2259" spans="1:5" x14ac:dyDescent="0.2">
      <c r="A2259" s="1126" t="s">
        <v>2841</v>
      </c>
      <c r="B2259" s="1127">
        <v>266</v>
      </c>
      <c r="C2259" s="1128">
        <v>0</v>
      </c>
      <c r="D2259" s="1128">
        <v>103.28</v>
      </c>
      <c r="E2259" s="1126"/>
    </row>
    <row r="2260" spans="1:5" x14ac:dyDescent="0.2">
      <c r="A2260" s="1126" t="s">
        <v>2842</v>
      </c>
      <c r="B2260" s="1127">
        <v>335</v>
      </c>
      <c r="C2260" s="1128">
        <v>0</v>
      </c>
      <c r="D2260" s="1128">
        <v>157.28</v>
      </c>
      <c r="E2260" s="1126"/>
    </row>
    <row r="2261" spans="1:5" x14ac:dyDescent="0.2">
      <c r="A2261" s="1126" t="s">
        <v>2843</v>
      </c>
      <c r="B2261" s="1127">
        <v>86</v>
      </c>
      <c r="C2261" s="1128">
        <v>0</v>
      </c>
      <c r="D2261" s="1128">
        <v>11.45</v>
      </c>
      <c r="E2261" s="1126"/>
    </row>
    <row r="2262" spans="1:5" x14ac:dyDescent="0.2">
      <c r="A2262" s="1126" t="s">
        <v>2844</v>
      </c>
      <c r="B2262" s="1127">
        <v>191</v>
      </c>
      <c r="C2262" s="1128">
        <v>0</v>
      </c>
      <c r="D2262" s="1128">
        <v>18.5</v>
      </c>
      <c r="E2262" s="1126"/>
    </row>
    <row r="2263" spans="1:5" x14ac:dyDescent="0.2">
      <c r="A2263" s="1126" t="s">
        <v>2845</v>
      </c>
      <c r="B2263" s="1127">
        <v>316</v>
      </c>
      <c r="C2263" s="1128">
        <v>0</v>
      </c>
      <c r="D2263" s="1128">
        <v>140.29</v>
      </c>
      <c r="E2263" s="1126"/>
    </row>
    <row r="2264" spans="1:5" x14ac:dyDescent="0.2">
      <c r="A2264" s="1126" t="s">
        <v>2846</v>
      </c>
      <c r="B2264" s="1127">
        <v>489</v>
      </c>
      <c r="C2264" s="1128">
        <v>0</v>
      </c>
      <c r="D2264" s="1128">
        <v>72.75</v>
      </c>
      <c r="E2264" s="1126"/>
    </row>
    <row r="2265" spans="1:5" x14ac:dyDescent="0.2">
      <c r="A2265" s="1126" t="s">
        <v>2847</v>
      </c>
      <c r="B2265" s="1127">
        <v>378</v>
      </c>
      <c r="C2265" s="1128">
        <v>0</v>
      </c>
      <c r="D2265" s="1128">
        <v>18.989999999999998</v>
      </c>
      <c r="E2265" s="1126"/>
    </row>
    <row r="2266" spans="1:5" x14ac:dyDescent="0.2">
      <c r="A2266" s="1126" t="s">
        <v>2848</v>
      </c>
      <c r="B2266" s="1127">
        <v>227</v>
      </c>
      <c r="C2266" s="1128">
        <v>0</v>
      </c>
      <c r="D2266" s="1128">
        <v>44.51</v>
      </c>
      <c r="E2266" s="1126"/>
    </row>
    <row r="2267" spans="1:5" x14ac:dyDescent="0.2">
      <c r="A2267" s="1126" t="s">
        <v>2849</v>
      </c>
      <c r="B2267" s="1127">
        <v>48</v>
      </c>
      <c r="C2267" s="1128">
        <v>39.25</v>
      </c>
      <c r="D2267" s="1128">
        <v>72.25</v>
      </c>
      <c r="E2267" s="1126"/>
    </row>
    <row r="2268" spans="1:5" x14ac:dyDescent="0.2">
      <c r="A2268" s="1126" t="s">
        <v>2850</v>
      </c>
      <c r="B2268" s="1127">
        <v>107</v>
      </c>
      <c r="C2268" s="1128">
        <v>32.78</v>
      </c>
      <c r="D2268" s="1128">
        <v>106.33</v>
      </c>
      <c r="E2268" s="1126"/>
    </row>
    <row r="2269" spans="1:5" x14ac:dyDescent="0.2">
      <c r="A2269" s="1126" t="s">
        <v>2851</v>
      </c>
      <c r="B2269" s="1127">
        <v>312</v>
      </c>
      <c r="C2269" s="1128">
        <v>745.72</v>
      </c>
      <c r="D2269" s="1128">
        <v>960.17</v>
      </c>
      <c r="E2269" s="1126"/>
    </row>
    <row r="2270" spans="1:5" x14ac:dyDescent="0.2">
      <c r="A2270" s="1126" t="s">
        <v>2852</v>
      </c>
      <c r="B2270" s="1127">
        <v>216</v>
      </c>
      <c r="C2270" s="1128">
        <v>0</v>
      </c>
      <c r="D2270" s="1128">
        <v>35.130000000000003</v>
      </c>
      <c r="E2270" s="1126"/>
    </row>
    <row r="2271" spans="1:5" x14ac:dyDescent="0.2">
      <c r="A2271" s="1126" t="s">
        <v>2853</v>
      </c>
      <c r="B2271" s="1127">
        <v>279</v>
      </c>
      <c r="C2271" s="1128">
        <v>0</v>
      </c>
      <c r="D2271" s="1128">
        <v>63.23</v>
      </c>
      <c r="E2271" s="1126"/>
    </row>
    <row r="2272" spans="1:5" x14ac:dyDescent="0.2">
      <c r="A2272" s="1126" t="s">
        <v>2854</v>
      </c>
      <c r="B2272" s="1127">
        <v>314</v>
      </c>
      <c r="C2272" s="1128">
        <v>160.54</v>
      </c>
      <c r="D2272" s="1128">
        <v>376.37</v>
      </c>
      <c r="E2272" s="1126"/>
    </row>
    <row r="2273" spans="1:5" x14ac:dyDescent="0.2">
      <c r="A2273" s="1126" t="s">
        <v>2855</v>
      </c>
      <c r="B2273" s="1127">
        <v>167</v>
      </c>
      <c r="C2273" s="1128">
        <v>93.37</v>
      </c>
      <c r="D2273" s="1128">
        <v>208.16</v>
      </c>
      <c r="E2273" s="1126"/>
    </row>
    <row r="2274" spans="1:5" x14ac:dyDescent="0.2">
      <c r="A2274" s="1126" t="s">
        <v>2856</v>
      </c>
      <c r="B2274" s="1127">
        <v>723</v>
      </c>
      <c r="C2274" s="1128">
        <v>0</v>
      </c>
      <c r="D2274" s="1128">
        <v>144.82</v>
      </c>
      <c r="E2274" s="1126"/>
    </row>
    <row r="2275" spans="1:5" x14ac:dyDescent="0.2">
      <c r="A2275" s="1126" t="s">
        <v>2857</v>
      </c>
      <c r="B2275" s="1127">
        <v>217</v>
      </c>
      <c r="C2275" s="1128">
        <v>0</v>
      </c>
      <c r="D2275" s="1128">
        <v>76.739999999999995</v>
      </c>
      <c r="E2275" s="1126"/>
    </row>
    <row r="2276" spans="1:5" x14ac:dyDescent="0.2">
      <c r="A2276" s="1126" t="s">
        <v>2858</v>
      </c>
      <c r="B2276" s="1127">
        <v>292</v>
      </c>
      <c r="C2276" s="1128">
        <v>0</v>
      </c>
      <c r="D2276" s="1128">
        <v>104.57</v>
      </c>
      <c r="E2276" s="1126"/>
    </row>
    <row r="2277" spans="1:5" x14ac:dyDescent="0.2">
      <c r="A2277" s="1126" t="s">
        <v>2859</v>
      </c>
      <c r="B2277" s="1127">
        <v>400</v>
      </c>
      <c r="C2277" s="1128">
        <v>0</v>
      </c>
      <c r="D2277" s="1128">
        <v>255.45</v>
      </c>
      <c r="E2277" s="1126"/>
    </row>
    <row r="2278" spans="1:5" x14ac:dyDescent="0.2">
      <c r="A2278" s="1126" t="s">
        <v>2860</v>
      </c>
      <c r="B2278" s="1127">
        <v>342</v>
      </c>
      <c r="C2278" s="1128">
        <v>0</v>
      </c>
      <c r="D2278" s="1128">
        <v>77.59</v>
      </c>
      <c r="E2278" s="1126"/>
    </row>
    <row r="2279" spans="1:5" x14ac:dyDescent="0.2">
      <c r="A2279" s="1126" t="s">
        <v>2861</v>
      </c>
      <c r="B2279" s="1127">
        <v>377</v>
      </c>
      <c r="C2279" s="1128">
        <v>0</v>
      </c>
      <c r="D2279" s="1128">
        <v>96.53</v>
      </c>
      <c r="E2279" s="1126"/>
    </row>
    <row r="2280" spans="1:5" x14ac:dyDescent="0.2">
      <c r="A2280" s="1126" t="s">
        <v>2862</v>
      </c>
      <c r="B2280" s="1127">
        <v>395</v>
      </c>
      <c r="C2280" s="1128">
        <v>0</v>
      </c>
      <c r="D2280" s="1128">
        <v>268.85000000000002</v>
      </c>
      <c r="E2280" s="1126"/>
    </row>
    <row r="2281" spans="1:5" x14ac:dyDescent="0.2">
      <c r="A2281" s="1126" t="s">
        <v>2863</v>
      </c>
      <c r="B2281" s="1127">
        <v>394</v>
      </c>
      <c r="C2281" s="1128">
        <v>0</v>
      </c>
      <c r="D2281" s="1128">
        <v>129.66</v>
      </c>
      <c r="E2281" s="1126"/>
    </row>
    <row r="2282" spans="1:5" x14ac:dyDescent="0.2">
      <c r="A2282" s="1126" t="s">
        <v>2864</v>
      </c>
      <c r="B2282" s="1127">
        <v>264</v>
      </c>
      <c r="C2282" s="1128">
        <v>0</v>
      </c>
      <c r="D2282" s="1128">
        <v>146.81</v>
      </c>
      <c r="E2282" s="1126"/>
    </row>
    <row r="2283" spans="1:5" x14ac:dyDescent="0.2">
      <c r="A2283" s="1126" t="s">
        <v>2865</v>
      </c>
      <c r="B2283" s="1127">
        <v>95</v>
      </c>
      <c r="C2283" s="1128">
        <v>56.79</v>
      </c>
      <c r="D2283" s="1128">
        <v>122.09</v>
      </c>
      <c r="E2283" s="1126"/>
    </row>
    <row r="2284" spans="1:5" x14ac:dyDescent="0.2">
      <c r="A2284" s="1126" t="s">
        <v>2866</v>
      </c>
      <c r="B2284" s="1127">
        <v>202</v>
      </c>
      <c r="C2284" s="1128">
        <v>0</v>
      </c>
      <c r="D2284" s="1128">
        <v>63.98</v>
      </c>
      <c r="E2284" s="1126"/>
    </row>
    <row r="2285" spans="1:5" x14ac:dyDescent="0.2">
      <c r="A2285" s="1126" t="s">
        <v>2867</v>
      </c>
      <c r="B2285" s="1127">
        <v>582</v>
      </c>
      <c r="C2285" s="1128">
        <v>0</v>
      </c>
      <c r="D2285" s="1128">
        <v>96.18</v>
      </c>
      <c r="E2285" s="1126"/>
    </row>
    <row r="2286" spans="1:5" x14ac:dyDescent="0.2">
      <c r="A2286" s="1126" t="s">
        <v>2868</v>
      </c>
      <c r="B2286" s="1127">
        <v>324</v>
      </c>
      <c r="C2286" s="1128">
        <v>0</v>
      </c>
      <c r="D2286" s="1128">
        <v>86.39</v>
      </c>
      <c r="E2286" s="1126"/>
    </row>
    <row r="2287" spans="1:5" x14ac:dyDescent="0.2">
      <c r="A2287" s="1126" t="s">
        <v>2869</v>
      </c>
      <c r="B2287" s="1127">
        <v>217</v>
      </c>
      <c r="C2287" s="1128">
        <v>0</v>
      </c>
      <c r="D2287" s="1128">
        <v>88.51</v>
      </c>
      <c r="E2287" s="1126"/>
    </row>
    <row r="2288" spans="1:5" x14ac:dyDescent="0.2">
      <c r="A2288" s="1126" t="s">
        <v>2870</v>
      </c>
      <c r="B2288" s="1127">
        <v>134</v>
      </c>
      <c r="C2288" s="1128">
        <v>0</v>
      </c>
      <c r="D2288" s="1128">
        <v>88.07</v>
      </c>
      <c r="E2288" s="1126"/>
    </row>
    <row r="2289" spans="1:5" x14ac:dyDescent="0.2">
      <c r="A2289" s="1126" t="s">
        <v>2871</v>
      </c>
      <c r="B2289" s="1127">
        <v>198</v>
      </c>
      <c r="C2289" s="1128">
        <v>0.03</v>
      </c>
      <c r="D2289" s="1128">
        <v>136.13</v>
      </c>
      <c r="E2289" s="1126"/>
    </row>
    <row r="2290" spans="1:5" x14ac:dyDescent="0.2">
      <c r="A2290" s="1126" t="s">
        <v>2872</v>
      </c>
      <c r="B2290" s="1127">
        <v>197</v>
      </c>
      <c r="C2290" s="1128">
        <v>0</v>
      </c>
      <c r="D2290" s="1128">
        <v>111.62</v>
      </c>
      <c r="E2290" s="1126"/>
    </row>
    <row r="2291" spans="1:5" x14ac:dyDescent="0.2">
      <c r="A2291" s="1126" t="s">
        <v>2873</v>
      </c>
      <c r="B2291" s="1127">
        <v>205</v>
      </c>
      <c r="C2291" s="1128">
        <v>422.19</v>
      </c>
      <c r="D2291" s="1128">
        <v>563.1</v>
      </c>
      <c r="E2291" s="1126"/>
    </row>
    <row r="2292" spans="1:5" x14ac:dyDescent="0.2">
      <c r="A2292" s="1126" t="s">
        <v>2874</v>
      </c>
      <c r="B2292" s="1127">
        <v>157</v>
      </c>
      <c r="C2292" s="1128">
        <v>8.36</v>
      </c>
      <c r="D2292" s="1128">
        <v>116.28</v>
      </c>
      <c r="E2292" s="1126"/>
    </row>
    <row r="2293" spans="1:5" x14ac:dyDescent="0.2">
      <c r="A2293" s="1126" t="s">
        <v>2875</v>
      </c>
      <c r="B2293" s="1127">
        <v>362</v>
      </c>
      <c r="C2293" s="1128">
        <v>0</v>
      </c>
      <c r="D2293" s="1128">
        <v>99.25</v>
      </c>
      <c r="E2293" s="1126"/>
    </row>
    <row r="2294" spans="1:5" x14ac:dyDescent="0.2">
      <c r="A2294" s="1126" t="s">
        <v>2876</v>
      </c>
      <c r="B2294" s="1127">
        <v>221</v>
      </c>
      <c r="C2294" s="1128">
        <v>0</v>
      </c>
      <c r="D2294" s="1128">
        <v>64.400000000000006</v>
      </c>
      <c r="E2294" s="1126"/>
    </row>
    <row r="2295" spans="1:5" x14ac:dyDescent="0.2">
      <c r="A2295" s="1126" t="s">
        <v>2877</v>
      </c>
      <c r="B2295" s="1127">
        <v>243</v>
      </c>
      <c r="C2295" s="1128">
        <v>0</v>
      </c>
      <c r="D2295" s="1128">
        <v>109.46</v>
      </c>
      <c r="E2295" s="1126"/>
    </row>
    <row r="2296" spans="1:5" x14ac:dyDescent="0.2">
      <c r="A2296" s="1126" t="s">
        <v>2878</v>
      </c>
      <c r="B2296" s="1127">
        <v>203</v>
      </c>
      <c r="C2296" s="1128">
        <v>94.44</v>
      </c>
      <c r="D2296" s="1128">
        <v>233.98</v>
      </c>
      <c r="E2296" s="1126"/>
    </row>
    <row r="2297" spans="1:5" x14ac:dyDescent="0.2">
      <c r="A2297" s="1126" t="s">
        <v>2879</v>
      </c>
      <c r="B2297" s="1127">
        <v>144</v>
      </c>
      <c r="C2297" s="1128">
        <v>258.12</v>
      </c>
      <c r="D2297" s="1128">
        <v>357.1</v>
      </c>
      <c r="E2297" s="1126"/>
    </row>
    <row r="2298" spans="1:5" x14ac:dyDescent="0.2">
      <c r="A2298" s="1126" t="s">
        <v>2880</v>
      </c>
      <c r="B2298" s="1127">
        <v>80</v>
      </c>
      <c r="C2298" s="1128">
        <v>245.47</v>
      </c>
      <c r="D2298" s="1128">
        <v>300.45</v>
      </c>
      <c r="E2298" s="1126"/>
    </row>
    <row r="2299" spans="1:5" x14ac:dyDescent="0.2">
      <c r="A2299" s="1126" t="s">
        <v>2881</v>
      </c>
      <c r="B2299" s="1127">
        <v>269</v>
      </c>
      <c r="C2299" s="1128">
        <v>213.01</v>
      </c>
      <c r="D2299" s="1128">
        <v>397.91</v>
      </c>
      <c r="E2299" s="1126"/>
    </row>
    <row r="2300" spans="1:5" x14ac:dyDescent="0.2">
      <c r="A2300" s="1126" t="s">
        <v>2882</v>
      </c>
      <c r="B2300" s="1127">
        <v>231</v>
      </c>
      <c r="C2300" s="1128">
        <v>0</v>
      </c>
      <c r="D2300" s="1128">
        <v>124.41</v>
      </c>
      <c r="E2300" s="1126"/>
    </row>
    <row r="2301" spans="1:5" x14ac:dyDescent="0.2">
      <c r="A2301" s="1126" t="s">
        <v>2883</v>
      </c>
      <c r="B2301" s="1127">
        <v>297</v>
      </c>
      <c r="C2301" s="1128">
        <v>343.51</v>
      </c>
      <c r="D2301" s="1128">
        <v>547.66</v>
      </c>
      <c r="E2301" s="1126"/>
    </row>
    <row r="2302" spans="1:5" x14ac:dyDescent="0.2">
      <c r="A2302" s="1126" t="s">
        <v>2884</v>
      </c>
      <c r="B2302" s="1127">
        <v>248</v>
      </c>
      <c r="C2302" s="1128">
        <v>0</v>
      </c>
      <c r="D2302" s="1128">
        <v>89.57</v>
      </c>
      <c r="E2302" s="1126"/>
    </row>
    <row r="2303" spans="1:5" x14ac:dyDescent="0.2">
      <c r="A2303" s="1126" t="s">
        <v>2885</v>
      </c>
      <c r="B2303" s="1127">
        <v>199</v>
      </c>
      <c r="C2303" s="1128">
        <v>0</v>
      </c>
      <c r="D2303" s="1128">
        <v>67.08</v>
      </c>
      <c r="E2303" s="1126"/>
    </row>
    <row r="2304" spans="1:5" x14ac:dyDescent="0.2">
      <c r="A2304" s="1126" t="s">
        <v>2886</v>
      </c>
      <c r="B2304" s="1127">
        <v>322</v>
      </c>
      <c r="C2304" s="1128">
        <v>0</v>
      </c>
      <c r="D2304" s="1128">
        <v>45.22</v>
      </c>
      <c r="E2304" s="1126"/>
    </row>
    <row r="2305" spans="1:5" x14ac:dyDescent="0.2">
      <c r="A2305" s="1126" t="s">
        <v>2887</v>
      </c>
      <c r="B2305" s="1127">
        <v>263</v>
      </c>
      <c r="C2305" s="1128">
        <v>0</v>
      </c>
      <c r="D2305" s="1128">
        <v>81.709999999999994</v>
      </c>
      <c r="E2305" s="1126"/>
    </row>
    <row r="2306" spans="1:5" x14ac:dyDescent="0.2">
      <c r="A2306" s="1126" t="s">
        <v>2888</v>
      </c>
      <c r="B2306" s="1127">
        <v>315</v>
      </c>
      <c r="C2306" s="1128">
        <v>0</v>
      </c>
      <c r="D2306" s="1128">
        <v>31.37</v>
      </c>
      <c r="E2306" s="1126"/>
    </row>
    <row r="2307" spans="1:5" x14ac:dyDescent="0.2">
      <c r="A2307" s="1126" t="s">
        <v>2889</v>
      </c>
      <c r="B2307" s="1127">
        <v>223</v>
      </c>
      <c r="C2307" s="1128">
        <v>0</v>
      </c>
      <c r="D2307" s="1128">
        <v>50.23</v>
      </c>
      <c r="E2307" s="1126"/>
    </row>
    <row r="2308" spans="1:5" x14ac:dyDescent="0.2">
      <c r="A2308" s="1126" t="s">
        <v>2890</v>
      </c>
      <c r="B2308" s="1127">
        <v>463</v>
      </c>
      <c r="C2308" s="1128">
        <v>0</v>
      </c>
      <c r="D2308" s="1128">
        <v>291.29000000000002</v>
      </c>
      <c r="E2308" s="1126"/>
    </row>
    <row r="2309" spans="1:5" x14ac:dyDescent="0.2">
      <c r="A2309" s="1126" t="s">
        <v>2891</v>
      </c>
      <c r="B2309" s="1127">
        <v>277</v>
      </c>
      <c r="C2309" s="1128">
        <v>0</v>
      </c>
      <c r="D2309" s="1128">
        <v>116.47</v>
      </c>
      <c r="E2309" s="1126"/>
    </row>
    <row r="2310" spans="1:5" x14ac:dyDescent="0.2">
      <c r="A2310" s="1126" t="s">
        <v>2892</v>
      </c>
      <c r="B2310" s="1127">
        <v>126</v>
      </c>
      <c r="C2310" s="1128">
        <v>226.12</v>
      </c>
      <c r="D2310" s="1128">
        <v>312.72000000000003</v>
      </c>
      <c r="E2310" s="1126"/>
    </row>
    <row r="2311" spans="1:5" x14ac:dyDescent="0.2">
      <c r="A2311" s="1126" t="s">
        <v>2893</v>
      </c>
      <c r="B2311" s="1127">
        <v>490</v>
      </c>
      <c r="C2311" s="1128">
        <v>0</v>
      </c>
      <c r="D2311" s="1128">
        <v>161.18</v>
      </c>
      <c r="E2311" s="1126"/>
    </row>
    <row r="2312" spans="1:5" x14ac:dyDescent="0.2">
      <c r="A2312" s="1126" t="s">
        <v>2894</v>
      </c>
      <c r="B2312" s="1127">
        <v>56</v>
      </c>
      <c r="C2312" s="1128">
        <v>0</v>
      </c>
      <c r="D2312" s="1128">
        <v>22.43</v>
      </c>
      <c r="E2312" s="1126"/>
    </row>
    <row r="2313" spans="1:5" x14ac:dyDescent="0.2">
      <c r="A2313" s="1126" t="s">
        <v>2895</v>
      </c>
      <c r="B2313" s="1127">
        <v>110</v>
      </c>
      <c r="C2313" s="1128">
        <v>0</v>
      </c>
      <c r="D2313" s="1128">
        <v>16.63</v>
      </c>
      <c r="E2313" s="1126"/>
    </row>
    <row r="2314" spans="1:5" x14ac:dyDescent="0.2">
      <c r="A2314" s="1126" t="s">
        <v>2896</v>
      </c>
      <c r="B2314" s="1127">
        <v>161</v>
      </c>
      <c r="C2314" s="1128">
        <v>0</v>
      </c>
      <c r="D2314" s="1128">
        <v>27.06</v>
      </c>
      <c r="E2314" s="1126"/>
    </row>
    <row r="2315" spans="1:5" x14ac:dyDescent="0.2">
      <c r="A2315" s="1126" t="s">
        <v>2897</v>
      </c>
      <c r="B2315" s="1127">
        <v>201</v>
      </c>
      <c r="C2315" s="1128">
        <v>0</v>
      </c>
      <c r="D2315" s="1128">
        <v>71.09</v>
      </c>
      <c r="E2315" s="1126"/>
    </row>
    <row r="2316" spans="1:5" x14ac:dyDescent="0.2">
      <c r="A2316" s="1126" t="s">
        <v>2898</v>
      </c>
      <c r="B2316" s="1127">
        <v>405</v>
      </c>
      <c r="C2316" s="1128">
        <v>0</v>
      </c>
      <c r="D2316" s="1128">
        <v>94.68</v>
      </c>
      <c r="E2316" s="1126"/>
    </row>
    <row r="2317" spans="1:5" x14ac:dyDescent="0.2">
      <c r="A2317" s="1126" t="s">
        <v>2899</v>
      </c>
      <c r="B2317" s="1127">
        <v>408</v>
      </c>
      <c r="C2317" s="1128">
        <v>0</v>
      </c>
      <c r="D2317" s="1128">
        <v>106.02</v>
      </c>
      <c r="E2317" s="1126"/>
    </row>
    <row r="2318" spans="1:5" x14ac:dyDescent="0.2">
      <c r="A2318" s="1126" t="s">
        <v>2900</v>
      </c>
      <c r="B2318" s="1127">
        <v>110</v>
      </c>
      <c r="C2318" s="1128">
        <v>119.01</v>
      </c>
      <c r="D2318" s="1128">
        <v>194.62</v>
      </c>
      <c r="E2318" s="1126"/>
    </row>
    <row r="2319" spans="1:5" x14ac:dyDescent="0.2">
      <c r="A2319" s="1126" t="s">
        <v>2901</v>
      </c>
      <c r="B2319" s="1127">
        <v>233</v>
      </c>
      <c r="C2319" s="1128">
        <v>0</v>
      </c>
      <c r="D2319" s="1128">
        <v>133.53</v>
      </c>
      <c r="E2319" s="1126"/>
    </row>
    <row r="2320" spans="1:5" x14ac:dyDescent="0.2">
      <c r="A2320" s="1126" t="s">
        <v>2902</v>
      </c>
      <c r="B2320" s="1127">
        <v>396</v>
      </c>
      <c r="C2320" s="1128">
        <v>0</v>
      </c>
      <c r="D2320" s="1128">
        <v>137.97</v>
      </c>
      <c r="E2320" s="1126"/>
    </row>
    <row r="2321" spans="1:5" x14ac:dyDescent="0.2">
      <c r="A2321" s="1126" t="s">
        <v>2903</v>
      </c>
      <c r="B2321" s="1127">
        <v>81</v>
      </c>
      <c r="C2321" s="1128">
        <v>1.29</v>
      </c>
      <c r="D2321" s="1128">
        <v>56.97</v>
      </c>
      <c r="E2321" s="1126"/>
    </row>
    <row r="2322" spans="1:5" x14ac:dyDescent="0.2">
      <c r="A2322" s="1126" t="s">
        <v>2904</v>
      </c>
      <c r="B2322" s="1127">
        <v>160</v>
      </c>
      <c r="C2322" s="1128">
        <v>0</v>
      </c>
      <c r="D2322" s="1128">
        <v>0</v>
      </c>
      <c r="E2322" s="1126"/>
    </row>
    <row r="2323" spans="1:5" x14ac:dyDescent="0.2">
      <c r="A2323" s="1126" t="s">
        <v>2905</v>
      </c>
      <c r="B2323" s="1127">
        <v>406</v>
      </c>
      <c r="C2323" s="1128">
        <v>0</v>
      </c>
      <c r="D2323" s="1128">
        <v>181.82</v>
      </c>
      <c r="E2323" s="1126"/>
    </row>
    <row r="2324" spans="1:5" x14ac:dyDescent="0.2">
      <c r="A2324" s="1126" t="s">
        <v>2906</v>
      </c>
      <c r="B2324" s="1127">
        <v>193</v>
      </c>
      <c r="C2324" s="1128">
        <v>23.94</v>
      </c>
      <c r="D2324" s="1128">
        <v>156.6</v>
      </c>
      <c r="E2324" s="1126"/>
    </row>
    <row r="2325" spans="1:5" x14ac:dyDescent="0.2">
      <c r="A2325" s="1126" t="s">
        <v>2907</v>
      </c>
      <c r="B2325" s="1127">
        <v>225</v>
      </c>
      <c r="C2325" s="1128">
        <v>0</v>
      </c>
      <c r="D2325" s="1128">
        <v>46.12</v>
      </c>
      <c r="E2325" s="1126"/>
    </row>
    <row r="2326" spans="1:5" x14ac:dyDescent="0.2">
      <c r="A2326" s="1126" t="s">
        <v>2908</v>
      </c>
      <c r="B2326" s="1127">
        <v>333</v>
      </c>
      <c r="C2326" s="1128">
        <v>0</v>
      </c>
      <c r="D2326" s="1128">
        <v>197.09</v>
      </c>
      <c r="E2326" s="1126"/>
    </row>
    <row r="2327" spans="1:5" x14ac:dyDescent="0.2">
      <c r="A2327" s="1126" t="s">
        <v>2909</v>
      </c>
      <c r="B2327" s="1127">
        <v>361</v>
      </c>
      <c r="C2327" s="1128">
        <v>0</v>
      </c>
      <c r="D2327" s="1128">
        <v>62.48</v>
      </c>
      <c r="E2327" s="1126"/>
    </row>
    <row r="2328" spans="1:5" x14ac:dyDescent="0.2">
      <c r="A2328" s="1126" t="s">
        <v>2910</v>
      </c>
      <c r="B2328" s="1127">
        <v>143</v>
      </c>
      <c r="C2328" s="1128">
        <v>0</v>
      </c>
      <c r="D2328" s="1128">
        <v>9.6999999999999993</v>
      </c>
      <c r="E2328" s="1126"/>
    </row>
    <row r="2329" spans="1:5" x14ac:dyDescent="0.2">
      <c r="A2329" s="1126" t="s">
        <v>2911</v>
      </c>
      <c r="B2329" s="1127">
        <v>216</v>
      </c>
      <c r="C2329" s="1128">
        <v>346.89</v>
      </c>
      <c r="D2329" s="1128">
        <v>495.36</v>
      </c>
      <c r="E2329" s="1126"/>
    </row>
    <row r="2330" spans="1:5" x14ac:dyDescent="0.2">
      <c r="A2330" s="1126" t="s">
        <v>2912</v>
      </c>
      <c r="B2330" s="1127">
        <v>225</v>
      </c>
      <c r="C2330" s="1128">
        <v>0</v>
      </c>
      <c r="D2330" s="1128">
        <v>151.63</v>
      </c>
      <c r="E2330" s="1126"/>
    </row>
    <row r="2331" spans="1:5" x14ac:dyDescent="0.2">
      <c r="A2331" s="1126" t="s">
        <v>2913</v>
      </c>
      <c r="B2331" s="1127">
        <v>142</v>
      </c>
      <c r="C2331" s="1128">
        <v>0</v>
      </c>
      <c r="D2331" s="1128">
        <v>68.83</v>
      </c>
      <c r="E2331" s="1126"/>
    </row>
    <row r="2332" spans="1:5" x14ac:dyDescent="0.2">
      <c r="A2332" s="1126" t="s">
        <v>2914</v>
      </c>
      <c r="B2332" s="1127">
        <v>185</v>
      </c>
      <c r="C2332" s="1128">
        <v>187.46</v>
      </c>
      <c r="D2332" s="1128">
        <v>314.62</v>
      </c>
      <c r="E2332" s="1126"/>
    </row>
    <row r="2333" spans="1:5" x14ac:dyDescent="0.2">
      <c r="A2333" s="1126" t="s">
        <v>2915</v>
      </c>
      <c r="B2333" s="1127">
        <v>216</v>
      </c>
      <c r="C2333" s="1128">
        <v>18.86</v>
      </c>
      <c r="D2333" s="1128">
        <v>167.33</v>
      </c>
      <c r="E2333" s="1126"/>
    </row>
    <row r="2334" spans="1:5" x14ac:dyDescent="0.2">
      <c r="A2334" s="1126" t="s">
        <v>2916</v>
      </c>
      <c r="B2334" s="1127">
        <v>237</v>
      </c>
      <c r="C2334" s="1128">
        <v>0</v>
      </c>
      <c r="D2334" s="1128">
        <v>120.82</v>
      </c>
      <c r="E2334" s="1126"/>
    </row>
    <row r="2335" spans="1:5" x14ac:dyDescent="0.2">
      <c r="A2335" s="1126" t="s">
        <v>2917</v>
      </c>
      <c r="B2335" s="1127">
        <v>191</v>
      </c>
      <c r="C2335" s="1128">
        <v>0</v>
      </c>
      <c r="D2335" s="1128">
        <v>119.01</v>
      </c>
      <c r="E2335" s="1126"/>
    </row>
    <row r="2336" spans="1:5" x14ac:dyDescent="0.2">
      <c r="A2336" s="1126" t="s">
        <v>2918</v>
      </c>
      <c r="B2336" s="1127">
        <v>370</v>
      </c>
      <c r="C2336" s="1128">
        <v>22.44</v>
      </c>
      <c r="D2336" s="1128">
        <v>276.77</v>
      </c>
      <c r="E2336" s="1126"/>
    </row>
    <row r="2337" spans="1:5" x14ac:dyDescent="0.2">
      <c r="A2337" s="1126" t="s">
        <v>2919</v>
      </c>
      <c r="B2337" s="1127">
        <v>109</v>
      </c>
      <c r="C2337" s="1128">
        <v>0</v>
      </c>
      <c r="D2337" s="1128">
        <v>46.37</v>
      </c>
      <c r="E2337" s="1126"/>
    </row>
    <row r="2338" spans="1:5" x14ac:dyDescent="0.2">
      <c r="A2338" s="1126" t="s">
        <v>2920</v>
      </c>
      <c r="B2338" s="1127">
        <v>222</v>
      </c>
      <c r="C2338" s="1128">
        <v>0</v>
      </c>
      <c r="D2338" s="1128">
        <v>89.46</v>
      </c>
      <c r="E2338" s="1126"/>
    </row>
    <row r="2339" spans="1:5" x14ac:dyDescent="0.2">
      <c r="A2339" s="1126" t="s">
        <v>2921</v>
      </c>
      <c r="B2339" s="1127">
        <v>341</v>
      </c>
      <c r="C2339" s="1128">
        <v>0</v>
      </c>
      <c r="D2339" s="1128">
        <v>84.56</v>
      </c>
      <c r="E2339" s="1126"/>
    </row>
    <row r="2340" spans="1:5" x14ac:dyDescent="0.2">
      <c r="A2340" s="1126" t="s">
        <v>2922</v>
      </c>
      <c r="B2340" s="1127">
        <v>188</v>
      </c>
      <c r="C2340" s="1128">
        <v>0</v>
      </c>
      <c r="D2340" s="1128">
        <v>8.91</v>
      </c>
      <c r="E2340" s="1126"/>
    </row>
    <row r="2341" spans="1:5" x14ac:dyDescent="0.2">
      <c r="A2341" s="1126" t="s">
        <v>2923</v>
      </c>
      <c r="B2341" s="1127">
        <v>158</v>
      </c>
      <c r="C2341" s="1128">
        <v>0</v>
      </c>
      <c r="D2341" s="1128">
        <v>85.34</v>
      </c>
      <c r="E2341" s="1126"/>
    </row>
    <row r="2342" spans="1:5" x14ac:dyDescent="0.2">
      <c r="A2342" s="1126" t="s">
        <v>2924</v>
      </c>
      <c r="B2342" s="1127">
        <v>216</v>
      </c>
      <c r="C2342" s="1128">
        <v>0</v>
      </c>
      <c r="D2342" s="1128">
        <v>66.23</v>
      </c>
      <c r="E2342" s="1126"/>
    </row>
    <row r="2343" spans="1:5" x14ac:dyDescent="0.2">
      <c r="A2343" s="1126" t="s">
        <v>2925</v>
      </c>
      <c r="B2343" s="1127">
        <v>277</v>
      </c>
      <c r="C2343" s="1128">
        <v>175.26</v>
      </c>
      <c r="D2343" s="1128">
        <v>365.66</v>
      </c>
      <c r="E2343" s="1126"/>
    </row>
    <row r="2344" spans="1:5" x14ac:dyDescent="0.2">
      <c r="A2344" s="1126" t="s">
        <v>2926</v>
      </c>
      <c r="B2344" s="1127">
        <v>208</v>
      </c>
      <c r="C2344" s="1128">
        <v>0</v>
      </c>
      <c r="D2344" s="1128">
        <v>66.349999999999994</v>
      </c>
      <c r="E2344" s="1126"/>
    </row>
    <row r="2345" spans="1:5" x14ac:dyDescent="0.2">
      <c r="A2345" s="1126" t="s">
        <v>2927</v>
      </c>
      <c r="B2345" s="1127">
        <v>331</v>
      </c>
      <c r="C2345" s="1128">
        <v>0</v>
      </c>
      <c r="D2345" s="1128">
        <v>132.74</v>
      </c>
      <c r="E2345" s="1126"/>
    </row>
    <row r="2346" spans="1:5" x14ac:dyDescent="0.2">
      <c r="A2346" s="1126" t="s">
        <v>2928</v>
      </c>
      <c r="B2346" s="1127">
        <v>175</v>
      </c>
      <c r="C2346" s="1128">
        <v>0</v>
      </c>
      <c r="D2346" s="1128">
        <v>76.069999999999993</v>
      </c>
      <c r="E2346" s="1126"/>
    </row>
    <row r="2347" spans="1:5" x14ac:dyDescent="0.2">
      <c r="A2347" s="1126" t="s">
        <v>2929</v>
      </c>
      <c r="B2347" s="1127">
        <v>178</v>
      </c>
      <c r="C2347" s="1128">
        <v>0</v>
      </c>
      <c r="D2347" s="1128">
        <v>37.06</v>
      </c>
      <c r="E2347" s="1126"/>
    </row>
    <row r="2348" spans="1:5" x14ac:dyDescent="0.2">
      <c r="A2348" s="1126" t="s">
        <v>2930</v>
      </c>
      <c r="B2348" s="1127">
        <v>82</v>
      </c>
      <c r="C2348" s="1128">
        <v>0</v>
      </c>
      <c r="D2348" s="1128">
        <v>0</v>
      </c>
      <c r="E2348" s="1126"/>
    </row>
    <row r="2349" spans="1:5" x14ac:dyDescent="0.2">
      <c r="A2349" s="1126" t="s">
        <v>2931</v>
      </c>
      <c r="B2349" s="1127">
        <v>92</v>
      </c>
      <c r="C2349" s="1128">
        <v>85.55</v>
      </c>
      <c r="D2349" s="1128">
        <v>148.79</v>
      </c>
      <c r="E2349" s="1126"/>
    </row>
    <row r="2350" spans="1:5" x14ac:dyDescent="0.2">
      <c r="A2350" s="1126" t="s">
        <v>2932</v>
      </c>
      <c r="B2350" s="1127">
        <v>243</v>
      </c>
      <c r="C2350" s="1128">
        <v>45.36</v>
      </c>
      <c r="D2350" s="1128">
        <v>212.39</v>
      </c>
      <c r="E2350" s="1126"/>
    </row>
    <row r="2351" spans="1:5" x14ac:dyDescent="0.2">
      <c r="A2351" s="1126" t="s">
        <v>2933</v>
      </c>
      <c r="B2351" s="1127">
        <v>211</v>
      </c>
      <c r="C2351" s="1128">
        <v>0</v>
      </c>
      <c r="D2351" s="1128">
        <v>25.4</v>
      </c>
      <c r="E2351" s="1126"/>
    </row>
    <row r="2352" spans="1:5" x14ac:dyDescent="0.2">
      <c r="A2352" s="1126" t="s">
        <v>2934</v>
      </c>
      <c r="B2352" s="1127">
        <v>120</v>
      </c>
      <c r="C2352" s="1128">
        <v>0</v>
      </c>
      <c r="D2352" s="1128">
        <v>0</v>
      </c>
      <c r="E2352" s="1126"/>
    </row>
    <row r="2353" spans="1:5" x14ac:dyDescent="0.2">
      <c r="A2353" s="1126" t="s">
        <v>2935</v>
      </c>
      <c r="B2353" s="1127">
        <v>124</v>
      </c>
      <c r="C2353" s="1128">
        <v>31.64</v>
      </c>
      <c r="D2353" s="1128">
        <v>116.87</v>
      </c>
      <c r="E2353" s="1126"/>
    </row>
    <row r="2354" spans="1:5" x14ac:dyDescent="0.2">
      <c r="A2354" s="1126" t="s">
        <v>2936</v>
      </c>
      <c r="B2354" s="1127">
        <v>134</v>
      </c>
      <c r="C2354" s="1128">
        <v>29.29</v>
      </c>
      <c r="D2354" s="1128">
        <v>121.4</v>
      </c>
      <c r="E2354" s="1126"/>
    </row>
    <row r="2355" spans="1:5" x14ac:dyDescent="0.2">
      <c r="A2355" s="1126" t="s">
        <v>2937</v>
      </c>
      <c r="B2355" s="1127">
        <v>129</v>
      </c>
      <c r="C2355" s="1128">
        <v>0</v>
      </c>
      <c r="D2355" s="1128">
        <v>66.959999999999994</v>
      </c>
      <c r="E2355" s="1126"/>
    </row>
    <row r="2356" spans="1:5" x14ac:dyDescent="0.2">
      <c r="A2356" s="1126" t="s">
        <v>2938</v>
      </c>
      <c r="B2356" s="1127">
        <v>231</v>
      </c>
      <c r="C2356" s="1128">
        <v>0</v>
      </c>
      <c r="D2356" s="1128">
        <v>149.78</v>
      </c>
      <c r="E2356" s="1126"/>
    </row>
    <row r="2357" spans="1:5" x14ac:dyDescent="0.2">
      <c r="A2357" s="1126" t="s">
        <v>2939</v>
      </c>
      <c r="B2357" s="1127">
        <v>343</v>
      </c>
      <c r="C2357" s="1128">
        <v>328.8</v>
      </c>
      <c r="D2357" s="1128">
        <v>564.55999999999995</v>
      </c>
      <c r="E2357" s="1126"/>
    </row>
    <row r="2358" spans="1:5" x14ac:dyDescent="0.2">
      <c r="A2358" s="1126" t="s">
        <v>2940</v>
      </c>
      <c r="B2358" s="1127">
        <v>268</v>
      </c>
      <c r="C2358" s="1128">
        <v>59.59</v>
      </c>
      <c r="D2358" s="1128">
        <v>243.8</v>
      </c>
      <c r="E2358" s="1126"/>
    </row>
    <row r="2359" spans="1:5" x14ac:dyDescent="0.2">
      <c r="A2359" s="1126" t="s">
        <v>2941</v>
      </c>
      <c r="B2359" s="1127">
        <v>211</v>
      </c>
      <c r="C2359" s="1128">
        <v>0</v>
      </c>
      <c r="D2359" s="1128">
        <v>87.91</v>
      </c>
      <c r="E2359" s="1126"/>
    </row>
    <row r="2360" spans="1:5" x14ac:dyDescent="0.2">
      <c r="A2360" s="1126" t="s">
        <v>2942</v>
      </c>
      <c r="B2360" s="1127">
        <v>265</v>
      </c>
      <c r="C2360" s="1128">
        <v>0</v>
      </c>
      <c r="D2360" s="1128">
        <v>140.66999999999999</v>
      </c>
      <c r="E2360" s="1126"/>
    </row>
    <row r="2361" spans="1:5" x14ac:dyDescent="0.2">
      <c r="A2361" s="1126" t="s">
        <v>2943</v>
      </c>
      <c r="B2361" s="1127">
        <v>178</v>
      </c>
      <c r="C2361" s="1128">
        <v>21.83</v>
      </c>
      <c r="D2361" s="1128">
        <v>144.18</v>
      </c>
      <c r="E2361" s="1126"/>
    </row>
    <row r="2362" spans="1:5" x14ac:dyDescent="0.2">
      <c r="A2362" s="1126" t="s">
        <v>2944</v>
      </c>
      <c r="B2362" s="1127">
        <v>193</v>
      </c>
      <c r="C2362" s="1128">
        <v>11.73</v>
      </c>
      <c r="D2362" s="1128">
        <v>144.38999999999999</v>
      </c>
      <c r="E2362" s="1126"/>
    </row>
    <row r="2363" spans="1:5" x14ac:dyDescent="0.2">
      <c r="A2363" s="1126" t="s">
        <v>2945</v>
      </c>
      <c r="B2363" s="1127">
        <v>437</v>
      </c>
      <c r="C2363" s="1128">
        <v>0</v>
      </c>
      <c r="D2363" s="1128">
        <v>77.89</v>
      </c>
      <c r="E2363" s="1126"/>
    </row>
    <row r="2364" spans="1:5" x14ac:dyDescent="0.2">
      <c r="A2364" s="1126" t="s">
        <v>2946</v>
      </c>
      <c r="B2364" s="1127">
        <v>216</v>
      </c>
      <c r="C2364" s="1128">
        <v>0</v>
      </c>
      <c r="D2364" s="1128">
        <v>32.200000000000003</v>
      </c>
      <c r="E2364" s="1126"/>
    </row>
    <row r="2365" spans="1:5" x14ac:dyDescent="0.2">
      <c r="A2365" s="1126" t="s">
        <v>2947</v>
      </c>
      <c r="B2365" s="1127">
        <v>549</v>
      </c>
      <c r="C2365" s="1128">
        <v>0</v>
      </c>
      <c r="D2365" s="1128">
        <v>18.850000000000001</v>
      </c>
      <c r="E2365" s="1126"/>
    </row>
    <row r="2366" spans="1:5" x14ac:dyDescent="0.2">
      <c r="A2366" s="1126" t="s">
        <v>2948</v>
      </c>
      <c r="B2366" s="1127">
        <v>455</v>
      </c>
      <c r="C2366" s="1128">
        <v>0</v>
      </c>
      <c r="D2366" s="1128">
        <v>24.01</v>
      </c>
      <c r="E2366" s="1126"/>
    </row>
    <row r="2367" spans="1:5" x14ac:dyDescent="0.2">
      <c r="A2367" s="1126" t="s">
        <v>2949</v>
      </c>
      <c r="B2367" s="1127">
        <v>234</v>
      </c>
      <c r="C2367" s="1128">
        <v>0</v>
      </c>
      <c r="D2367" s="1128">
        <v>90.99</v>
      </c>
      <c r="E2367" s="1126"/>
    </row>
    <row r="2368" spans="1:5" x14ac:dyDescent="0.2">
      <c r="A2368" s="1126" t="s">
        <v>2950</v>
      </c>
      <c r="B2368" s="1127">
        <v>384</v>
      </c>
      <c r="C2368" s="1128">
        <v>0</v>
      </c>
      <c r="D2368" s="1128">
        <v>237.28</v>
      </c>
      <c r="E2368" s="1126"/>
    </row>
    <row r="2369" spans="1:5" x14ac:dyDescent="0.2">
      <c r="A2369" s="1126" t="s">
        <v>2951</v>
      </c>
      <c r="B2369" s="1127">
        <v>45</v>
      </c>
      <c r="C2369" s="1128">
        <v>2.2599999999999998</v>
      </c>
      <c r="D2369" s="1128">
        <v>33.19</v>
      </c>
      <c r="E2369" s="1126"/>
    </row>
    <row r="2370" spans="1:5" x14ac:dyDescent="0.2">
      <c r="A2370" s="1126" t="s">
        <v>2952</v>
      </c>
      <c r="B2370" s="1127">
        <v>116</v>
      </c>
      <c r="C2370" s="1128">
        <v>97.42</v>
      </c>
      <c r="D2370" s="1128">
        <v>177.16</v>
      </c>
      <c r="E2370" s="1126"/>
    </row>
    <row r="2371" spans="1:5" x14ac:dyDescent="0.2">
      <c r="A2371" s="1126" t="s">
        <v>2953</v>
      </c>
      <c r="B2371" s="1127">
        <v>40</v>
      </c>
      <c r="C2371" s="1128">
        <v>0</v>
      </c>
      <c r="D2371" s="1128">
        <v>15.59</v>
      </c>
      <c r="E2371" s="1126" t="s">
        <v>669</v>
      </c>
    </row>
    <row r="2372" spans="1:5" x14ac:dyDescent="0.2">
      <c r="A2372" s="1126" t="s">
        <v>2954</v>
      </c>
      <c r="B2372" s="1127">
        <v>151</v>
      </c>
      <c r="C2372" s="1128">
        <v>110.51</v>
      </c>
      <c r="D2372" s="1128">
        <v>214.3</v>
      </c>
      <c r="E2372" s="1126"/>
    </row>
    <row r="2373" spans="1:5" x14ac:dyDescent="0.2">
      <c r="A2373" s="1126" t="s">
        <v>2955</v>
      </c>
      <c r="B2373" s="1127">
        <v>202</v>
      </c>
      <c r="C2373" s="1128">
        <v>0</v>
      </c>
      <c r="D2373" s="1128">
        <v>113.62</v>
      </c>
      <c r="E2373" s="1126"/>
    </row>
    <row r="2374" spans="1:5" x14ac:dyDescent="0.2">
      <c r="A2374" s="1126" t="s">
        <v>2956</v>
      </c>
      <c r="B2374" s="1127">
        <v>324</v>
      </c>
      <c r="C2374" s="1128">
        <v>0</v>
      </c>
      <c r="D2374" s="1128">
        <v>154.06</v>
      </c>
      <c r="E2374" s="1126"/>
    </row>
    <row r="2375" spans="1:5" x14ac:dyDescent="0.2">
      <c r="A2375" s="1126" t="s">
        <v>2957</v>
      </c>
      <c r="B2375" s="1127">
        <v>87</v>
      </c>
      <c r="C2375" s="1128">
        <v>60.5</v>
      </c>
      <c r="D2375" s="1128">
        <v>120.3</v>
      </c>
      <c r="E2375" s="1126"/>
    </row>
    <row r="2376" spans="1:5" x14ac:dyDescent="0.2">
      <c r="A2376" s="1126" t="s">
        <v>2958</v>
      </c>
      <c r="B2376" s="1127">
        <v>178</v>
      </c>
      <c r="C2376" s="1128">
        <v>69.38</v>
      </c>
      <c r="D2376" s="1128">
        <v>191.73</v>
      </c>
      <c r="E2376" s="1126"/>
    </row>
    <row r="2377" spans="1:5" x14ac:dyDescent="0.2">
      <c r="A2377" s="1126" t="s">
        <v>2959</v>
      </c>
      <c r="B2377" s="1127">
        <v>51</v>
      </c>
      <c r="C2377" s="1128">
        <v>23.96</v>
      </c>
      <c r="D2377" s="1128">
        <v>59.02</v>
      </c>
      <c r="E2377" s="1126"/>
    </row>
    <row r="2378" spans="1:5" x14ac:dyDescent="0.2">
      <c r="A2378" s="1126" t="s">
        <v>2960</v>
      </c>
      <c r="B2378" s="1127">
        <v>169</v>
      </c>
      <c r="C2378" s="1128">
        <v>0</v>
      </c>
      <c r="D2378" s="1128">
        <v>72.92</v>
      </c>
      <c r="E2378" s="1126"/>
    </row>
    <row r="2379" spans="1:5" x14ac:dyDescent="0.2">
      <c r="A2379" s="1126" t="s">
        <v>2961</v>
      </c>
      <c r="B2379" s="1127">
        <v>32</v>
      </c>
      <c r="C2379" s="1128">
        <v>8.69</v>
      </c>
      <c r="D2379" s="1128">
        <v>30.69</v>
      </c>
      <c r="E2379" s="1126" t="s">
        <v>669</v>
      </c>
    </row>
    <row r="2380" spans="1:5" x14ac:dyDescent="0.2">
      <c r="A2380" s="1126" t="s">
        <v>2962</v>
      </c>
      <c r="B2380" s="1127">
        <v>67</v>
      </c>
      <c r="C2380" s="1128">
        <v>12.22</v>
      </c>
      <c r="D2380" s="1128">
        <v>58.27</v>
      </c>
      <c r="E2380" s="1126"/>
    </row>
    <row r="2381" spans="1:5" x14ac:dyDescent="0.2">
      <c r="A2381" s="1126" t="s">
        <v>2963</v>
      </c>
      <c r="B2381" s="1127">
        <v>100</v>
      </c>
      <c r="C2381" s="1128">
        <v>119.75</v>
      </c>
      <c r="D2381" s="1128">
        <v>188.49</v>
      </c>
      <c r="E2381" s="1126"/>
    </row>
    <row r="2382" spans="1:5" x14ac:dyDescent="0.2">
      <c r="A2382" s="1126" t="s">
        <v>2964</v>
      </c>
      <c r="B2382" s="1127">
        <v>122</v>
      </c>
      <c r="C2382" s="1128">
        <v>60.95</v>
      </c>
      <c r="D2382" s="1128">
        <v>144.81</v>
      </c>
      <c r="E2382" s="1126"/>
    </row>
    <row r="2383" spans="1:5" x14ac:dyDescent="0.2">
      <c r="A2383" s="1126" t="s">
        <v>2965</v>
      </c>
      <c r="B2383" s="1127">
        <v>65</v>
      </c>
      <c r="C2383" s="1128">
        <v>22.39</v>
      </c>
      <c r="D2383" s="1128">
        <v>67.069999999999993</v>
      </c>
      <c r="E2383" s="1126"/>
    </row>
    <row r="2384" spans="1:5" x14ac:dyDescent="0.2">
      <c r="A2384" s="1126" t="s">
        <v>2966</v>
      </c>
      <c r="B2384" s="1127">
        <v>79</v>
      </c>
      <c r="C2384" s="1128">
        <v>0</v>
      </c>
      <c r="D2384" s="1128">
        <v>4.93</v>
      </c>
      <c r="E2384" s="1126"/>
    </row>
    <row r="2385" spans="1:5" x14ac:dyDescent="0.2">
      <c r="A2385" s="1126" t="s">
        <v>2967</v>
      </c>
      <c r="B2385" s="1127">
        <v>244</v>
      </c>
      <c r="C2385" s="1128">
        <v>0</v>
      </c>
      <c r="D2385" s="1128">
        <v>100.91</v>
      </c>
      <c r="E2385" s="1126"/>
    </row>
    <row r="2386" spans="1:5" x14ac:dyDescent="0.2">
      <c r="A2386" s="1126" t="s">
        <v>2968</v>
      </c>
      <c r="B2386" s="1127">
        <v>232</v>
      </c>
      <c r="C2386" s="1128">
        <v>27.7</v>
      </c>
      <c r="D2386" s="1128">
        <v>187.17</v>
      </c>
      <c r="E2386" s="1126"/>
    </row>
    <row r="2387" spans="1:5" x14ac:dyDescent="0.2">
      <c r="A2387" s="1126" t="s">
        <v>2969</v>
      </c>
      <c r="B2387" s="1127">
        <v>97</v>
      </c>
      <c r="C2387" s="1128">
        <v>0</v>
      </c>
      <c r="D2387" s="1128">
        <v>59.18</v>
      </c>
      <c r="E2387" s="1126"/>
    </row>
    <row r="2388" spans="1:5" x14ac:dyDescent="0.2">
      <c r="A2388" s="1126" t="s">
        <v>2970</v>
      </c>
      <c r="B2388" s="1127">
        <v>253</v>
      </c>
      <c r="C2388" s="1128">
        <v>37.119999999999997</v>
      </c>
      <c r="D2388" s="1128">
        <v>211.02</v>
      </c>
      <c r="E2388" s="1126"/>
    </row>
    <row r="2389" spans="1:5" x14ac:dyDescent="0.2">
      <c r="A2389" s="1126" t="s">
        <v>2971</v>
      </c>
      <c r="B2389" s="1127">
        <v>153</v>
      </c>
      <c r="C2389" s="1128">
        <v>0</v>
      </c>
      <c r="D2389" s="1128">
        <v>15.47</v>
      </c>
      <c r="E2389" s="1126"/>
    </row>
    <row r="2390" spans="1:5" x14ac:dyDescent="0.2">
      <c r="A2390" s="1126" t="s">
        <v>2972</v>
      </c>
      <c r="B2390" s="1127">
        <v>154</v>
      </c>
      <c r="C2390" s="1128">
        <v>57.52</v>
      </c>
      <c r="D2390" s="1128">
        <v>163.37</v>
      </c>
      <c r="E2390" s="1126"/>
    </row>
    <row r="2391" spans="1:5" x14ac:dyDescent="0.2">
      <c r="A2391" s="1126" t="s">
        <v>2973</v>
      </c>
      <c r="B2391" s="1127">
        <v>93</v>
      </c>
      <c r="C2391" s="1128">
        <v>0</v>
      </c>
      <c r="D2391" s="1128">
        <v>9.76</v>
      </c>
      <c r="E2391" s="1126"/>
    </row>
    <row r="2392" spans="1:5" x14ac:dyDescent="0.2">
      <c r="A2392" s="1126" t="s">
        <v>2974</v>
      </c>
      <c r="B2392" s="1127">
        <v>30</v>
      </c>
      <c r="C2392" s="1128">
        <v>18.11</v>
      </c>
      <c r="D2392" s="1128">
        <v>38.729999999999997</v>
      </c>
      <c r="E2392" s="1126" t="s">
        <v>669</v>
      </c>
    </row>
    <row r="2393" spans="1:5" x14ac:dyDescent="0.2">
      <c r="A2393" s="1126" t="s">
        <v>2975</v>
      </c>
      <c r="B2393" s="1127">
        <v>69</v>
      </c>
      <c r="C2393" s="1128">
        <v>10.09</v>
      </c>
      <c r="D2393" s="1128">
        <v>57.51</v>
      </c>
      <c r="E2393" s="1126"/>
    </row>
    <row r="2394" spans="1:5" x14ac:dyDescent="0.2">
      <c r="A2394" s="1126" t="s">
        <v>2976</v>
      </c>
      <c r="B2394" s="1127">
        <v>21</v>
      </c>
      <c r="C2394" s="1128">
        <v>0</v>
      </c>
      <c r="D2394" s="1128">
        <v>9.73</v>
      </c>
      <c r="E2394" s="1126" t="s">
        <v>669</v>
      </c>
    </row>
    <row r="2395" spans="1:5" x14ac:dyDescent="0.2">
      <c r="A2395" s="1126" t="s">
        <v>2977</v>
      </c>
      <c r="B2395" s="1127">
        <v>81</v>
      </c>
      <c r="C2395" s="1128">
        <v>16.88</v>
      </c>
      <c r="D2395" s="1128">
        <v>72.55</v>
      </c>
      <c r="E2395" s="1126"/>
    </row>
    <row r="2396" spans="1:5" x14ac:dyDescent="0.2">
      <c r="A2396" s="1126" t="s">
        <v>2978</v>
      </c>
      <c r="B2396" s="1127">
        <v>216</v>
      </c>
      <c r="C2396" s="1128">
        <v>0</v>
      </c>
      <c r="D2396" s="1128">
        <v>69.11</v>
      </c>
      <c r="E2396" s="1126"/>
    </row>
    <row r="2397" spans="1:5" x14ac:dyDescent="0.2">
      <c r="A2397" s="1126" t="s">
        <v>2979</v>
      </c>
      <c r="B2397" s="1127">
        <v>119</v>
      </c>
      <c r="C2397" s="1128">
        <v>57.48</v>
      </c>
      <c r="D2397" s="1128">
        <v>139.27000000000001</v>
      </c>
      <c r="E2397" s="1126"/>
    </row>
    <row r="2398" spans="1:5" x14ac:dyDescent="0.2">
      <c r="A2398" s="1126" t="s">
        <v>2980</v>
      </c>
      <c r="B2398" s="1127">
        <v>429</v>
      </c>
      <c r="C2398" s="1128">
        <v>2.78</v>
      </c>
      <c r="D2398" s="1128">
        <v>297.66000000000003</v>
      </c>
      <c r="E2398" s="1126"/>
    </row>
    <row r="2399" spans="1:5" x14ac:dyDescent="0.2">
      <c r="A2399" s="1126" t="s">
        <v>2981</v>
      </c>
      <c r="B2399" s="1127">
        <v>398</v>
      </c>
      <c r="C2399" s="1128">
        <v>13.07</v>
      </c>
      <c r="D2399" s="1128">
        <v>286.64</v>
      </c>
      <c r="E2399" s="1126"/>
    </row>
    <row r="2400" spans="1:5" x14ac:dyDescent="0.2">
      <c r="A2400" s="1126" t="s">
        <v>2982</v>
      </c>
      <c r="B2400" s="1127">
        <v>297</v>
      </c>
      <c r="C2400" s="1128">
        <v>0</v>
      </c>
      <c r="D2400" s="1128">
        <v>71.97</v>
      </c>
      <c r="E2400" s="1126"/>
    </row>
    <row r="2401" spans="1:5" x14ac:dyDescent="0.2">
      <c r="A2401" s="1126" t="s">
        <v>2983</v>
      </c>
      <c r="B2401" s="1127">
        <v>216</v>
      </c>
      <c r="C2401" s="1128">
        <v>0</v>
      </c>
      <c r="D2401" s="1128">
        <v>49.47</v>
      </c>
      <c r="E2401" s="1126"/>
    </row>
    <row r="2402" spans="1:5" x14ac:dyDescent="0.2">
      <c r="A2402" s="1126" t="s">
        <v>2984</v>
      </c>
      <c r="B2402" s="1127">
        <v>238</v>
      </c>
      <c r="C2402" s="1128">
        <v>0</v>
      </c>
      <c r="D2402" s="1128">
        <v>59.08</v>
      </c>
      <c r="E2402" s="1126"/>
    </row>
    <row r="2403" spans="1:5" x14ac:dyDescent="0.2">
      <c r="A2403" s="1126" t="s">
        <v>2985</v>
      </c>
      <c r="B2403" s="1127">
        <v>194</v>
      </c>
      <c r="C2403" s="1128">
        <v>8.86</v>
      </c>
      <c r="D2403" s="1128">
        <v>142.21</v>
      </c>
      <c r="E2403" s="1126"/>
    </row>
    <row r="2404" spans="1:5" x14ac:dyDescent="0.2">
      <c r="A2404" s="1126" t="s">
        <v>2986</v>
      </c>
      <c r="B2404" s="1127">
        <v>517</v>
      </c>
      <c r="C2404" s="1128">
        <v>101.17</v>
      </c>
      <c r="D2404" s="1128">
        <v>456.54</v>
      </c>
      <c r="E2404" s="1126"/>
    </row>
    <row r="2405" spans="1:5" x14ac:dyDescent="0.2">
      <c r="A2405" s="1126" t="s">
        <v>2987</v>
      </c>
      <c r="B2405" s="1127">
        <v>91</v>
      </c>
      <c r="C2405" s="1128">
        <v>0</v>
      </c>
      <c r="D2405" s="1128">
        <v>54.45</v>
      </c>
      <c r="E2405" s="1126"/>
    </row>
    <row r="2406" spans="1:5" x14ac:dyDescent="0.2">
      <c r="A2406" s="1126" t="s">
        <v>2988</v>
      </c>
      <c r="B2406" s="1127">
        <v>168</v>
      </c>
      <c r="C2406" s="1128">
        <v>565.42999999999995</v>
      </c>
      <c r="D2406" s="1128">
        <v>680.9</v>
      </c>
      <c r="E2406" s="1126"/>
    </row>
    <row r="2407" spans="1:5" x14ac:dyDescent="0.2">
      <c r="A2407" s="1126" t="s">
        <v>2989</v>
      </c>
      <c r="B2407" s="1127">
        <v>162</v>
      </c>
      <c r="C2407" s="1128">
        <v>0</v>
      </c>
      <c r="D2407" s="1128">
        <v>63.34</v>
      </c>
      <c r="E2407" s="1126"/>
    </row>
    <row r="2408" spans="1:5" x14ac:dyDescent="0.2">
      <c r="A2408" s="1126" t="s">
        <v>2990</v>
      </c>
      <c r="B2408" s="1127">
        <v>33</v>
      </c>
      <c r="C2408" s="1128">
        <v>0</v>
      </c>
      <c r="D2408" s="1128">
        <v>9.4</v>
      </c>
      <c r="E2408" s="1126" t="s">
        <v>669</v>
      </c>
    </row>
    <row r="2409" spans="1:5" x14ac:dyDescent="0.2">
      <c r="A2409" s="1126" t="s">
        <v>2991</v>
      </c>
      <c r="B2409" s="1127">
        <v>93</v>
      </c>
      <c r="C2409" s="1128">
        <v>190.86</v>
      </c>
      <c r="D2409" s="1128">
        <v>254.78</v>
      </c>
      <c r="E2409" s="1126"/>
    </row>
    <row r="2410" spans="1:5" x14ac:dyDescent="0.2">
      <c r="A2410" s="1126" t="s">
        <v>2992</v>
      </c>
      <c r="B2410" s="1127">
        <v>45</v>
      </c>
      <c r="C2410" s="1128">
        <v>0</v>
      </c>
      <c r="D2410" s="1128">
        <v>14.03</v>
      </c>
      <c r="E2410" s="1126"/>
    </row>
    <row r="2411" spans="1:5" x14ac:dyDescent="0.2">
      <c r="A2411" s="1126" t="s">
        <v>2993</v>
      </c>
      <c r="B2411" s="1127">
        <v>184</v>
      </c>
      <c r="C2411" s="1128">
        <v>0</v>
      </c>
      <c r="D2411" s="1128">
        <v>59.83</v>
      </c>
      <c r="E2411" s="1126"/>
    </row>
    <row r="2412" spans="1:5" x14ac:dyDescent="0.2">
      <c r="A2412" s="1126" t="s">
        <v>2994</v>
      </c>
      <c r="B2412" s="1127">
        <v>31</v>
      </c>
      <c r="C2412" s="1128">
        <v>0</v>
      </c>
      <c r="D2412" s="1128">
        <v>5.43</v>
      </c>
      <c r="E2412" s="1126" t="s">
        <v>669</v>
      </c>
    </row>
    <row r="2413" spans="1:5" x14ac:dyDescent="0.2">
      <c r="A2413" s="1126" t="s">
        <v>2995</v>
      </c>
      <c r="B2413" s="1127">
        <v>98</v>
      </c>
      <c r="C2413" s="1128">
        <v>0</v>
      </c>
      <c r="D2413" s="1128">
        <v>30.49</v>
      </c>
      <c r="E2413" s="1126"/>
    </row>
    <row r="2414" spans="1:5" x14ac:dyDescent="0.2">
      <c r="A2414" s="1126" t="s">
        <v>2996</v>
      </c>
      <c r="B2414" s="1127">
        <v>116</v>
      </c>
      <c r="C2414" s="1128">
        <v>222.95</v>
      </c>
      <c r="D2414" s="1128">
        <v>302.68</v>
      </c>
      <c r="E2414" s="1126"/>
    </row>
    <row r="2415" spans="1:5" x14ac:dyDescent="0.2">
      <c r="A2415" s="1126" t="s">
        <v>2997</v>
      </c>
      <c r="B2415" s="1127">
        <v>104</v>
      </c>
      <c r="C2415" s="1128">
        <v>0</v>
      </c>
      <c r="D2415" s="1128">
        <v>21.76</v>
      </c>
      <c r="E2415" s="1126"/>
    </row>
    <row r="2416" spans="1:5" x14ac:dyDescent="0.2">
      <c r="A2416" s="1126" t="s">
        <v>2998</v>
      </c>
      <c r="B2416" s="1127">
        <v>54</v>
      </c>
      <c r="C2416" s="1128">
        <v>0</v>
      </c>
      <c r="D2416" s="1128">
        <v>36.11</v>
      </c>
      <c r="E2416" s="1126"/>
    </row>
    <row r="2417" spans="1:5" x14ac:dyDescent="0.2">
      <c r="A2417" s="1126" t="s">
        <v>2999</v>
      </c>
      <c r="B2417" s="1127">
        <v>32</v>
      </c>
      <c r="C2417" s="1128">
        <v>0</v>
      </c>
      <c r="D2417" s="1128">
        <v>5.32</v>
      </c>
      <c r="E2417" s="1126" t="s">
        <v>669</v>
      </c>
    </row>
    <row r="2418" spans="1:5" x14ac:dyDescent="0.2">
      <c r="A2418" s="1126" t="s">
        <v>3000</v>
      </c>
      <c r="B2418" s="1127">
        <v>359</v>
      </c>
      <c r="C2418" s="1128">
        <v>0</v>
      </c>
      <c r="D2418" s="1128">
        <v>113.23</v>
      </c>
      <c r="E2418" s="1126"/>
    </row>
    <row r="2419" spans="1:5" x14ac:dyDescent="0.2">
      <c r="A2419" s="1126" t="s">
        <v>3001</v>
      </c>
      <c r="B2419" s="1127">
        <v>149</v>
      </c>
      <c r="C2419" s="1128">
        <v>105.22</v>
      </c>
      <c r="D2419" s="1128">
        <v>207.64</v>
      </c>
      <c r="E2419" s="1126"/>
    </row>
    <row r="2420" spans="1:5" x14ac:dyDescent="0.2">
      <c r="A2420" s="1126" t="s">
        <v>3002</v>
      </c>
      <c r="B2420" s="1127">
        <v>196</v>
      </c>
      <c r="C2420" s="1128">
        <v>0</v>
      </c>
      <c r="D2420" s="1128">
        <v>121.56</v>
      </c>
      <c r="E2420" s="1126"/>
    </row>
    <row r="2421" spans="1:5" x14ac:dyDescent="0.2">
      <c r="A2421" s="1126" t="s">
        <v>3003</v>
      </c>
      <c r="B2421" s="1127">
        <v>104</v>
      </c>
      <c r="C2421" s="1128">
        <v>0</v>
      </c>
      <c r="D2421" s="1128">
        <v>51</v>
      </c>
      <c r="E2421" s="1126"/>
    </row>
    <row r="2422" spans="1:5" x14ac:dyDescent="0.2">
      <c r="A2422" s="1126" t="s">
        <v>3004</v>
      </c>
      <c r="B2422" s="1127">
        <v>483</v>
      </c>
      <c r="C2422" s="1128">
        <v>0</v>
      </c>
      <c r="D2422" s="1128">
        <v>93.65</v>
      </c>
      <c r="E2422" s="1126"/>
    </row>
    <row r="2423" spans="1:5" x14ac:dyDescent="0.2">
      <c r="A2423" s="1126" t="s">
        <v>3005</v>
      </c>
      <c r="B2423" s="1127">
        <v>105</v>
      </c>
      <c r="C2423" s="1128">
        <v>10.85</v>
      </c>
      <c r="D2423" s="1128">
        <v>83.03</v>
      </c>
      <c r="E2423" s="1126"/>
    </row>
    <row r="2424" spans="1:5" x14ac:dyDescent="0.2">
      <c r="A2424" s="1126" t="s">
        <v>3006</v>
      </c>
      <c r="B2424" s="1127">
        <v>195</v>
      </c>
      <c r="C2424" s="1128">
        <v>0</v>
      </c>
      <c r="D2424" s="1128">
        <v>19.78</v>
      </c>
      <c r="E2424" s="1126"/>
    </row>
    <row r="2425" spans="1:5" x14ac:dyDescent="0.2">
      <c r="A2425" s="1126" t="s">
        <v>3007</v>
      </c>
      <c r="B2425" s="1127">
        <v>327</v>
      </c>
      <c r="C2425" s="1128">
        <v>0</v>
      </c>
      <c r="D2425" s="1128">
        <v>59.97</v>
      </c>
      <c r="E2425" s="1126"/>
    </row>
    <row r="2426" spans="1:5" x14ac:dyDescent="0.2">
      <c r="A2426" s="1126" t="s">
        <v>3008</v>
      </c>
      <c r="B2426" s="1127">
        <v>470</v>
      </c>
      <c r="C2426" s="1128">
        <v>0</v>
      </c>
      <c r="D2426" s="1128">
        <v>122.63</v>
      </c>
      <c r="E2426" s="1126"/>
    </row>
    <row r="2427" spans="1:5" x14ac:dyDescent="0.2">
      <c r="A2427" s="1126" t="s">
        <v>3009</v>
      </c>
      <c r="B2427" s="1127">
        <v>60</v>
      </c>
      <c r="C2427" s="1128">
        <v>156.86000000000001</v>
      </c>
      <c r="D2427" s="1128">
        <v>198.11</v>
      </c>
      <c r="E2427" s="1126"/>
    </row>
    <row r="2428" spans="1:5" x14ac:dyDescent="0.2">
      <c r="A2428" s="1126" t="s">
        <v>3010</v>
      </c>
      <c r="B2428" s="1127">
        <v>223</v>
      </c>
      <c r="C2428" s="1128">
        <v>270.29000000000002</v>
      </c>
      <c r="D2428" s="1128">
        <v>423.57</v>
      </c>
      <c r="E2428" s="1126"/>
    </row>
    <row r="2429" spans="1:5" x14ac:dyDescent="0.2">
      <c r="A2429" s="1126" t="s">
        <v>3011</v>
      </c>
      <c r="B2429" s="1127">
        <v>67</v>
      </c>
      <c r="C2429" s="1128">
        <v>4.07</v>
      </c>
      <c r="D2429" s="1128">
        <v>50.12</v>
      </c>
      <c r="E2429" s="1126"/>
    </row>
    <row r="2430" spans="1:5" x14ac:dyDescent="0.2">
      <c r="A2430" s="1126" t="s">
        <v>3012</v>
      </c>
      <c r="B2430" s="1127">
        <v>48</v>
      </c>
      <c r="C2430" s="1128">
        <v>0</v>
      </c>
      <c r="D2430" s="1128">
        <v>23.71</v>
      </c>
      <c r="E2430" s="1126"/>
    </row>
    <row r="2431" spans="1:5" x14ac:dyDescent="0.2">
      <c r="A2431" s="1126" t="s">
        <v>3013</v>
      </c>
      <c r="B2431" s="1127">
        <v>139</v>
      </c>
      <c r="C2431" s="1128">
        <v>117.85</v>
      </c>
      <c r="D2431" s="1128">
        <v>213.39</v>
      </c>
      <c r="E2431" s="1126"/>
    </row>
    <row r="2432" spans="1:5" x14ac:dyDescent="0.2">
      <c r="A2432" s="1126" t="s">
        <v>3014</v>
      </c>
      <c r="B2432" s="1127">
        <v>314</v>
      </c>
      <c r="C2432" s="1128">
        <v>65.290000000000006</v>
      </c>
      <c r="D2432" s="1128">
        <v>281.12</v>
      </c>
      <c r="E2432" s="1126"/>
    </row>
    <row r="2433" spans="1:5" x14ac:dyDescent="0.2">
      <c r="A2433" s="1126" t="s">
        <v>3015</v>
      </c>
      <c r="B2433" s="1127">
        <v>176</v>
      </c>
      <c r="C2433" s="1128">
        <v>0</v>
      </c>
      <c r="D2433" s="1128">
        <v>14.52</v>
      </c>
      <c r="E2433" s="1126"/>
    </row>
    <row r="2434" spans="1:5" x14ac:dyDescent="0.2">
      <c r="A2434" s="1126" t="s">
        <v>3016</v>
      </c>
      <c r="B2434" s="1127">
        <v>204</v>
      </c>
      <c r="C2434" s="1128">
        <v>0</v>
      </c>
      <c r="D2434" s="1128">
        <v>51.97</v>
      </c>
      <c r="E2434" s="1126"/>
    </row>
    <row r="2435" spans="1:5" x14ac:dyDescent="0.2">
      <c r="A2435" s="1126" t="s">
        <v>3017</v>
      </c>
      <c r="B2435" s="1127">
        <v>232</v>
      </c>
      <c r="C2435" s="1128">
        <v>0</v>
      </c>
      <c r="D2435" s="1128">
        <v>24.2</v>
      </c>
      <c r="E2435" s="1126"/>
    </row>
    <row r="2436" spans="1:5" x14ac:dyDescent="0.2">
      <c r="A2436" s="1126" t="s">
        <v>3018</v>
      </c>
      <c r="B2436" s="1127">
        <v>244</v>
      </c>
      <c r="C2436" s="1128">
        <v>0</v>
      </c>
      <c r="D2436" s="1128">
        <v>18.37</v>
      </c>
      <c r="E2436" s="1126"/>
    </row>
    <row r="2437" spans="1:5" x14ac:dyDescent="0.2">
      <c r="A2437" s="1126" t="s">
        <v>3019</v>
      </c>
      <c r="B2437" s="1127">
        <v>221</v>
      </c>
      <c r="C2437" s="1128">
        <v>0</v>
      </c>
      <c r="D2437" s="1128">
        <v>79.33</v>
      </c>
      <c r="E2437" s="1126"/>
    </row>
    <row r="2438" spans="1:5" x14ac:dyDescent="0.2">
      <c r="A2438" s="1126" t="s">
        <v>3020</v>
      </c>
      <c r="B2438" s="1127">
        <v>175</v>
      </c>
      <c r="C2438" s="1128">
        <v>0</v>
      </c>
      <c r="D2438" s="1128">
        <v>81.97</v>
      </c>
      <c r="E2438" s="1126"/>
    </row>
    <row r="2439" spans="1:5" x14ac:dyDescent="0.2">
      <c r="A2439" s="1126" t="s">
        <v>3021</v>
      </c>
      <c r="B2439" s="1127">
        <v>399</v>
      </c>
      <c r="C2439" s="1128">
        <v>0</v>
      </c>
      <c r="D2439" s="1128">
        <v>169.21</v>
      </c>
      <c r="E2439" s="1126"/>
    </row>
    <row r="2440" spans="1:5" x14ac:dyDescent="0.2">
      <c r="A2440" s="1126" t="s">
        <v>3022</v>
      </c>
      <c r="B2440" s="1127">
        <v>247</v>
      </c>
      <c r="C2440" s="1128">
        <v>763.71</v>
      </c>
      <c r="D2440" s="1128">
        <v>933.49</v>
      </c>
      <c r="E2440" s="1126"/>
    </row>
    <row r="2441" spans="1:5" x14ac:dyDescent="0.2">
      <c r="A2441" s="1126" t="s">
        <v>3023</v>
      </c>
      <c r="B2441" s="1127">
        <v>239</v>
      </c>
      <c r="C2441" s="1128">
        <v>0</v>
      </c>
      <c r="D2441" s="1128">
        <v>87.36</v>
      </c>
      <c r="E2441" s="1126"/>
    </row>
    <row r="2442" spans="1:5" x14ac:dyDescent="0.2">
      <c r="A2442" s="1126" t="s">
        <v>3024</v>
      </c>
      <c r="B2442" s="1127">
        <v>164</v>
      </c>
      <c r="C2442" s="1128">
        <v>72.040000000000006</v>
      </c>
      <c r="D2442" s="1128">
        <v>184.77</v>
      </c>
      <c r="E2442" s="1126"/>
    </row>
    <row r="2443" spans="1:5" x14ac:dyDescent="0.2">
      <c r="A2443" s="1126" t="s">
        <v>3025</v>
      </c>
      <c r="B2443" s="1127">
        <v>273</v>
      </c>
      <c r="C2443" s="1128">
        <v>0</v>
      </c>
      <c r="D2443" s="1128">
        <v>68.63</v>
      </c>
      <c r="E2443" s="1126"/>
    </row>
    <row r="2444" spans="1:5" x14ac:dyDescent="0.2">
      <c r="A2444" s="1126" t="s">
        <v>3026</v>
      </c>
      <c r="B2444" s="1127">
        <v>202</v>
      </c>
      <c r="C2444" s="1128">
        <v>80.42</v>
      </c>
      <c r="D2444" s="1128">
        <v>219.26</v>
      </c>
      <c r="E2444" s="1126"/>
    </row>
    <row r="2445" spans="1:5" x14ac:dyDescent="0.2">
      <c r="A2445" s="1126" t="s">
        <v>3027</v>
      </c>
      <c r="B2445" s="1127">
        <v>173</v>
      </c>
      <c r="C2445" s="1128">
        <v>0</v>
      </c>
      <c r="D2445" s="1128">
        <v>37.68</v>
      </c>
      <c r="E2445" s="1126"/>
    </row>
    <row r="2446" spans="1:5" x14ac:dyDescent="0.2">
      <c r="A2446" s="1126" t="s">
        <v>3028</v>
      </c>
      <c r="B2446" s="1127">
        <v>224</v>
      </c>
      <c r="C2446" s="1128">
        <v>639.87</v>
      </c>
      <c r="D2446" s="1128">
        <v>793.84</v>
      </c>
      <c r="E2446" s="1126"/>
    </row>
    <row r="2447" spans="1:5" x14ac:dyDescent="0.2">
      <c r="A2447" s="1126" t="s">
        <v>3029</v>
      </c>
      <c r="B2447" s="1127">
        <v>421</v>
      </c>
      <c r="C2447" s="1128">
        <v>0</v>
      </c>
      <c r="D2447" s="1128">
        <v>56.16</v>
      </c>
      <c r="E2447" s="1126"/>
    </row>
    <row r="2448" spans="1:5" x14ac:dyDescent="0.2">
      <c r="A2448" s="1126" t="s">
        <v>3030</v>
      </c>
      <c r="B2448" s="1127">
        <v>152</v>
      </c>
      <c r="C2448" s="1128">
        <v>0</v>
      </c>
      <c r="D2448" s="1128">
        <v>26.25</v>
      </c>
      <c r="E2448" s="1126"/>
    </row>
    <row r="2449" spans="1:5" x14ac:dyDescent="0.2">
      <c r="A2449" s="1126" t="s">
        <v>3031</v>
      </c>
      <c r="B2449" s="1127">
        <v>404</v>
      </c>
      <c r="C2449" s="1128">
        <v>0</v>
      </c>
      <c r="D2449" s="1128">
        <v>66.239999999999995</v>
      </c>
      <c r="E2449" s="1126"/>
    </row>
    <row r="2450" spans="1:5" x14ac:dyDescent="0.2">
      <c r="A2450" s="1126" t="s">
        <v>3032</v>
      </c>
      <c r="B2450" s="1127">
        <v>545</v>
      </c>
      <c r="C2450" s="1128">
        <v>0</v>
      </c>
      <c r="D2450" s="1128">
        <v>106.25</v>
      </c>
      <c r="E2450" s="1126"/>
    </row>
    <row r="2451" spans="1:5" x14ac:dyDescent="0.2">
      <c r="A2451" s="1126" t="s">
        <v>3033</v>
      </c>
      <c r="B2451" s="1127">
        <v>201</v>
      </c>
      <c r="C2451" s="1128">
        <v>0</v>
      </c>
      <c r="D2451" s="1128">
        <v>24.89</v>
      </c>
      <c r="E2451" s="1126"/>
    </row>
    <row r="2452" spans="1:5" x14ac:dyDescent="0.2">
      <c r="A2452" s="1126" t="s">
        <v>3034</v>
      </c>
      <c r="B2452" s="1127">
        <v>228</v>
      </c>
      <c r="C2452" s="1128">
        <v>0</v>
      </c>
      <c r="D2452" s="1128">
        <v>60.43</v>
      </c>
      <c r="E2452" s="1126"/>
    </row>
    <row r="2453" spans="1:5" x14ac:dyDescent="0.2">
      <c r="A2453" s="1126" t="s">
        <v>3035</v>
      </c>
      <c r="B2453" s="1127">
        <v>283</v>
      </c>
      <c r="C2453" s="1128">
        <v>0</v>
      </c>
      <c r="D2453" s="1128">
        <v>121.78</v>
      </c>
      <c r="E2453" s="1126"/>
    </row>
    <row r="2454" spans="1:5" x14ac:dyDescent="0.2">
      <c r="A2454" s="1126" t="s">
        <v>3036</v>
      </c>
      <c r="B2454" s="1127">
        <v>52</v>
      </c>
      <c r="C2454" s="1128">
        <v>0</v>
      </c>
      <c r="D2454" s="1128">
        <v>0</v>
      </c>
      <c r="E2454" s="1126"/>
    </row>
    <row r="2455" spans="1:5" x14ac:dyDescent="0.2">
      <c r="A2455" s="1126" t="s">
        <v>3037</v>
      </c>
      <c r="B2455" s="1127">
        <v>92</v>
      </c>
      <c r="C2455" s="1128">
        <v>23.2</v>
      </c>
      <c r="D2455" s="1128">
        <v>86.43</v>
      </c>
      <c r="E2455" s="1126"/>
    </row>
    <row r="2456" spans="1:5" x14ac:dyDescent="0.2">
      <c r="A2456" s="1126" t="s">
        <v>3038</v>
      </c>
      <c r="B2456" s="1127">
        <v>175</v>
      </c>
      <c r="C2456" s="1128">
        <v>29.96</v>
      </c>
      <c r="D2456" s="1128">
        <v>150.24</v>
      </c>
      <c r="E2456" s="1126"/>
    </row>
    <row r="2457" spans="1:5" x14ac:dyDescent="0.2">
      <c r="A2457" s="1126" t="s">
        <v>3039</v>
      </c>
      <c r="B2457" s="1127">
        <v>195</v>
      </c>
      <c r="C2457" s="1128">
        <v>0</v>
      </c>
      <c r="D2457" s="1128">
        <v>121.06</v>
      </c>
      <c r="E2457" s="1126"/>
    </row>
    <row r="2458" spans="1:5" x14ac:dyDescent="0.2">
      <c r="A2458" s="1126" t="s">
        <v>3040</v>
      </c>
      <c r="B2458" s="1127">
        <v>222</v>
      </c>
      <c r="C2458" s="1128">
        <v>0</v>
      </c>
      <c r="D2458" s="1128">
        <v>100.53</v>
      </c>
      <c r="E2458" s="1126"/>
    </row>
    <row r="2459" spans="1:5" x14ac:dyDescent="0.2">
      <c r="A2459" s="1126" t="s">
        <v>3041</v>
      </c>
      <c r="B2459" s="1127">
        <v>129</v>
      </c>
      <c r="C2459" s="1128">
        <v>0</v>
      </c>
      <c r="D2459" s="1128">
        <v>33.1</v>
      </c>
      <c r="E2459" s="1126"/>
    </row>
    <row r="2460" spans="1:5" x14ac:dyDescent="0.2">
      <c r="A2460" s="1126" t="s">
        <v>3042</v>
      </c>
      <c r="B2460" s="1127">
        <v>178</v>
      </c>
      <c r="C2460" s="1128">
        <v>2.08</v>
      </c>
      <c r="D2460" s="1128">
        <v>124.43</v>
      </c>
      <c r="E2460" s="1126"/>
    </row>
    <row r="2461" spans="1:5" x14ac:dyDescent="0.2">
      <c r="A2461" s="1126" t="s">
        <v>3043</v>
      </c>
      <c r="B2461" s="1127">
        <v>124</v>
      </c>
      <c r="C2461" s="1128">
        <v>0</v>
      </c>
      <c r="D2461" s="1128">
        <v>68.98</v>
      </c>
      <c r="E2461" s="1126"/>
    </row>
    <row r="2462" spans="1:5" x14ac:dyDescent="0.2">
      <c r="A2462" s="1126" t="s">
        <v>3044</v>
      </c>
      <c r="B2462" s="1127">
        <v>333</v>
      </c>
      <c r="C2462" s="1128">
        <v>0</v>
      </c>
      <c r="D2462" s="1128">
        <v>55.65</v>
      </c>
      <c r="E2462" s="1126"/>
    </row>
    <row r="2463" spans="1:5" x14ac:dyDescent="0.2">
      <c r="A2463" s="1126" t="s">
        <v>3045</v>
      </c>
      <c r="B2463" s="1127">
        <v>117</v>
      </c>
      <c r="C2463" s="1128">
        <v>0.56000000000000005</v>
      </c>
      <c r="D2463" s="1128">
        <v>80.98</v>
      </c>
      <c r="E2463" s="1126"/>
    </row>
    <row r="2464" spans="1:5" x14ac:dyDescent="0.2">
      <c r="A2464" s="1126" t="s">
        <v>3046</v>
      </c>
      <c r="B2464" s="1127">
        <v>169</v>
      </c>
      <c r="C2464" s="1128">
        <v>47.36</v>
      </c>
      <c r="D2464" s="1128">
        <v>163.52000000000001</v>
      </c>
      <c r="E2464" s="1126"/>
    </row>
    <row r="2465" spans="1:5" x14ac:dyDescent="0.2">
      <c r="A2465" s="1126" t="s">
        <v>3047</v>
      </c>
      <c r="B2465" s="1127">
        <v>454</v>
      </c>
      <c r="C2465" s="1128">
        <v>46.13</v>
      </c>
      <c r="D2465" s="1128">
        <v>358.2</v>
      </c>
      <c r="E2465" s="1126"/>
    </row>
    <row r="2466" spans="1:5" x14ac:dyDescent="0.2">
      <c r="A2466" s="1126" t="s">
        <v>3048</v>
      </c>
      <c r="B2466" s="1127">
        <v>185</v>
      </c>
      <c r="C2466" s="1128">
        <v>415.15</v>
      </c>
      <c r="D2466" s="1128">
        <v>542.30999999999995</v>
      </c>
      <c r="E2466" s="1126"/>
    </row>
    <row r="2467" spans="1:5" x14ac:dyDescent="0.2">
      <c r="A2467" s="1126" t="s">
        <v>3049</v>
      </c>
      <c r="B2467" s="1127">
        <v>98</v>
      </c>
      <c r="C2467" s="1128">
        <v>16.809999999999999</v>
      </c>
      <c r="D2467" s="1128">
        <v>84.17</v>
      </c>
      <c r="E2467" s="1126"/>
    </row>
    <row r="2468" spans="1:5" x14ac:dyDescent="0.2">
      <c r="A2468" s="1126" t="s">
        <v>3050</v>
      </c>
      <c r="B2468" s="1127">
        <v>336</v>
      </c>
      <c r="C2468" s="1128">
        <v>0</v>
      </c>
      <c r="D2468" s="1128">
        <v>200.41</v>
      </c>
      <c r="E2468" s="1126"/>
    </row>
    <row r="2469" spans="1:5" x14ac:dyDescent="0.2">
      <c r="A2469" s="1126" t="s">
        <v>3051</v>
      </c>
      <c r="B2469" s="1127">
        <v>343</v>
      </c>
      <c r="C2469" s="1128">
        <v>0</v>
      </c>
      <c r="D2469" s="1128">
        <v>164.82</v>
      </c>
      <c r="E2469" s="1126"/>
    </row>
    <row r="2470" spans="1:5" x14ac:dyDescent="0.2">
      <c r="A2470" s="1126" t="s">
        <v>3052</v>
      </c>
      <c r="B2470" s="1127">
        <v>224</v>
      </c>
      <c r="C2470" s="1128">
        <v>0</v>
      </c>
      <c r="D2470" s="1128">
        <v>114.05</v>
      </c>
      <c r="E2470" s="1126"/>
    </row>
    <row r="2471" spans="1:5" x14ac:dyDescent="0.2">
      <c r="A2471" s="1126" t="s">
        <v>3053</v>
      </c>
      <c r="B2471" s="1127">
        <v>297</v>
      </c>
      <c r="C2471" s="1128">
        <v>0</v>
      </c>
      <c r="D2471" s="1128">
        <v>43.94</v>
      </c>
      <c r="E2471" s="1126"/>
    </row>
    <row r="2472" spans="1:5" x14ac:dyDescent="0.2">
      <c r="A2472" s="1126" t="s">
        <v>3054</v>
      </c>
      <c r="B2472" s="1127">
        <v>415</v>
      </c>
      <c r="C2472" s="1128">
        <v>0</v>
      </c>
      <c r="D2472" s="1128">
        <v>252.48</v>
      </c>
      <c r="E2472" s="1126"/>
    </row>
    <row r="2473" spans="1:5" x14ac:dyDescent="0.2">
      <c r="A2473" s="1126" t="s">
        <v>3055</v>
      </c>
      <c r="B2473" s="1127">
        <v>282</v>
      </c>
      <c r="C2473" s="1128">
        <v>0</v>
      </c>
      <c r="D2473" s="1128">
        <v>32.840000000000003</v>
      </c>
      <c r="E2473" s="1126"/>
    </row>
    <row r="2474" spans="1:5" x14ac:dyDescent="0.2">
      <c r="A2474" s="1126" t="s">
        <v>3056</v>
      </c>
      <c r="B2474" s="1127">
        <v>191</v>
      </c>
      <c r="C2474" s="1128">
        <v>229.86</v>
      </c>
      <c r="D2474" s="1128">
        <v>361.14</v>
      </c>
      <c r="E2474" s="1126"/>
    </row>
    <row r="2475" spans="1:5" x14ac:dyDescent="0.2">
      <c r="A2475" s="1126" t="s">
        <v>3057</v>
      </c>
      <c r="B2475" s="1127">
        <v>320</v>
      </c>
      <c r="C2475" s="1128">
        <v>0</v>
      </c>
      <c r="D2475" s="1128">
        <v>86.24</v>
      </c>
      <c r="E2475" s="1126"/>
    </row>
    <row r="2476" spans="1:5" x14ac:dyDescent="0.2">
      <c r="A2476" s="1126" t="s">
        <v>3058</v>
      </c>
      <c r="B2476" s="1127">
        <v>17</v>
      </c>
      <c r="C2476" s="1128">
        <v>0</v>
      </c>
      <c r="D2476" s="1128">
        <v>0</v>
      </c>
      <c r="E2476" s="1126" t="s">
        <v>669</v>
      </c>
    </row>
    <row r="2477" spans="1:5" x14ac:dyDescent="0.2">
      <c r="A2477" s="1126" t="s">
        <v>3059</v>
      </c>
      <c r="B2477" s="1127">
        <v>326</v>
      </c>
      <c r="C2477" s="1128">
        <v>248.14</v>
      </c>
      <c r="D2477" s="1128">
        <v>472.22</v>
      </c>
      <c r="E2477" s="1126"/>
    </row>
    <row r="2478" spans="1:5" x14ac:dyDescent="0.2">
      <c r="A2478" s="1126" t="s">
        <v>3060</v>
      </c>
      <c r="B2478" s="1127">
        <v>196</v>
      </c>
      <c r="C2478" s="1128">
        <v>5.69</v>
      </c>
      <c r="D2478" s="1128">
        <v>140.41</v>
      </c>
      <c r="E2478" s="1126"/>
    </row>
    <row r="2479" spans="1:5" x14ac:dyDescent="0.2">
      <c r="A2479" s="1126" t="s">
        <v>3061</v>
      </c>
      <c r="B2479" s="1127">
        <v>112</v>
      </c>
      <c r="C2479" s="1128">
        <v>0</v>
      </c>
      <c r="D2479" s="1128">
        <v>53.19</v>
      </c>
      <c r="E2479" s="1126"/>
    </row>
    <row r="2480" spans="1:5" x14ac:dyDescent="0.2">
      <c r="A2480" s="1126" t="s">
        <v>3062</v>
      </c>
      <c r="B2480" s="1127">
        <v>290</v>
      </c>
      <c r="C2480" s="1128">
        <v>0</v>
      </c>
      <c r="D2480" s="1128">
        <v>76.94</v>
      </c>
      <c r="E2480" s="1126"/>
    </row>
    <row r="2481" spans="1:5" x14ac:dyDescent="0.2">
      <c r="A2481" s="1126" t="s">
        <v>3063</v>
      </c>
      <c r="B2481" s="1127">
        <v>332</v>
      </c>
      <c r="C2481" s="1128">
        <v>64.28</v>
      </c>
      <c r="D2481" s="1128">
        <v>292.49</v>
      </c>
      <c r="E2481" s="1126"/>
    </row>
    <row r="2482" spans="1:5" x14ac:dyDescent="0.2">
      <c r="A2482" s="1126" t="s">
        <v>3064</v>
      </c>
      <c r="B2482" s="1127">
        <v>177</v>
      </c>
      <c r="C2482" s="1128">
        <v>12.75</v>
      </c>
      <c r="D2482" s="1128">
        <v>134.41</v>
      </c>
      <c r="E2482" s="1126"/>
    </row>
    <row r="2483" spans="1:5" x14ac:dyDescent="0.2">
      <c r="A2483" s="1126" t="s">
        <v>3065</v>
      </c>
      <c r="B2483" s="1127">
        <v>333</v>
      </c>
      <c r="C2483" s="1128">
        <v>0</v>
      </c>
      <c r="D2483" s="1128">
        <v>24.49</v>
      </c>
      <c r="E2483" s="1126"/>
    </row>
    <row r="2484" spans="1:5" x14ac:dyDescent="0.2">
      <c r="A2484" s="1126" t="s">
        <v>3066</v>
      </c>
      <c r="B2484" s="1127">
        <v>305</v>
      </c>
      <c r="C2484" s="1128">
        <v>0</v>
      </c>
      <c r="D2484" s="1128">
        <v>128.85</v>
      </c>
      <c r="E2484" s="1126"/>
    </row>
    <row r="2485" spans="1:5" x14ac:dyDescent="0.2">
      <c r="A2485" s="1126" t="s">
        <v>3067</v>
      </c>
      <c r="B2485" s="1127">
        <v>83</v>
      </c>
      <c r="C2485" s="1128">
        <v>0</v>
      </c>
      <c r="D2485" s="1128">
        <v>14.4</v>
      </c>
      <c r="E2485" s="1126"/>
    </row>
    <row r="2486" spans="1:5" x14ac:dyDescent="0.2">
      <c r="A2486" s="1126" t="s">
        <v>3068</v>
      </c>
      <c r="B2486" s="1127">
        <v>235</v>
      </c>
      <c r="C2486" s="1128">
        <v>316.94</v>
      </c>
      <c r="D2486" s="1128">
        <v>478.47</v>
      </c>
      <c r="E2486" s="1126"/>
    </row>
    <row r="2487" spans="1:5" x14ac:dyDescent="0.2">
      <c r="A2487" s="1126" t="s">
        <v>3069</v>
      </c>
      <c r="B2487" s="1127">
        <v>165</v>
      </c>
      <c r="C2487" s="1128">
        <v>473.09</v>
      </c>
      <c r="D2487" s="1128">
        <v>586.5</v>
      </c>
      <c r="E2487" s="1126"/>
    </row>
    <row r="2488" spans="1:5" x14ac:dyDescent="0.2">
      <c r="A2488" s="1126" t="s">
        <v>3070</v>
      </c>
      <c r="B2488" s="1127">
        <v>207</v>
      </c>
      <c r="C2488" s="1128">
        <v>0</v>
      </c>
      <c r="D2488" s="1128">
        <v>96.79</v>
      </c>
      <c r="E2488" s="1126"/>
    </row>
    <row r="2489" spans="1:5" x14ac:dyDescent="0.2">
      <c r="A2489" s="1126" t="s">
        <v>3071</v>
      </c>
      <c r="B2489" s="1127">
        <v>166</v>
      </c>
      <c r="C2489" s="1128">
        <v>0</v>
      </c>
      <c r="D2489" s="1128">
        <v>51.38</v>
      </c>
      <c r="E2489" s="1126"/>
    </row>
    <row r="2490" spans="1:5" x14ac:dyDescent="0.2">
      <c r="A2490" s="1126" t="s">
        <v>3072</v>
      </c>
      <c r="B2490" s="1127">
        <v>287</v>
      </c>
      <c r="C2490" s="1128">
        <v>0</v>
      </c>
      <c r="D2490" s="1128">
        <v>18.68</v>
      </c>
      <c r="E2490" s="1126"/>
    </row>
    <row r="2491" spans="1:5" x14ac:dyDescent="0.2">
      <c r="A2491" s="1126" t="s">
        <v>3073</v>
      </c>
      <c r="B2491" s="1127">
        <v>213</v>
      </c>
      <c r="C2491" s="1128">
        <v>68.98</v>
      </c>
      <c r="D2491" s="1128">
        <v>215.39</v>
      </c>
      <c r="E2491" s="1126"/>
    </row>
    <row r="2492" spans="1:5" x14ac:dyDescent="0.2">
      <c r="A2492" s="1126" t="s">
        <v>3074</v>
      </c>
      <c r="B2492" s="1127">
        <v>230</v>
      </c>
      <c r="C2492" s="1128">
        <v>335.74</v>
      </c>
      <c r="D2492" s="1128">
        <v>493.84</v>
      </c>
      <c r="E2492" s="1126"/>
    </row>
    <row r="2493" spans="1:5" x14ac:dyDescent="0.2">
      <c r="A2493" s="1126" t="s">
        <v>3075</v>
      </c>
      <c r="B2493" s="1127">
        <v>276</v>
      </c>
      <c r="C2493" s="1128">
        <v>0</v>
      </c>
      <c r="D2493" s="1128">
        <v>164.1</v>
      </c>
      <c r="E2493" s="1126"/>
    </row>
    <row r="2494" spans="1:5" x14ac:dyDescent="0.2">
      <c r="A2494" s="1126" t="s">
        <v>3076</v>
      </c>
      <c r="B2494" s="1127">
        <v>264</v>
      </c>
      <c r="C2494" s="1128">
        <v>0</v>
      </c>
      <c r="D2494" s="1128">
        <v>93.09</v>
      </c>
      <c r="E2494" s="1126"/>
    </row>
    <row r="2495" spans="1:5" x14ac:dyDescent="0.2">
      <c r="A2495" s="1126" t="s">
        <v>3077</v>
      </c>
      <c r="B2495" s="1127">
        <v>203</v>
      </c>
      <c r="C2495" s="1128">
        <v>469.09</v>
      </c>
      <c r="D2495" s="1128">
        <v>608.63</v>
      </c>
      <c r="E2495" s="1126"/>
    </row>
    <row r="2496" spans="1:5" x14ac:dyDescent="0.2">
      <c r="A2496" s="1126" t="s">
        <v>3078</v>
      </c>
      <c r="B2496" s="1127">
        <v>190</v>
      </c>
      <c r="C2496" s="1128">
        <v>0</v>
      </c>
      <c r="D2496" s="1128">
        <v>50.95</v>
      </c>
      <c r="E2496" s="1126"/>
    </row>
    <row r="2497" spans="1:5" x14ac:dyDescent="0.2">
      <c r="A2497" s="1126" t="s">
        <v>3079</v>
      </c>
      <c r="B2497" s="1127">
        <v>400</v>
      </c>
      <c r="C2497" s="1128">
        <v>0</v>
      </c>
      <c r="D2497" s="1128">
        <v>268.56</v>
      </c>
      <c r="E2497" s="1126"/>
    </row>
    <row r="2498" spans="1:5" x14ac:dyDescent="0.2">
      <c r="A2498" s="1126" t="s">
        <v>3080</v>
      </c>
      <c r="B2498" s="1127">
        <v>110</v>
      </c>
      <c r="C2498" s="1128">
        <v>0</v>
      </c>
      <c r="D2498" s="1128">
        <v>5.19</v>
      </c>
      <c r="E2498" s="1126"/>
    </row>
    <row r="2499" spans="1:5" x14ac:dyDescent="0.2">
      <c r="A2499" s="1126" t="s">
        <v>3081</v>
      </c>
      <c r="B2499" s="1127">
        <v>229</v>
      </c>
      <c r="C2499" s="1128">
        <v>0</v>
      </c>
      <c r="D2499" s="1128">
        <v>113.64</v>
      </c>
      <c r="E2499" s="1126"/>
    </row>
    <row r="2500" spans="1:5" x14ac:dyDescent="0.2">
      <c r="A2500" s="1126" t="s">
        <v>3082</v>
      </c>
      <c r="B2500" s="1127">
        <v>343</v>
      </c>
      <c r="C2500" s="1128">
        <v>0</v>
      </c>
      <c r="D2500" s="1128">
        <v>66.87</v>
      </c>
      <c r="E2500" s="1126"/>
    </row>
    <row r="2501" spans="1:5" x14ac:dyDescent="0.2">
      <c r="A2501" s="1126" t="s">
        <v>3083</v>
      </c>
      <c r="B2501" s="1127">
        <v>162</v>
      </c>
      <c r="C2501" s="1128">
        <v>39.090000000000003</v>
      </c>
      <c r="D2501" s="1128">
        <v>150.44</v>
      </c>
      <c r="E2501" s="1126"/>
    </row>
    <row r="2502" spans="1:5" x14ac:dyDescent="0.2">
      <c r="A2502" s="1126" t="s">
        <v>3084</v>
      </c>
      <c r="B2502" s="1127">
        <v>227</v>
      </c>
      <c r="C2502" s="1128">
        <v>0</v>
      </c>
      <c r="D2502" s="1128">
        <v>5.8</v>
      </c>
      <c r="E2502" s="1126"/>
    </row>
    <row r="2503" spans="1:5" x14ac:dyDescent="0.2">
      <c r="A2503" s="1126" t="s">
        <v>3085</v>
      </c>
      <c r="B2503" s="1127">
        <v>193</v>
      </c>
      <c r="C2503" s="1128">
        <v>0</v>
      </c>
      <c r="D2503" s="1128">
        <v>5.77</v>
      </c>
      <c r="E2503" s="1126"/>
    </row>
    <row r="2504" spans="1:5" x14ac:dyDescent="0.2">
      <c r="A2504" s="1126" t="s">
        <v>3086</v>
      </c>
      <c r="B2504" s="1127">
        <v>168</v>
      </c>
      <c r="C2504" s="1128">
        <v>0</v>
      </c>
      <c r="D2504" s="1128">
        <v>76.11</v>
      </c>
      <c r="E2504" s="1126"/>
    </row>
    <row r="2505" spans="1:5" x14ac:dyDescent="0.2">
      <c r="A2505" s="1126" t="s">
        <v>3087</v>
      </c>
      <c r="B2505" s="1127">
        <v>234</v>
      </c>
      <c r="C2505" s="1128">
        <v>0</v>
      </c>
      <c r="D2505" s="1128">
        <v>132.52000000000001</v>
      </c>
      <c r="E2505" s="1126"/>
    </row>
    <row r="2506" spans="1:5" x14ac:dyDescent="0.2">
      <c r="A2506" s="1126" t="s">
        <v>3088</v>
      </c>
      <c r="B2506" s="1127">
        <v>174</v>
      </c>
      <c r="C2506" s="1128">
        <v>94.02</v>
      </c>
      <c r="D2506" s="1128">
        <v>213.62</v>
      </c>
      <c r="E2506" s="1126"/>
    </row>
    <row r="2507" spans="1:5" x14ac:dyDescent="0.2">
      <c r="A2507" s="1126" t="s">
        <v>3089</v>
      </c>
      <c r="B2507" s="1127">
        <v>455</v>
      </c>
      <c r="C2507" s="1128">
        <v>0</v>
      </c>
      <c r="D2507" s="1128">
        <v>60.84</v>
      </c>
      <c r="E2507" s="1126"/>
    </row>
    <row r="2508" spans="1:5" x14ac:dyDescent="0.2">
      <c r="A2508" s="1126" t="s">
        <v>3090</v>
      </c>
      <c r="B2508" s="1127">
        <v>146</v>
      </c>
      <c r="C2508" s="1128">
        <v>24.29</v>
      </c>
      <c r="D2508" s="1128">
        <v>124.64</v>
      </c>
      <c r="E2508" s="1126"/>
    </row>
    <row r="2509" spans="1:5" x14ac:dyDescent="0.2">
      <c r="A2509" s="1126" t="s">
        <v>3091</v>
      </c>
      <c r="B2509" s="1127">
        <v>305</v>
      </c>
      <c r="C2509" s="1128">
        <v>25.45</v>
      </c>
      <c r="D2509" s="1128">
        <v>235.09</v>
      </c>
      <c r="E2509" s="1126"/>
    </row>
    <row r="2510" spans="1:5" x14ac:dyDescent="0.2">
      <c r="A2510" s="1126" t="s">
        <v>3092</v>
      </c>
      <c r="B2510" s="1127">
        <v>233</v>
      </c>
      <c r="C2510" s="1128">
        <v>0</v>
      </c>
      <c r="D2510" s="1128">
        <v>31.39</v>
      </c>
      <c r="E2510" s="1126"/>
    </row>
    <row r="2511" spans="1:5" x14ac:dyDescent="0.2">
      <c r="A2511" s="1126" t="s">
        <v>3093</v>
      </c>
      <c r="B2511" s="1127">
        <v>184</v>
      </c>
      <c r="C2511" s="1128">
        <v>0</v>
      </c>
      <c r="D2511" s="1128">
        <v>40.020000000000003</v>
      </c>
      <c r="E2511" s="1126"/>
    </row>
    <row r="2512" spans="1:5" x14ac:dyDescent="0.2">
      <c r="A2512" s="1126" t="s">
        <v>3094</v>
      </c>
      <c r="B2512" s="1127">
        <v>201</v>
      </c>
      <c r="C2512" s="1128">
        <v>0</v>
      </c>
      <c r="D2512" s="1128">
        <v>20.23</v>
      </c>
      <c r="E2512" s="1126"/>
    </row>
    <row r="2513" spans="1:5" x14ac:dyDescent="0.2">
      <c r="A2513" s="1126" t="s">
        <v>3095</v>
      </c>
      <c r="B2513" s="1127">
        <v>191</v>
      </c>
      <c r="C2513" s="1128">
        <v>0</v>
      </c>
      <c r="D2513" s="1128">
        <v>34.299999999999997</v>
      </c>
      <c r="E2513" s="1126"/>
    </row>
    <row r="2514" spans="1:5" x14ac:dyDescent="0.2">
      <c r="A2514" s="1126" t="s">
        <v>3096</v>
      </c>
      <c r="B2514" s="1127">
        <v>370</v>
      </c>
      <c r="C2514" s="1128">
        <v>479.28</v>
      </c>
      <c r="D2514" s="1128">
        <v>733.6</v>
      </c>
      <c r="E2514" s="1126"/>
    </row>
    <row r="2515" spans="1:5" x14ac:dyDescent="0.2">
      <c r="A2515" s="1126" t="s">
        <v>3097</v>
      </c>
      <c r="B2515" s="1127">
        <v>192</v>
      </c>
      <c r="C2515" s="1128">
        <v>156.69999999999999</v>
      </c>
      <c r="D2515" s="1128">
        <v>288.68</v>
      </c>
      <c r="E2515" s="1126"/>
    </row>
    <row r="2516" spans="1:5" x14ac:dyDescent="0.2">
      <c r="A2516" s="1126" t="s">
        <v>3098</v>
      </c>
      <c r="B2516" s="1127">
        <v>379</v>
      </c>
      <c r="C2516" s="1128">
        <v>0</v>
      </c>
      <c r="D2516" s="1128">
        <v>114.48</v>
      </c>
      <c r="E2516" s="1126"/>
    </row>
    <row r="2517" spans="1:5" x14ac:dyDescent="0.2">
      <c r="A2517" s="1126" t="s">
        <v>3099</v>
      </c>
      <c r="B2517" s="1127">
        <v>99</v>
      </c>
      <c r="C2517" s="1128">
        <v>0</v>
      </c>
      <c r="D2517" s="1128">
        <v>23.58</v>
      </c>
      <c r="E2517" s="1126"/>
    </row>
    <row r="2518" spans="1:5" x14ac:dyDescent="0.2">
      <c r="A2518" s="1126" t="s">
        <v>3100</v>
      </c>
      <c r="B2518" s="1127">
        <v>235</v>
      </c>
      <c r="C2518" s="1128">
        <v>0</v>
      </c>
      <c r="D2518" s="1128">
        <v>106</v>
      </c>
      <c r="E2518" s="1126"/>
    </row>
    <row r="2519" spans="1:5" x14ac:dyDescent="0.2">
      <c r="A2519" s="1126" t="s">
        <v>3101</v>
      </c>
      <c r="B2519" s="1127">
        <v>99</v>
      </c>
      <c r="C2519" s="1128">
        <v>9.76</v>
      </c>
      <c r="D2519" s="1128">
        <v>77.81</v>
      </c>
      <c r="E2519" s="1126"/>
    </row>
    <row r="2520" spans="1:5" x14ac:dyDescent="0.2">
      <c r="A2520" s="1126" t="s">
        <v>3102</v>
      </c>
      <c r="B2520" s="1127">
        <v>201</v>
      </c>
      <c r="C2520" s="1128">
        <v>0</v>
      </c>
      <c r="D2520" s="1128">
        <v>54.94</v>
      </c>
      <c r="E2520" s="1126"/>
    </row>
    <row r="2521" spans="1:5" x14ac:dyDescent="0.2">
      <c r="A2521" s="1126" t="s">
        <v>3103</v>
      </c>
      <c r="B2521" s="1127">
        <v>296</v>
      </c>
      <c r="C2521" s="1128">
        <v>0</v>
      </c>
      <c r="D2521" s="1128">
        <v>25.36</v>
      </c>
      <c r="E2521" s="1126"/>
    </row>
    <row r="2522" spans="1:5" x14ac:dyDescent="0.2">
      <c r="A2522" s="1126" t="s">
        <v>3104</v>
      </c>
      <c r="B2522" s="1127">
        <v>599</v>
      </c>
      <c r="C2522" s="1128">
        <v>0</v>
      </c>
      <c r="D2522" s="1128">
        <v>339.69</v>
      </c>
      <c r="E2522" s="1126"/>
    </row>
    <row r="2523" spans="1:5" x14ac:dyDescent="0.2">
      <c r="A2523" s="1126" t="s">
        <v>3105</v>
      </c>
      <c r="B2523" s="1127">
        <v>216</v>
      </c>
      <c r="C2523" s="1128">
        <v>102.96</v>
      </c>
      <c r="D2523" s="1128">
        <v>251.43</v>
      </c>
      <c r="E2523" s="1126"/>
    </row>
    <row r="2524" spans="1:5" x14ac:dyDescent="0.2">
      <c r="A2524" s="1126" t="s">
        <v>3106</v>
      </c>
      <c r="B2524" s="1127">
        <v>22</v>
      </c>
      <c r="C2524" s="1128">
        <v>0</v>
      </c>
      <c r="D2524" s="1128">
        <v>4.87</v>
      </c>
      <c r="E2524" s="1126" t="s">
        <v>669</v>
      </c>
    </row>
    <row r="2525" spans="1:5" x14ac:dyDescent="0.2">
      <c r="A2525" s="1126" t="s">
        <v>3107</v>
      </c>
      <c r="B2525" s="1127">
        <v>248</v>
      </c>
      <c r="C2525" s="1128">
        <v>0</v>
      </c>
      <c r="D2525" s="1128">
        <v>64.86</v>
      </c>
      <c r="E2525" s="1126"/>
    </row>
    <row r="2526" spans="1:5" x14ac:dyDescent="0.2">
      <c r="A2526" s="1126" t="s">
        <v>3108</v>
      </c>
      <c r="B2526" s="1127">
        <v>143</v>
      </c>
      <c r="C2526" s="1128">
        <v>0</v>
      </c>
      <c r="D2526" s="1128">
        <v>29.92</v>
      </c>
      <c r="E2526" s="1126"/>
    </row>
    <row r="2527" spans="1:5" x14ac:dyDescent="0.2">
      <c r="A2527" s="1126" t="s">
        <v>3109</v>
      </c>
      <c r="B2527" s="1127">
        <v>236</v>
      </c>
      <c r="C2527" s="1128">
        <v>0</v>
      </c>
      <c r="D2527" s="1128">
        <v>30.75</v>
      </c>
      <c r="E2527" s="1126"/>
    </row>
    <row r="2528" spans="1:5" x14ac:dyDescent="0.2">
      <c r="A2528" s="1126" t="s">
        <v>3110</v>
      </c>
      <c r="B2528" s="1127">
        <v>154</v>
      </c>
      <c r="C2528" s="1128">
        <v>6.87</v>
      </c>
      <c r="D2528" s="1128">
        <v>112.72</v>
      </c>
      <c r="E2528" s="1126"/>
    </row>
    <row r="2529" spans="1:5" x14ac:dyDescent="0.2">
      <c r="A2529" s="1126" t="s">
        <v>3111</v>
      </c>
      <c r="B2529" s="1127">
        <v>93</v>
      </c>
      <c r="C2529" s="1128">
        <v>45.67</v>
      </c>
      <c r="D2529" s="1128">
        <v>109.59</v>
      </c>
      <c r="E2529" s="1126"/>
    </row>
    <row r="2530" spans="1:5" x14ac:dyDescent="0.2">
      <c r="A2530" s="1126" t="s">
        <v>3112</v>
      </c>
      <c r="B2530" s="1127">
        <v>192</v>
      </c>
      <c r="C2530" s="1128">
        <v>0</v>
      </c>
      <c r="D2530" s="1128">
        <v>0</v>
      </c>
      <c r="E2530" s="1126"/>
    </row>
    <row r="2531" spans="1:5" x14ac:dyDescent="0.2">
      <c r="A2531" s="1126" t="s">
        <v>3113</v>
      </c>
      <c r="B2531" s="1127">
        <v>271</v>
      </c>
      <c r="C2531" s="1128">
        <v>0</v>
      </c>
      <c r="D2531" s="1128">
        <v>67.22</v>
      </c>
      <c r="E2531" s="1126"/>
    </row>
    <row r="2532" spans="1:5" x14ac:dyDescent="0.2">
      <c r="A2532" s="1126" t="s">
        <v>3114</v>
      </c>
      <c r="B2532" s="1127">
        <v>94</v>
      </c>
      <c r="C2532" s="1128">
        <v>0</v>
      </c>
      <c r="D2532" s="1128">
        <v>37.99</v>
      </c>
      <c r="E2532" s="1126"/>
    </row>
    <row r="2533" spans="1:5" x14ac:dyDescent="0.2">
      <c r="A2533" s="1126" t="s">
        <v>3115</v>
      </c>
      <c r="B2533" s="1127">
        <v>247</v>
      </c>
      <c r="C2533" s="1128">
        <v>0</v>
      </c>
      <c r="D2533" s="1128">
        <v>159.36000000000001</v>
      </c>
      <c r="E2533" s="1126"/>
    </row>
    <row r="2534" spans="1:5" x14ac:dyDescent="0.2">
      <c r="A2534" s="1126" t="s">
        <v>3116</v>
      </c>
      <c r="B2534" s="1127">
        <v>192</v>
      </c>
      <c r="C2534" s="1128">
        <v>65.63</v>
      </c>
      <c r="D2534" s="1128">
        <v>197.61</v>
      </c>
      <c r="E2534" s="1126"/>
    </row>
    <row r="2535" spans="1:5" x14ac:dyDescent="0.2">
      <c r="A2535" s="1126" t="s">
        <v>3117</v>
      </c>
      <c r="B2535" s="1127">
        <v>78</v>
      </c>
      <c r="C2535" s="1128">
        <v>121.11</v>
      </c>
      <c r="D2535" s="1128">
        <v>174.73</v>
      </c>
      <c r="E2535" s="1126"/>
    </row>
    <row r="2536" spans="1:5" x14ac:dyDescent="0.2">
      <c r="A2536" s="1126" t="s">
        <v>3118</v>
      </c>
      <c r="B2536" s="1127">
        <v>427</v>
      </c>
      <c r="C2536" s="1128">
        <v>149.31</v>
      </c>
      <c r="D2536" s="1128">
        <v>442.81</v>
      </c>
      <c r="E2536" s="1126"/>
    </row>
    <row r="2537" spans="1:5" x14ac:dyDescent="0.2">
      <c r="A2537" s="1126" t="s">
        <v>3119</v>
      </c>
      <c r="B2537" s="1127">
        <v>34</v>
      </c>
      <c r="C2537" s="1128">
        <v>0</v>
      </c>
      <c r="D2537" s="1128">
        <v>0</v>
      </c>
      <c r="E2537" s="1126" t="s">
        <v>669</v>
      </c>
    </row>
    <row r="2538" spans="1:5" x14ac:dyDescent="0.2">
      <c r="A2538" s="1126" t="s">
        <v>3120</v>
      </c>
      <c r="B2538" s="1127">
        <v>63</v>
      </c>
      <c r="C2538" s="1128">
        <v>0</v>
      </c>
      <c r="D2538" s="1128">
        <v>22.34</v>
      </c>
      <c r="E2538" s="1126"/>
    </row>
    <row r="2539" spans="1:5" x14ac:dyDescent="0.2">
      <c r="A2539" s="1126" t="s">
        <v>3121</v>
      </c>
      <c r="B2539" s="1127">
        <v>227</v>
      </c>
      <c r="C2539" s="1128">
        <v>46.67</v>
      </c>
      <c r="D2539" s="1128">
        <v>202.7</v>
      </c>
      <c r="E2539" s="1126"/>
    </row>
    <row r="2540" spans="1:5" x14ac:dyDescent="0.2">
      <c r="A2540" s="1126" t="s">
        <v>3122</v>
      </c>
      <c r="B2540" s="1127">
        <v>50</v>
      </c>
      <c r="C2540" s="1128">
        <v>0</v>
      </c>
      <c r="D2540" s="1128">
        <v>0</v>
      </c>
      <c r="E2540" s="1126"/>
    </row>
    <row r="2541" spans="1:5" x14ac:dyDescent="0.2">
      <c r="A2541" s="1126" t="s">
        <v>3123</v>
      </c>
      <c r="B2541" s="1127">
        <v>58</v>
      </c>
      <c r="C2541" s="1128">
        <v>0</v>
      </c>
      <c r="D2541" s="1128">
        <v>15.78</v>
      </c>
      <c r="E2541" s="1126"/>
    </row>
    <row r="2542" spans="1:5" x14ac:dyDescent="0.2">
      <c r="A2542" s="1126" t="s">
        <v>3124</v>
      </c>
      <c r="B2542" s="1127">
        <v>122</v>
      </c>
      <c r="C2542" s="1128">
        <v>205.83</v>
      </c>
      <c r="D2542" s="1128">
        <v>289.69</v>
      </c>
      <c r="E2542" s="1126"/>
    </row>
    <row r="2543" spans="1:5" x14ac:dyDescent="0.2">
      <c r="A2543" s="1126" t="s">
        <v>3125</v>
      </c>
      <c r="B2543" s="1127">
        <v>176</v>
      </c>
      <c r="C2543" s="1128">
        <v>55.88</v>
      </c>
      <c r="D2543" s="1128">
        <v>176.86</v>
      </c>
      <c r="E2543" s="1126"/>
    </row>
    <row r="2544" spans="1:5" x14ac:dyDescent="0.2">
      <c r="A2544" s="1126" t="s">
        <v>3126</v>
      </c>
      <c r="B2544" s="1127">
        <v>88</v>
      </c>
      <c r="C2544" s="1128">
        <v>129.62</v>
      </c>
      <c r="D2544" s="1128">
        <v>190.11</v>
      </c>
      <c r="E2544" s="1126"/>
    </row>
    <row r="2545" spans="1:5" x14ac:dyDescent="0.2">
      <c r="A2545" s="1126" t="s">
        <v>3127</v>
      </c>
      <c r="B2545" s="1127">
        <v>218</v>
      </c>
      <c r="C2545" s="1128">
        <v>0</v>
      </c>
      <c r="D2545" s="1128">
        <v>81.02</v>
      </c>
      <c r="E2545" s="1126"/>
    </row>
    <row r="2546" spans="1:5" x14ac:dyDescent="0.2">
      <c r="A2546" s="1126" t="s">
        <v>3128</v>
      </c>
      <c r="B2546" s="1127">
        <v>155</v>
      </c>
      <c r="C2546" s="1128">
        <v>471.89</v>
      </c>
      <c r="D2546" s="1128">
        <v>578.42999999999995</v>
      </c>
      <c r="E2546" s="1126"/>
    </row>
    <row r="2547" spans="1:5" x14ac:dyDescent="0.2">
      <c r="A2547" s="1126" t="s">
        <v>3129</v>
      </c>
      <c r="B2547" s="1127">
        <v>280</v>
      </c>
      <c r="C2547" s="1128">
        <v>627.79</v>
      </c>
      <c r="D2547" s="1128">
        <v>820.25</v>
      </c>
      <c r="E2547" s="1126"/>
    </row>
    <row r="2548" spans="1:5" x14ac:dyDescent="0.2">
      <c r="A2548" s="1126" t="s">
        <v>3130</v>
      </c>
      <c r="B2548" s="1127">
        <v>222</v>
      </c>
      <c r="C2548" s="1128">
        <v>22.57</v>
      </c>
      <c r="D2548" s="1128">
        <v>175.16</v>
      </c>
      <c r="E2548" s="1126"/>
    </row>
    <row r="2549" spans="1:5" x14ac:dyDescent="0.2">
      <c r="A2549" s="1126" t="s">
        <v>3131</v>
      </c>
      <c r="B2549" s="1127">
        <v>101</v>
      </c>
      <c r="C2549" s="1128">
        <v>129.1</v>
      </c>
      <c r="D2549" s="1128">
        <v>198.52</v>
      </c>
      <c r="E2549" s="1126"/>
    </row>
    <row r="2550" spans="1:5" x14ac:dyDescent="0.2">
      <c r="A2550" s="1126" t="s">
        <v>3132</v>
      </c>
      <c r="B2550" s="1127">
        <v>299</v>
      </c>
      <c r="C2550" s="1128">
        <v>121.72</v>
      </c>
      <c r="D2550" s="1128">
        <v>327.24</v>
      </c>
      <c r="E2550" s="1126"/>
    </row>
    <row r="2551" spans="1:5" x14ac:dyDescent="0.2">
      <c r="A2551" s="1126" t="s">
        <v>3133</v>
      </c>
      <c r="B2551" s="1127">
        <v>139</v>
      </c>
      <c r="C2551" s="1128">
        <v>369.88</v>
      </c>
      <c r="D2551" s="1128">
        <v>465.42</v>
      </c>
      <c r="E2551" s="1126"/>
    </row>
    <row r="2552" spans="1:5" x14ac:dyDescent="0.2">
      <c r="A2552" s="1126" t="s">
        <v>3134</v>
      </c>
      <c r="B2552" s="1127">
        <v>199</v>
      </c>
      <c r="C2552" s="1128">
        <v>0</v>
      </c>
      <c r="D2552" s="1128">
        <v>60.71</v>
      </c>
      <c r="E2552" s="1126"/>
    </row>
    <row r="2553" spans="1:5" x14ac:dyDescent="0.2">
      <c r="A2553" s="1126" t="s">
        <v>3135</v>
      </c>
      <c r="B2553" s="1127">
        <v>349</v>
      </c>
      <c r="C2553" s="1128">
        <v>248.35</v>
      </c>
      <c r="D2553" s="1128">
        <v>488.24</v>
      </c>
      <c r="E2553" s="1126"/>
    </row>
    <row r="2554" spans="1:5" x14ac:dyDescent="0.2">
      <c r="A2554" s="1126" t="s">
        <v>3136</v>
      </c>
      <c r="B2554" s="1127">
        <v>118</v>
      </c>
      <c r="C2554" s="1128">
        <v>0</v>
      </c>
      <c r="D2554" s="1128">
        <v>15.27</v>
      </c>
      <c r="E2554" s="1126"/>
    </row>
    <row r="2555" spans="1:5" x14ac:dyDescent="0.2">
      <c r="A2555" s="1126" t="s">
        <v>3137</v>
      </c>
      <c r="B2555" s="1127">
        <v>245</v>
      </c>
      <c r="C2555" s="1128">
        <v>0</v>
      </c>
      <c r="D2555" s="1128">
        <v>138.46</v>
      </c>
      <c r="E2555" s="1126"/>
    </row>
    <row r="2556" spans="1:5" x14ac:dyDescent="0.2">
      <c r="A2556" s="1126" t="s">
        <v>3138</v>
      </c>
      <c r="B2556" s="1127">
        <v>223</v>
      </c>
      <c r="C2556" s="1128">
        <v>0</v>
      </c>
      <c r="D2556" s="1128">
        <v>20.059999999999999</v>
      </c>
      <c r="E2556" s="1126"/>
    </row>
    <row r="2557" spans="1:5" x14ac:dyDescent="0.2">
      <c r="A2557" s="1126" t="s">
        <v>3139</v>
      </c>
      <c r="B2557" s="1127">
        <v>113</v>
      </c>
      <c r="C2557" s="1128">
        <v>221.96</v>
      </c>
      <c r="D2557" s="1128">
        <v>299.63</v>
      </c>
      <c r="E2557" s="1126"/>
    </row>
    <row r="2558" spans="1:5" x14ac:dyDescent="0.2">
      <c r="A2558" s="1126" t="s">
        <v>3140</v>
      </c>
      <c r="B2558" s="1127">
        <v>323</v>
      </c>
      <c r="C2558" s="1128">
        <v>339.87</v>
      </c>
      <c r="D2558" s="1128">
        <v>561.89</v>
      </c>
      <c r="E2558" s="1126"/>
    </row>
    <row r="2559" spans="1:5" x14ac:dyDescent="0.2">
      <c r="A2559" s="1126" t="s">
        <v>3141</v>
      </c>
      <c r="B2559" s="1127">
        <v>328</v>
      </c>
      <c r="C2559" s="1128">
        <v>0</v>
      </c>
      <c r="D2559" s="1128">
        <v>65.06</v>
      </c>
      <c r="E2559" s="1126"/>
    </row>
    <row r="2560" spans="1:5" x14ac:dyDescent="0.2">
      <c r="A2560" s="1126" t="s">
        <v>3142</v>
      </c>
      <c r="B2560" s="1127">
        <v>179</v>
      </c>
      <c r="C2560" s="1128">
        <v>0</v>
      </c>
      <c r="D2560" s="1128">
        <v>114.08</v>
      </c>
      <c r="E2560" s="1126"/>
    </row>
    <row r="2561" spans="1:5" x14ac:dyDescent="0.2">
      <c r="A2561" s="1126" t="s">
        <v>3143</v>
      </c>
      <c r="B2561" s="1127">
        <v>107</v>
      </c>
      <c r="C2561" s="1128">
        <v>0</v>
      </c>
      <c r="D2561" s="1128">
        <v>47.3</v>
      </c>
      <c r="E2561" s="1126"/>
    </row>
    <row r="2562" spans="1:5" x14ac:dyDescent="0.2">
      <c r="A2562" s="1126" t="s">
        <v>3144</v>
      </c>
      <c r="B2562" s="1127">
        <v>195</v>
      </c>
      <c r="C2562" s="1128">
        <v>0</v>
      </c>
      <c r="D2562" s="1128">
        <v>106.71</v>
      </c>
      <c r="E2562" s="1126"/>
    </row>
    <row r="2563" spans="1:5" x14ac:dyDescent="0.2">
      <c r="A2563" s="1126" t="s">
        <v>3145</v>
      </c>
      <c r="B2563" s="1127">
        <v>439</v>
      </c>
      <c r="C2563" s="1128">
        <v>0</v>
      </c>
      <c r="D2563" s="1128">
        <v>57.25</v>
      </c>
      <c r="E2563" s="1126"/>
    </row>
    <row r="2564" spans="1:5" x14ac:dyDescent="0.2">
      <c r="A2564" s="1126" t="s">
        <v>3146</v>
      </c>
      <c r="B2564" s="1127">
        <v>170</v>
      </c>
      <c r="C2564" s="1128">
        <v>0</v>
      </c>
      <c r="D2564" s="1128">
        <v>36.409999999999997</v>
      </c>
      <c r="E2564" s="1126"/>
    </row>
    <row r="2565" spans="1:5" x14ac:dyDescent="0.2">
      <c r="A2565" s="1126" t="s">
        <v>3147</v>
      </c>
      <c r="B2565" s="1127">
        <v>275</v>
      </c>
      <c r="C2565" s="1128">
        <v>0</v>
      </c>
      <c r="D2565" s="1128">
        <v>130.4</v>
      </c>
      <c r="E2565" s="1126"/>
    </row>
    <row r="2566" spans="1:5" x14ac:dyDescent="0.2">
      <c r="A2566" s="1126" t="s">
        <v>3148</v>
      </c>
      <c r="B2566" s="1127">
        <v>270</v>
      </c>
      <c r="C2566" s="1128">
        <v>0</v>
      </c>
      <c r="D2566" s="1128">
        <v>75.87</v>
      </c>
      <c r="E2566" s="1126"/>
    </row>
    <row r="2567" spans="1:5" x14ac:dyDescent="0.2">
      <c r="A2567" s="1126" t="s">
        <v>3149</v>
      </c>
      <c r="B2567" s="1127">
        <v>340</v>
      </c>
      <c r="C2567" s="1128">
        <v>145.06</v>
      </c>
      <c r="D2567" s="1128">
        <v>378.76</v>
      </c>
      <c r="E2567" s="1126"/>
    </row>
    <row r="2568" spans="1:5" x14ac:dyDescent="0.2">
      <c r="A2568" s="1126" t="s">
        <v>3150</v>
      </c>
      <c r="B2568" s="1127">
        <v>218</v>
      </c>
      <c r="C2568" s="1128">
        <v>0</v>
      </c>
      <c r="D2568" s="1128">
        <v>40.340000000000003</v>
      </c>
      <c r="E2568" s="1126"/>
    </row>
    <row r="2569" spans="1:5" x14ac:dyDescent="0.2">
      <c r="A2569" s="1126" t="s">
        <v>3151</v>
      </c>
      <c r="B2569" s="1127">
        <v>261</v>
      </c>
      <c r="C2569" s="1128">
        <v>0</v>
      </c>
      <c r="D2569" s="1128">
        <v>74.900000000000006</v>
      </c>
      <c r="E2569" s="1126"/>
    </row>
    <row r="2570" spans="1:5" x14ac:dyDescent="0.2">
      <c r="A2570" s="1126" t="s">
        <v>3152</v>
      </c>
      <c r="B2570" s="1127">
        <v>227</v>
      </c>
      <c r="C2570" s="1128">
        <v>105.27</v>
      </c>
      <c r="D2570" s="1128">
        <v>261.3</v>
      </c>
      <c r="E2570" s="1126"/>
    </row>
    <row r="2571" spans="1:5" x14ac:dyDescent="0.2">
      <c r="A2571" s="1126" t="s">
        <v>3153</v>
      </c>
      <c r="B2571" s="1127">
        <v>405</v>
      </c>
      <c r="C2571" s="1128">
        <v>249.01</v>
      </c>
      <c r="D2571" s="1128">
        <v>527.4</v>
      </c>
      <c r="E2571" s="1126"/>
    </row>
    <row r="2572" spans="1:5" x14ac:dyDescent="0.2">
      <c r="A2572" s="1126" t="s">
        <v>3154</v>
      </c>
      <c r="B2572" s="1127">
        <v>334</v>
      </c>
      <c r="C2572" s="1128">
        <v>248.98</v>
      </c>
      <c r="D2572" s="1128">
        <v>478.56</v>
      </c>
      <c r="E2572" s="1126"/>
    </row>
    <row r="2573" spans="1:5" x14ac:dyDescent="0.2">
      <c r="A2573" s="1126" t="s">
        <v>3155</v>
      </c>
      <c r="B2573" s="1127">
        <v>234</v>
      </c>
      <c r="C2573" s="1128">
        <v>0</v>
      </c>
      <c r="D2573" s="1128">
        <v>130.53</v>
      </c>
      <c r="E2573" s="1126"/>
    </row>
    <row r="2574" spans="1:5" x14ac:dyDescent="0.2">
      <c r="A2574" s="1126" t="s">
        <v>3156</v>
      </c>
      <c r="B2574" s="1127">
        <v>387</v>
      </c>
      <c r="C2574" s="1128">
        <v>0</v>
      </c>
      <c r="D2574" s="1128">
        <v>41.78</v>
      </c>
      <c r="E2574" s="1126"/>
    </row>
    <row r="2575" spans="1:5" x14ac:dyDescent="0.2">
      <c r="A2575" s="1126" t="s">
        <v>3157</v>
      </c>
      <c r="B2575" s="1127">
        <v>390</v>
      </c>
      <c r="C2575" s="1128">
        <v>0</v>
      </c>
      <c r="D2575" s="1128">
        <v>59.53</v>
      </c>
      <c r="E2575" s="1126"/>
    </row>
    <row r="2576" spans="1:5" x14ac:dyDescent="0.2">
      <c r="A2576" s="1126" t="s">
        <v>3158</v>
      </c>
      <c r="B2576" s="1127">
        <v>292</v>
      </c>
      <c r="C2576" s="1128">
        <v>0</v>
      </c>
      <c r="D2576" s="1128">
        <v>91.93</v>
      </c>
      <c r="E2576" s="1126"/>
    </row>
    <row r="2577" spans="1:5" x14ac:dyDescent="0.2">
      <c r="A2577" s="1126" t="s">
        <v>3159</v>
      </c>
      <c r="B2577" s="1127">
        <v>54</v>
      </c>
      <c r="C2577" s="1128">
        <v>40.409999999999997</v>
      </c>
      <c r="D2577" s="1128">
        <v>77.53</v>
      </c>
      <c r="E2577" s="1126"/>
    </row>
    <row r="2578" spans="1:5" x14ac:dyDescent="0.2">
      <c r="A2578" s="1126" t="s">
        <v>3160</v>
      </c>
      <c r="B2578" s="1127">
        <v>333</v>
      </c>
      <c r="C2578" s="1128">
        <v>0</v>
      </c>
      <c r="D2578" s="1128">
        <v>64.73</v>
      </c>
      <c r="E2578" s="1126"/>
    </row>
    <row r="2579" spans="1:5" x14ac:dyDescent="0.2">
      <c r="A2579" s="1126" t="s">
        <v>3161</v>
      </c>
      <c r="B2579" s="1127">
        <v>152</v>
      </c>
      <c r="C2579" s="1128">
        <v>0</v>
      </c>
      <c r="D2579" s="1128">
        <v>25.09</v>
      </c>
      <c r="E2579" s="1126"/>
    </row>
    <row r="2580" spans="1:5" x14ac:dyDescent="0.2">
      <c r="A2580" s="1126" t="s">
        <v>3162</v>
      </c>
      <c r="B2580" s="1127">
        <v>263</v>
      </c>
      <c r="C2580" s="1128">
        <v>0</v>
      </c>
      <c r="D2580" s="1128">
        <v>29.27</v>
      </c>
      <c r="E2580" s="1126"/>
    </row>
    <row r="2581" spans="1:5" x14ac:dyDescent="0.2">
      <c r="A2581" s="1126" t="s">
        <v>3163</v>
      </c>
      <c r="B2581" s="1127">
        <v>279</v>
      </c>
      <c r="C2581" s="1128">
        <v>882.39</v>
      </c>
      <c r="D2581" s="1128">
        <v>1074.17</v>
      </c>
      <c r="E2581" s="1126"/>
    </row>
    <row r="2582" spans="1:5" x14ac:dyDescent="0.2">
      <c r="A2582" s="1126" t="s">
        <v>3164</v>
      </c>
      <c r="B2582" s="1127">
        <v>242</v>
      </c>
      <c r="C2582" s="1128">
        <v>719.07</v>
      </c>
      <c r="D2582" s="1128">
        <v>885.42</v>
      </c>
      <c r="E2582" s="1126"/>
    </row>
    <row r="2583" spans="1:5" x14ac:dyDescent="0.2">
      <c r="A2583" s="1126" t="s">
        <v>3165</v>
      </c>
      <c r="B2583" s="1127">
        <v>209</v>
      </c>
      <c r="C2583" s="1128">
        <v>0</v>
      </c>
      <c r="D2583" s="1128">
        <v>104.18</v>
      </c>
      <c r="E2583" s="1126"/>
    </row>
    <row r="2584" spans="1:5" x14ac:dyDescent="0.2">
      <c r="A2584" s="1126" t="s">
        <v>3166</v>
      </c>
      <c r="B2584" s="1127">
        <v>412</v>
      </c>
      <c r="C2584" s="1128">
        <v>0</v>
      </c>
      <c r="D2584" s="1128">
        <v>232.35</v>
      </c>
      <c r="E2584" s="1126"/>
    </row>
    <row r="2585" spans="1:5" x14ac:dyDescent="0.2">
      <c r="A2585" s="1126" t="s">
        <v>3167</v>
      </c>
      <c r="B2585" s="1127">
        <v>248</v>
      </c>
      <c r="C2585" s="1128">
        <v>12.07</v>
      </c>
      <c r="D2585" s="1128">
        <v>182.54</v>
      </c>
      <c r="E2585" s="1126"/>
    </row>
    <row r="2586" spans="1:5" x14ac:dyDescent="0.2">
      <c r="A2586" s="1126" t="s">
        <v>3168</v>
      </c>
      <c r="B2586" s="1127">
        <v>120</v>
      </c>
      <c r="C2586" s="1128">
        <v>190.67</v>
      </c>
      <c r="D2586" s="1128">
        <v>273.14999999999998</v>
      </c>
      <c r="E2586" s="1126"/>
    </row>
    <row r="2587" spans="1:5" x14ac:dyDescent="0.2">
      <c r="A2587" s="1126" t="s">
        <v>3169</v>
      </c>
      <c r="B2587" s="1127">
        <v>304</v>
      </c>
      <c r="C2587" s="1128">
        <v>0</v>
      </c>
      <c r="D2587" s="1128">
        <v>66.73</v>
      </c>
      <c r="E2587" s="1126"/>
    </row>
    <row r="2588" spans="1:5" x14ac:dyDescent="0.2">
      <c r="A2588" s="1126" t="s">
        <v>3170</v>
      </c>
      <c r="B2588" s="1127">
        <v>623</v>
      </c>
      <c r="C2588" s="1128">
        <v>497.28</v>
      </c>
      <c r="D2588" s="1128">
        <v>925.51</v>
      </c>
      <c r="E2588" s="1126"/>
    </row>
    <row r="2589" spans="1:5" x14ac:dyDescent="0.2">
      <c r="A2589" s="1126" t="s">
        <v>3171</v>
      </c>
      <c r="B2589" s="1127">
        <v>162</v>
      </c>
      <c r="C2589" s="1128">
        <v>0</v>
      </c>
      <c r="D2589" s="1128">
        <v>15.85</v>
      </c>
      <c r="E2589" s="1126"/>
    </row>
    <row r="2590" spans="1:5" x14ac:dyDescent="0.2">
      <c r="A2590" s="1126" t="s">
        <v>3172</v>
      </c>
      <c r="B2590" s="1127">
        <v>120</v>
      </c>
      <c r="C2590" s="1128">
        <v>362.99</v>
      </c>
      <c r="D2590" s="1128">
        <v>445.47</v>
      </c>
      <c r="E2590" s="1126"/>
    </row>
    <row r="2591" spans="1:5" x14ac:dyDescent="0.2">
      <c r="A2591" s="1126" t="s">
        <v>3173</v>
      </c>
      <c r="B2591" s="1127">
        <v>293</v>
      </c>
      <c r="C2591" s="1128">
        <v>132.35</v>
      </c>
      <c r="D2591" s="1128">
        <v>333.75</v>
      </c>
      <c r="E2591" s="1126"/>
    </row>
    <row r="2592" spans="1:5" x14ac:dyDescent="0.2">
      <c r="A2592" s="1126" t="s">
        <v>3174</v>
      </c>
      <c r="B2592" s="1127">
        <v>103</v>
      </c>
      <c r="C2592" s="1128">
        <v>357.27</v>
      </c>
      <c r="D2592" s="1128">
        <v>428.07</v>
      </c>
      <c r="E2592" s="1126"/>
    </row>
    <row r="2593" spans="1:5" x14ac:dyDescent="0.2">
      <c r="A2593" s="1126" t="s">
        <v>3175</v>
      </c>
      <c r="B2593" s="1127">
        <v>197</v>
      </c>
      <c r="C2593" s="1128">
        <v>0</v>
      </c>
      <c r="D2593" s="1128">
        <v>82.74</v>
      </c>
      <c r="E2593" s="1126"/>
    </row>
    <row r="2594" spans="1:5" x14ac:dyDescent="0.2">
      <c r="A2594" s="1126" t="s">
        <v>3176</v>
      </c>
      <c r="B2594" s="1127">
        <v>303</v>
      </c>
      <c r="C2594" s="1128">
        <v>0</v>
      </c>
      <c r="D2594" s="1128">
        <v>53.33</v>
      </c>
      <c r="E2594" s="1126"/>
    </row>
    <row r="2595" spans="1:5" x14ac:dyDescent="0.2">
      <c r="A2595" s="1126" t="s">
        <v>3177</v>
      </c>
      <c r="B2595" s="1127">
        <v>277</v>
      </c>
      <c r="C2595" s="1128">
        <v>0</v>
      </c>
      <c r="D2595" s="1128">
        <v>126.99</v>
      </c>
      <c r="E2595" s="1126"/>
    </row>
    <row r="2596" spans="1:5" x14ac:dyDescent="0.2">
      <c r="A2596" s="1126" t="s">
        <v>3178</v>
      </c>
      <c r="B2596" s="1127">
        <v>158</v>
      </c>
      <c r="C2596" s="1128">
        <v>0</v>
      </c>
      <c r="D2596" s="1128">
        <v>102.38</v>
      </c>
      <c r="E2596" s="1126"/>
    </row>
    <row r="2597" spans="1:5" x14ac:dyDescent="0.2">
      <c r="A2597" s="1126" t="s">
        <v>3179</v>
      </c>
      <c r="B2597" s="1127">
        <v>330</v>
      </c>
      <c r="C2597" s="1128">
        <v>127.55</v>
      </c>
      <c r="D2597" s="1128">
        <v>354.38</v>
      </c>
      <c r="E2597" s="1126"/>
    </row>
    <row r="2598" spans="1:5" x14ac:dyDescent="0.2">
      <c r="A2598" s="1126" t="s">
        <v>3180</v>
      </c>
      <c r="B2598" s="1127">
        <v>265</v>
      </c>
      <c r="C2598" s="1128">
        <v>0</v>
      </c>
      <c r="D2598" s="1128">
        <v>69.67</v>
      </c>
      <c r="E2598" s="1126"/>
    </row>
    <row r="2599" spans="1:5" x14ac:dyDescent="0.2">
      <c r="A2599" s="1126" t="s">
        <v>3181</v>
      </c>
      <c r="B2599" s="1127">
        <v>350</v>
      </c>
      <c r="C2599" s="1128">
        <v>0</v>
      </c>
      <c r="D2599" s="1128">
        <v>46.45</v>
      </c>
      <c r="E2599" s="1126"/>
    </row>
    <row r="2600" spans="1:5" x14ac:dyDescent="0.2">
      <c r="A2600" s="1126" t="s">
        <v>3182</v>
      </c>
      <c r="B2600" s="1127">
        <v>222</v>
      </c>
      <c r="C2600" s="1128">
        <v>0</v>
      </c>
      <c r="D2600" s="1128">
        <v>21.78</v>
      </c>
      <c r="E2600" s="1126"/>
    </row>
    <row r="2601" spans="1:5" x14ac:dyDescent="0.2">
      <c r="A2601" s="1126" t="s">
        <v>3183</v>
      </c>
      <c r="B2601" s="1127">
        <v>313</v>
      </c>
      <c r="C2601" s="1128">
        <v>0</v>
      </c>
      <c r="D2601" s="1128">
        <v>71.59</v>
      </c>
      <c r="E2601" s="1126"/>
    </row>
    <row r="2602" spans="1:5" x14ac:dyDescent="0.2">
      <c r="A2602" s="1126" t="s">
        <v>3184</v>
      </c>
      <c r="B2602" s="1127">
        <v>182</v>
      </c>
      <c r="C2602" s="1128">
        <v>187.26</v>
      </c>
      <c r="D2602" s="1128">
        <v>312.36</v>
      </c>
      <c r="E2602" s="1126"/>
    </row>
    <row r="2603" spans="1:5" x14ac:dyDescent="0.2">
      <c r="A2603" s="1126" t="s">
        <v>3185</v>
      </c>
      <c r="B2603" s="1127">
        <v>433</v>
      </c>
      <c r="C2603" s="1128">
        <v>0</v>
      </c>
      <c r="D2603" s="1128">
        <v>105.76</v>
      </c>
      <c r="E2603" s="1126"/>
    </row>
    <row r="2604" spans="1:5" x14ac:dyDescent="0.2">
      <c r="A2604" s="1126" t="s">
        <v>3186</v>
      </c>
      <c r="B2604" s="1127">
        <v>157</v>
      </c>
      <c r="C2604" s="1128">
        <v>63.53</v>
      </c>
      <c r="D2604" s="1128">
        <v>171.45</v>
      </c>
      <c r="E2604" s="1126"/>
    </row>
    <row r="2605" spans="1:5" x14ac:dyDescent="0.2">
      <c r="A2605" s="1126" t="s">
        <v>3187</v>
      </c>
      <c r="B2605" s="1127">
        <v>159</v>
      </c>
      <c r="C2605" s="1128">
        <v>204.9</v>
      </c>
      <c r="D2605" s="1128">
        <v>314.19</v>
      </c>
      <c r="E2605" s="1126"/>
    </row>
    <row r="2606" spans="1:5" x14ac:dyDescent="0.2">
      <c r="A2606" s="1126" t="s">
        <v>3188</v>
      </c>
      <c r="B2606" s="1127">
        <v>74</v>
      </c>
      <c r="C2606" s="1128">
        <v>0</v>
      </c>
      <c r="D2606" s="1128">
        <v>32.81</v>
      </c>
      <c r="E2606" s="1126"/>
    </row>
    <row r="2607" spans="1:5" x14ac:dyDescent="0.2">
      <c r="A2607" s="1126" t="s">
        <v>3189</v>
      </c>
      <c r="B2607" s="1127">
        <v>163</v>
      </c>
      <c r="C2607" s="1128">
        <v>513.72</v>
      </c>
      <c r="D2607" s="1128">
        <v>625.76</v>
      </c>
      <c r="E2607" s="1126"/>
    </row>
    <row r="2608" spans="1:5" x14ac:dyDescent="0.2">
      <c r="A2608" s="1126" t="s">
        <v>3190</v>
      </c>
      <c r="B2608" s="1127">
        <v>145</v>
      </c>
      <c r="C2608" s="1128">
        <v>0</v>
      </c>
      <c r="D2608" s="1128">
        <v>75.86</v>
      </c>
      <c r="E2608" s="1126"/>
    </row>
    <row r="2609" spans="1:5" x14ac:dyDescent="0.2">
      <c r="A2609" s="1126" t="s">
        <v>3191</v>
      </c>
      <c r="B2609" s="1127">
        <v>237</v>
      </c>
      <c r="C2609" s="1128">
        <v>0</v>
      </c>
      <c r="D2609" s="1128">
        <v>28.07</v>
      </c>
      <c r="E2609" s="1126"/>
    </row>
    <row r="2610" spans="1:5" x14ac:dyDescent="0.2">
      <c r="A2610" s="1126" t="s">
        <v>3192</v>
      </c>
      <c r="B2610" s="1127">
        <v>561</v>
      </c>
      <c r="C2610" s="1128">
        <v>0</v>
      </c>
      <c r="D2610" s="1128">
        <v>239.33</v>
      </c>
      <c r="E2610" s="1126"/>
    </row>
    <row r="2611" spans="1:5" x14ac:dyDescent="0.2">
      <c r="A2611" s="1126" t="s">
        <v>3193</v>
      </c>
      <c r="B2611" s="1127">
        <v>113</v>
      </c>
      <c r="C2611" s="1128">
        <v>0</v>
      </c>
      <c r="D2611" s="1128">
        <v>38.36</v>
      </c>
      <c r="E2611" s="1126"/>
    </row>
    <row r="2612" spans="1:5" x14ac:dyDescent="0.2">
      <c r="A2612" s="1126" t="s">
        <v>3194</v>
      </c>
      <c r="B2612" s="1127">
        <v>496</v>
      </c>
      <c r="C2612" s="1128">
        <v>0</v>
      </c>
      <c r="D2612" s="1128">
        <v>171.71</v>
      </c>
      <c r="E2612" s="1126"/>
    </row>
    <row r="2613" spans="1:5" x14ac:dyDescent="0.2">
      <c r="A2613" s="1126" t="s">
        <v>3195</v>
      </c>
      <c r="B2613" s="1127">
        <v>166</v>
      </c>
      <c r="C2613" s="1128">
        <v>96.75</v>
      </c>
      <c r="D2613" s="1128">
        <v>210.85</v>
      </c>
      <c r="E2613" s="1126"/>
    </row>
    <row r="2614" spans="1:5" x14ac:dyDescent="0.2">
      <c r="A2614" s="1126" t="s">
        <v>3196</v>
      </c>
      <c r="B2614" s="1127">
        <v>88</v>
      </c>
      <c r="C2614" s="1128">
        <v>133.36000000000001</v>
      </c>
      <c r="D2614" s="1128">
        <v>193.84</v>
      </c>
      <c r="E2614" s="1126"/>
    </row>
    <row r="2615" spans="1:5" x14ac:dyDescent="0.2">
      <c r="A2615" s="1126" t="s">
        <v>3197</v>
      </c>
      <c r="B2615" s="1127">
        <v>80</v>
      </c>
      <c r="C2615" s="1128">
        <v>2.65</v>
      </c>
      <c r="D2615" s="1128">
        <v>57.64</v>
      </c>
      <c r="E2615" s="1126"/>
    </row>
    <row r="2616" spans="1:5" x14ac:dyDescent="0.2">
      <c r="A2616" s="1126" t="s">
        <v>3198</v>
      </c>
      <c r="B2616" s="1127">
        <v>403</v>
      </c>
      <c r="C2616" s="1128">
        <v>0</v>
      </c>
      <c r="D2616" s="1128">
        <v>160.28</v>
      </c>
      <c r="E2616" s="1126"/>
    </row>
    <row r="2617" spans="1:5" x14ac:dyDescent="0.2">
      <c r="A2617" s="1126" t="s">
        <v>3199</v>
      </c>
      <c r="B2617" s="1127">
        <v>256</v>
      </c>
      <c r="C2617" s="1128">
        <v>0</v>
      </c>
      <c r="D2617" s="1128">
        <v>55.54</v>
      </c>
      <c r="E2617" s="1126"/>
    </row>
    <row r="2618" spans="1:5" x14ac:dyDescent="0.2">
      <c r="A2618" s="1126" t="s">
        <v>3200</v>
      </c>
      <c r="B2618" s="1127">
        <v>126</v>
      </c>
      <c r="C2618" s="1128">
        <v>8.59</v>
      </c>
      <c r="D2618" s="1128">
        <v>95.19</v>
      </c>
      <c r="E2618" s="1126"/>
    </row>
    <row r="2619" spans="1:5" x14ac:dyDescent="0.2">
      <c r="A2619" s="1126" t="s">
        <v>3201</v>
      </c>
      <c r="B2619" s="1127">
        <v>162</v>
      </c>
      <c r="C2619" s="1128">
        <v>0</v>
      </c>
      <c r="D2619" s="1128">
        <v>80.040000000000006</v>
      </c>
      <c r="E2619" s="1126"/>
    </row>
    <row r="2620" spans="1:5" x14ac:dyDescent="0.2">
      <c r="A2620" s="1126" t="s">
        <v>3202</v>
      </c>
      <c r="B2620" s="1127">
        <v>175</v>
      </c>
      <c r="C2620" s="1128">
        <v>285.38</v>
      </c>
      <c r="D2620" s="1128">
        <v>405.67</v>
      </c>
      <c r="E2620" s="1126"/>
    </row>
    <row r="2621" spans="1:5" x14ac:dyDescent="0.2">
      <c r="A2621" s="1126" t="s">
        <v>3203</v>
      </c>
      <c r="B2621" s="1127">
        <v>184</v>
      </c>
      <c r="C2621" s="1128">
        <v>0</v>
      </c>
      <c r="D2621" s="1128">
        <v>40.89</v>
      </c>
      <c r="E2621" s="1126"/>
    </row>
    <row r="2622" spans="1:5" x14ac:dyDescent="0.2">
      <c r="A2622" s="1126" t="s">
        <v>3204</v>
      </c>
      <c r="B2622" s="1127">
        <v>290</v>
      </c>
      <c r="C2622" s="1128">
        <v>24.06</v>
      </c>
      <c r="D2622" s="1128">
        <v>223.4</v>
      </c>
      <c r="E2622" s="1126"/>
    </row>
    <row r="2623" spans="1:5" x14ac:dyDescent="0.2">
      <c r="A2623" s="1126" t="s">
        <v>3205</v>
      </c>
      <c r="B2623" s="1127">
        <v>280</v>
      </c>
      <c r="C2623" s="1128">
        <v>0</v>
      </c>
      <c r="D2623" s="1128">
        <v>129.44999999999999</v>
      </c>
      <c r="E2623" s="1126"/>
    </row>
    <row r="2624" spans="1:5" x14ac:dyDescent="0.2">
      <c r="A2624" s="1126" t="s">
        <v>3206</v>
      </c>
      <c r="B2624" s="1127">
        <v>306</v>
      </c>
      <c r="C2624" s="1128">
        <v>0</v>
      </c>
      <c r="D2624" s="1128">
        <v>149.30000000000001</v>
      </c>
      <c r="E2624" s="1126"/>
    </row>
    <row r="2625" spans="1:5" x14ac:dyDescent="0.2">
      <c r="A2625" s="1126" t="s">
        <v>3207</v>
      </c>
      <c r="B2625" s="1127">
        <v>154</v>
      </c>
      <c r="C2625" s="1128">
        <v>0</v>
      </c>
      <c r="D2625" s="1128">
        <v>36.67</v>
      </c>
      <c r="E2625" s="1126"/>
    </row>
    <row r="2626" spans="1:5" x14ac:dyDescent="0.2">
      <c r="A2626" s="1126" t="s">
        <v>3208</v>
      </c>
      <c r="B2626" s="1127">
        <v>180</v>
      </c>
      <c r="C2626" s="1128">
        <v>114.09</v>
      </c>
      <c r="D2626" s="1128">
        <v>237.81</v>
      </c>
      <c r="E2626" s="1126"/>
    </row>
    <row r="2627" spans="1:5" x14ac:dyDescent="0.2">
      <c r="A2627" s="1126" t="s">
        <v>3209</v>
      </c>
      <c r="B2627" s="1127">
        <v>266</v>
      </c>
      <c r="C2627" s="1128">
        <v>0</v>
      </c>
      <c r="D2627" s="1128">
        <v>143.58000000000001</v>
      </c>
      <c r="E2627" s="1126"/>
    </row>
    <row r="2628" spans="1:5" x14ac:dyDescent="0.2">
      <c r="A2628" s="1126" t="s">
        <v>3210</v>
      </c>
      <c r="B2628" s="1127">
        <v>98</v>
      </c>
      <c r="C2628" s="1128">
        <v>0</v>
      </c>
      <c r="D2628" s="1128">
        <v>29.77</v>
      </c>
      <c r="E2628" s="1126"/>
    </row>
    <row r="2629" spans="1:5" x14ac:dyDescent="0.2">
      <c r="A2629" s="1126" t="s">
        <v>3211</v>
      </c>
      <c r="B2629" s="1127">
        <v>250</v>
      </c>
      <c r="C2629" s="1128">
        <v>64.7</v>
      </c>
      <c r="D2629" s="1128">
        <v>236.54</v>
      </c>
      <c r="E2629" s="1126"/>
    </row>
    <row r="2630" spans="1:5" x14ac:dyDescent="0.2">
      <c r="A2630" s="1126" t="s">
        <v>3212</v>
      </c>
      <c r="B2630" s="1127">
        <v>168</v>
      </c>
      <c r="C2630" s="1128">
        <v>153.54</v>
      </c>
      <c r="D2630" s="1128">
        <v>269.02</v>
      </c>
      <c r="E2630" s="1126"/>
    </row>
    <row r="2631" spans="1:5" x14ac:dyDescent="0.2">
      <c r="A2631" s="1126" t="s">
        <v>3213</v>
      </c>
      <c r="B2631" s="1127">
        <v>148</v>
      </c>
      <c r="C2631" s="1128">
        <v>0</v>
      </c>
      <c r="D2631" s="1128">
        <v>40.83</v>
      </c>
      <c r="E2631" s="1126"/>
    </row>
    <row r="2632" spans="1:5" x14ac:dyDescent="0.2">
      <c r="A2632" s="1126" t="s">
        <v>3214</v>
      </c>
      <c r="B2632" s="1127">
        <v>346</v>
      </c>
      <c r="C2632" s="1128">
        <v>97.6</v>
      </c>
      <c r="D2632" s="1128">
        <v>335.43</v>
      </c>
      <c r="E2632" s="1126"/>
    </row>
    <row r="2633" spans="1:5" x14ac:dyDescent="0.2">
      <c r="A2633" s="1126" t="s">
        <v>3215</v>
      </c>
      <c r="B2633" s="1127">
        <v>213</v>
      </c>
      <c r="C2633" s="1128">
        <v>0</v>
      </c>
      <c r="D2633" s="1128">
        <v>74.53</v>
      </c>
      <c r="E2633" s="1126"/>
    </row>
    <row r="2634" spans="1:5" x14ac:dyDescent="0.2">
      <c r="A2634" s="1126" t="s">
        <v>3216</v>
      </c>
      <c r="B2634" s="1127">
        <v>193</v>
      </c>
      <c r="C2634" s="1128">
        <v>0</v>
      </c>
      <c r="D2634" s="1128">
        <v>92.5</v>
      </c>
      <c r="E2634" s="1126"/>
    </row>
    <row r="2635" spans="1:5" x14ac:dyDescent="0.2">
      <c r="A2635" s="1126" t="s">
        <v>3217</v>
      </c>
      <c r="B2635" s="1127">
        <v>344</v>
      </c>
      <c r="C2635" s="1128">
        <v>0</v>
      </c>
      <c r="D2635" s="1128">
        <v>180.82</v>
      </c>
      <c r="E2635" s="1126"/>
    </row>
    <row r="2636" spans="1:5" x14ac:dyDescent="0.2">
      <c r="A2636" s="1126" t="s">
        <v>3218</v>
      </c>
      <c r="B2636" s="1127">
        <v>223</v>
      </c>
      <c r="C2636" s="1128">
        <v>338.67</v>
      </c>
      <c r="D2636" s="1128">
        <v>491.95</v>
      </c>
      <c r="E2636" s="1126"/>
    </row>
    <row r="2637" spans="1:5" x14ac:dyDescent="0.2">
      <c r="A2637" s="1126" t="s">
        <v>3219</v>
      </c>
      <c r="B2637" s="1127">
        <v>251</v>
      </c>
      <c r="C2637" s="1128">
        <v>75.040000000000006</v>
      </c>
      <c r="D2637" s="1128">
        <v>247.57</v>
      </c>
      <c r="E2637" s="1126"/>
    </row>
    <row r="2638" spans="1:5" x14ac:dyDescent="0.2">
      <c r="A2638" s="1126" t="s">
        <v>3220</v>
      </c>
      <c r="B2638" s="1127">
        <v>396</v>
      </c>
      <c r="C2638" s="1128">
        <v>0</v>
      </c>
      <c r="D2638" s="1128">
        <v>60.72</v>
      </c>
      <c r="E2638" s="1126"/>
    </row>
    <row r="2639" spans="1:5" x14ac:dyDescent="0.2">
      <c r="A2639" s="1126" t="s">
        <v>3221</v>
      </c>
      <c r="B2639" s="1127">
        <v>223</v>
      </c>
      <c r="C2639" s="1128">
        <v>366.07</v>
      </c>
      <c r="D2639" s="1128">
        <v>519.35</v>
      </c>
      <c r="E2639" s="1126"/>
    </row>
    <row r="2640" spans="1:5" x14ac:dyDescent="0.2">
      <c r="A2640" s="1126" t="s">
        <v>3222</v>
      </c>
      <c r="B2640" s="1127">
        <v>248</v>
      </c>
      <c r="C2640" s="1128">
        <v>0</v>
      </c>
      <c r="D2640" s="1128">
        <v>169.07</v>
      </c>
      <c r="E2640" s="1126"/>
    </row>
    <row r="2641" spans="1:5" x14ac:dyDescent="0.2">
      <c r="A2641" s="1126" t="s">
        <v>3223</v>
      </c>
      <c r="B2641" s="1127">
        <v>150</v>
      </c>
      <c r="C2641" s="1128">
        <v>0</v>
      </c>
      <c r="D2641" s="1128">
        <v>36.17</v>
      </c>
      <c r="E2641" s="1126"/>
    </row>
    <row r="2642" spans="1:5" x14ac:dyDescent="0.2">
      <c r="A2642" s="1126" t="s">
        <v>3224</v>
      </c>
      <c r="B2642" s="1127">
        <v>85</v>
      </c>
      <c r="C2642" s="1128">
        <v>0</v>
      </c>
      <c r="D2642" s="1128">
        <v>20.059999999999999</v>
      </c>
      <c r="E2642" s="1126"/>
    </row>
    <row r="2643" spans="1:5" x14ac:dyDescent="0.2">
      <c r="A2643" s="1126" t="s">
        <v>3225</v>
      </c>
      <c r="B2643" s="1127">
        <v>281</v>
      </c>
      <c r="C2643" s="1128">
        <v>0</v>
      </c>
      <c r="D2643" s="1128">
        <v>53.1</v>
      </c>
      <c r="E2643" s="1126"/>
    </row>
    <row r="2644" spans="1:5" x14ac:dyDescent="0.2">
      <c r="A2644" s="1126" t="s">
        <v>3226</v>
      </c>
      <c r="B2644" s="1127">
        <v>423</v>
      </c>
      <c r="C2644" s="1128">
        <v>0</v>
      </c>
      <c r="D2644" s="1128">
        <v>15.3</v>
      </c>
      <c r="E2644" s="1126"/>
    </row>
    <row r="2645" spans="1:5" x14ac:dyDescent="0.2">
      <c r="A2645" s="1126" t="s">
        <v>3227</v>
      </c>
      <c r="B2645" s="1127">
        <v>382</v>
      </c>
      <c r="C2645" s="1128">
        <v>0</v>
      </c>
      <c r="D2645" s="1128">
        <v>109.59</v>
      </c>
      <c r="E2645" s="1126"/>
    </row>
    <row r="2646" spans="1:5" x14ac:dyDescent="0.2">
      <c r="A2646" s="1126" t="s">
        <v>3228</v>
      </c>
      <c r="B2646" s="1127">
        <v>81</v>
      </c>
      <c r="C2646" s="1128">
        <v>0</v>
      </c>
      <c r="D2646" s="1128">
        <v>11.17</v>
      </c>
      <c r="E2646" s="1126"/>
    </row>
    <row r="2647" spans="1:5" x14ac:dyDescent="0.2">
      <c r="A2647" s="1126" t="s">
        <v>3229</v>
      </c>
      <c r="B2647" s="1127">
        <v>409</v>
      </c>
      <c r="C2647" s="1128">
        <v>0</v>
      </c>
      <c r="D2647" s="1128">
        <v>94.84</v>
      </c>
      <c r="E2647" s="1126"/>
    </row>
    <row r="2648" spans="1:5" x14ac:dyDescent="0.2">
      <c r="A2648" s="1126" t="s">
        <v>3230</v>
      </c>
      <c r="B2648" s="1127">
        <v>113</v>
      </c>
      <c r="C2648" s="1128">
        <v>202.46</v>
      </c>
      <c r="D2648" s="1128">
        <v>280.14</v>
      </c>
      <c r="E2648" s="1126"/>
    </row>
    <row r="2649" spans="1:5" x14ac:dyDescent="0.2">
      <c r="A2649" s="1126" t="s">
        <v>3231</v>
      </c>
      <c r="B2649" s="1127">
        <v>112</v>
      </c>
      <c r="C2649" s="1128">
        <v>0</v>
      </c>
      <c r="D2649" s="1128">
        <v>0</v>
      </c>
      <c r="E2649" s="1126"/>
    </row>
    <row r="2650" spans="1:5" x14ac:dyDescent="0.2">
      <c r="A2650" s="1126" t="s">
        <v>3232</v>
      </c>
      <c r="B2650" s="1127">
        <v>41</v>
      </c>
      <c r="C2650" s="1128">
        <v>5.46</v>
      </c>
      <c r="D2650" s="1128">
        <v>33.64</v>
      </c>
      <c r="E2650" s="1126"/>
    </row>
    <row r="2651" spans="1:5" x14ac:dyDescent="0.2">
      <c r="A2651" s="1126" t="s">
        <v>3233</v>
      </c>
      <c r="B2651" s="1127">
        <v>89</v>
      </c>
      <c r="C2651" s="1128">
        <v>43.01</v>
      </c>
      <c r="D2651" s="1128">
        <v>104.19</v>
      </c>
      <c r="E2651" s="1126"/>
    </row>
    <row r="2652" spans="1:5" x14ac:dyDescent="0.2">
      <c r="A2652" s="1126" t="s">
        <v>3234</v>
      </c>
      <c r="B2652" s="1127">
        <v>232</v>
      </c>
      <c r="C2652" s="1128">
        <v>0</v>
      </c>
      <c r="D2652" s="1128">
        <v>34.68</v>
      </c>
      <c r="E2652" s="1126"/>
    </row>
    <row r="2653" spans="1:5" x14ac:dyDescent="0.2">
      <c r="A2653" s="1126" t="s">
        <v>3235</v>
      </c>
      <c r="B2653" s="1127">
        <v>371</v>
      </c>
      <c r="C2653" s="1128">
        <v>0</v>
      </c>
      <c r="D2653" s="1128">
        <v>60.8</v>
      </c>
      <c r="E2653" s="1126"/>
    </row>
    <row r="2654" spans="1:5" x14ac:dyDescent="0.2">
      <c r="A2654" s="1126" t="s">
        <v>3236</v>
      </c>
      <c r="B2654" s="1127">
        <v>63</v>
      </c>
      <c r="C2654" s="1128">
        <v>0</v>
      </c>
      <c r="D2654" s="1128">
        <v>40.14</v>
      </c>
      <c r="E2654" s="1126"/>
    </row>
    <row r="2655" spans="1:5" x14ac:dyDescent="0.2">
      <c r="A2655" s="1126" t="s">
        <v>3237</v>
      </c>
      <c r="B2655" s="1127">
        <v>185</v>
      </c>
      <c r="C2655" s="1128">
        <v>129.81</v>
      </c>
      <c r="D2655" s="1128">
        <v>256.97000000000003</v>
      </c>
      <c r="E2655" s="1126"/>
    </row>
    <row r="2656" spans="1:5" x14ac:dyDescent="0.2">
      <c r="A2656" s="1126" t="s">
        <v>3238</v>
      </c>
      <c r="B2656" s="1127">
        <v>79</v>
      </c>
      <c r="C2656" s="1128">
        <v>83.82</v>
      </c>
      <c r="D2656" s="1128">
        <v>138.12</v>
      </c>
      <c r="E2656" s="1126"/>
    </row>
    <row r="2657" spans="1:5" x14ac:dyDescent="0.2">
      <c r="A2657" s="1126" t="s">
        <v>3239</v>
      </c>
      <c r="B2657" s="1127">
        <v>41</v>
      </c>
      <c r="C2657" s="1128">
        <v>9.1999999999999993</v>
      </c>
      <c r="D2657" s="1128">
        <v>37.380000000000003</v>
      </c>
      <c r="E2657" s="1126"/>
    </row>
    <row r="2658" spans="1:5" x14ac:dyDescent="0.2">
      <c r="A2658" s="1126" t="s">
        <v>3240</v>
      </c>
      <c r="B2658" s="1127">
        <v>233</v>
      </c>
      <c r="C2658" s="1128">
        <v>0</v>
      </c>
      <c r="D2658" s="1128">
        <v>67.69</v>
      </c>
      <c r="E2658" s="1126"/>
    </row>
    <row r="2659" spans="1:5" x14ac:dyDescent="0.2">
      <c r="A2659" s="1126" t="s">
        <v>3241</v>
      </c>
      <c r="B2659" s="1127">
        <v>257</v>
      </c>
      <c r="C2659" s="1128">
        <v>50.84</v>
      </c>
      <c r="D2659" s="1128">
        <v>227.5</v>
      </c>
      <c r="E2659" s="1126"/>
    </row>
    <row r="2660" spans="1:5" x14ac:dyDescent="0.2">
      <c r="A2660" s="1126" t="s">
        <v>3242</v>
      </c>
      <c r="B2660" s="1127">
        <v>181</v>
      </c>
      <c r="C2660" s="1128">
        <v>0</v>
      </c>
      <c r="D2660" s="1128">
        <v>97.67</v>
      </c>
      <c r="E2660" s="1126"/>
    </row>
    <row r="2661" spans="1:5" x14ac:dyDescent="0.2">
      <c r="A2661" s="1126" t="s">
        <v>3243</v>
      </c>
      <c r="B2661" s="1127">
        <v>95</v>
      </c>
      <c r="C2661" s="1128">
        <v>15.27</v>
      </c>
      <c r="D2661" s="1128">
        <v>80.569999999999993</v>
      </c>
      <c r="E2661" s="1126"/>
    </row>
    <row r="2662" spans="1:5" x14ac:dyDescent="0.2">
      <c r="A2662" s="1126" t="s">
        <v>3244</v>
      </c>
      <c r="B2662" s="1127">
        <v>255</v>
      </c>
      <c r="C2662" s="1128">
        <v>381.26</v>
      </c>
      <c r="D2662" s="1128">
        <v>556.54</v>
      </c>
      <c r="E2662" s="1126"/>
    </row>
    <row r="2663" spans="1:5" x14ac:dyDescent="0.2">
      <c r="A2663" s="1126" t="s">
        <v>3245</v>
      </c>
      <c r="B2663" s="1127">
        <v>190</v>
      </c>
      <c r="C2663" s="1128">
        <v>49.92</v>
      </c>
      <c r="D2663" s="1128">
        <v>180.52</v>
      </c>
      <c r="E2663" s="1126"/>
    </row>
    <row r="2664" spans="1:5" x14ac:dyDescent="0.2">
      <c r="A2664" s="1126" t="s">
        <v>3246</v>
      </c>
      <c r="B2664" s="1127">
        <v>240</v>
      </c>
      <c r="C2664" s="1128">
        <v>28.88</v>
      </c>
      <c r="D2664" s="1128">
        <v>193.85</v>
      </c>
      <c r="E2664" s="1126"/>
    </row>
    <row r="2665" spans="1:5" x14ac:dyDescent="0.2">
      <c r="A2665" s="1126" t="s">
        <v>3247</v>
      </c>
      <c r="B2665" s="1127">
        <v>402</v>
      </c>
      <c r="C2665" s="1128">
        <v>0</v>
      </c>
      <c r="D2665" s="1128">
        <v>9.5500000000000007</v>
      </c>
      <c r="E2665" s="1126"/>
    </row>
    <row r="2666" spans="1:5" x14ac:dyDescent="0.2">
      <c r="A2666" s="1126" t="s">
        <v>3248</v>
      </c>
      <c r="B2666" s="1127">
        <v>49</v>
      </c>
      <c r="C2666" s="1128">
        <v>0</v>
      </c>
      <c r="D2666" s="1128">
        <v>0</v>
      </c>
      <c r="E2666" s="1126"/>
    </row>
    <row r="2667" spans="1:5" x14ac:dyDescent="0.2">
      <c r="A2667" s="1126" t="s">
        <v>3249</v>
      </c>
      <c r="B2667" s="1127">
        <v>144</v>
      </c>
      <c r="C2667" s="1128">
        <v>0</v>
      </c>
      <c r="D2667" s="1128">
        <v>44.59</v>
      </c>
      <c r="E2667" s="1126"/>
    </row>
    <row r="2668" spans="1:5" x14ac:dyDescent="0.2">
      <c r="A2668" s="1126" t="s">
        <v>3250</v>
      </c>
      <c r="B2668" s="1127">
        <v>324</v>
      </c>
      <c r="C2668" s="1128">
        <v>346.25</v>
      </c>
      <c r="D2668" s="1128">
        <v>568.95000000000005</v>
      </c>
      <c r="E2668" s="1126"/>
    </row>
    <row r="2669" spans="1:5" x14ac:dyDescent="0.2">
      <c r="A2669" s="1126" t="s">
        <v>3251</v>
      </c>
      <c r="B2669" s="1127">
        <v>422</v>
      </c>
      <c r="C2669" s="1128">
        <v>37.549999999999997</v>
      </c>
      <c r="D2669" s="1128">
        <v>327.62</v>
      </c>
      <c r="E2669" s="1126"/>
    </row>
    <row r="2670" spans="1:5" x14ac:dyDescent="0.2">
      <c r="A2670" s="1126" t="s">
        <v>3252</v>
      </c>
      <c r="B2670" s="1127">
        <v>54</v>
      </c>
      <c r="C2670" s="1128">
        <v>0</v>
      </c>
      <c r="D2670" s="1128">
        <v>15.86</v>
      </c>
      <c r="E2670" s="1126"/>
    </row>
    <row r="2671" spans="1:5" x14ac:dyDescent="0.2">
      <c r="A2671" s="1126" t="s">
        <v>3253</v>
      </c>
      <c r="B2671" s="1127">
        <v>219</v>
      </c>
      <c r="C2671" s="1128">
        <v>0</v>
      </c>
      <c r="D2671" s="1128">
        <v>44.63</v>
      </c>
      <c r="E2671" s="1126"/>
    </row>
    <row r="2672" spans="1:5" x14ac:dyDescent="0.2">
      <c r="A2672" s="1126" t="s">
        <v>3254</v>
      </c>
      <c r="B2672" s="1127">
        <v>32</v>
      </c>
      <c r="C2672" s="1128">
        <v>0</v>
      </c>
      <c r="D2672" s="1128">
        <v>0</v>
      </c>
      <c r="E2672" s="1126" t="s">
        <v>669</v>
      </c>
    </row>
    <row r="2673" spans="1:5" x14ac:dyDescent="0.2">
      <c r="A2673" s="1126" t="s">
        <v>3255</v>
      </c>
      <c r="B2673" s="1127">
        <v>128</v>
      </c>
      <c r="C2673" s="1128">
        <v>55.36</v>
      </c>
      <c r="D2673" s="1128">
        <v>143.35</v>
      </c>
      <c r="E2673" s="1126"/>
    </row>
    <row r="2674" spans="1:5" x14ac:dyDescent="0.2">
      <c r="A2674" s="1126" t="s">
        <v>3256</v>
      </c>
      <c r="B2674" s="1127">
        <v>67</v>
      </c>
      <c r="C2674" s="1128">
        <v>0</v>
      </c>
      <c r="D2674" s="1128">
        <v>34.79</v>
      </c>
      <c r="E2674" s="1126"/>
    </row>
    <row r="2675" spans="1:5" x14ac:dyDescent="0.2">
      <c r="A2675" s="1126" t="s">
        <v>3257</v>
      </c>
      <c r="B2675" s="1127">
        <v>245</v>
      </c>
      <c r="C2675" s="1128">
        <v>124.7</v>
      </c>
      <c r="D2675" s="1128">
        <v>293.10000000000002</v>
      </c>
      <c r="E2675" s="1126"/>
    </row>
    <row r="2676" spans="1:5" x14ac:dyDescent="0.2">
      <c r="A2676" s="1126" t="s">
        <v>3258</v>
      </c>
      <c r="B2676" s="1127">
        <v>114</v>
      </c>
      <c r="C2676" s="1128">
        <v>20.65</v>
      </c>
      <c r="D2676" s="1128">
        <v>99.01</v>
      </c>
      <c r="E2676" s="1126"/>
    </row>
    <row r="2677" spans="1:5" x14ac:dyDescent="0.2">
      <c r="A2677" s="1126" t="s">
        <v>3259</v>
      </c>
      <c r="B2677" s="1127">
        <v>74</v>
      </c>
      <c r="C2677" s="1128">
        <v>59.48</v>
      </c>
      <c r="D2677" s="1128">
        <v>110.34</v>
      </c>
      <c r="E2677" s="1126"/>
    </row>
    <row r="2678" spans="1:5" x14ac:dyDescent="0.2">
      <c r="A2678" s="1126" t="s">
        <v>3260</v>
      </c>
      <c r="B2678" s="1127">
        <v>235</v>
      </c>
      <c r="C2678" s="1128">
        <v>0</v>
      </c>
      <c r="D2678" s="1128">
        <v>108.41</v>
      </c>
      <c r="E2678" s="1126"/>
    </row>
    <row r="2679" spans="1:5" x14ac:dyDescent="0.2">
      <c r="A2679" s="1126" t="s">
        <v>3261</v>
      </c>
      <c r="B2679" s="1127">
        <v>259</v>
      </c>
      <c r="C2679" s="1128">
        <v>15.34</v>
      </c>
      <c r="D2679" s="1128">
        <v>193.36</v>
      </c>
      <c r="E2679" s="1126"/>
    </row>
    <row r="2680" spans="1:5" x14ac:dyDescent="0.2">
      <c r="A2680" s="1126" t="s">
        <v>3262</v>
      </c>
      <c r="B2680" s="1127">
        <v>247</v>
      </c>
      <c r="C2680" s="1128">
        <v>106.19</v>
      </c>
      <c r="D2680" s="1128">
        <v>275.97000000000003</v>
      </c>
      <c r="E2680" s="1126"/>
    </row>
    <row r="2681" spans="1:5" x14ac:dyDescent="0.2">
      <c r="A2681" s="1126" t="s">
        <v>3263</v>
      </c>
      <c r="B2681" s="1127">
        <v>75</v>
      </c>
      <c r="C2681" s="1128">
        <v>94.91</v>
      </c>
      <c r="D2681" s="1128">
        <v>146.47</v>
      </c>
      <c r="E2681" s="1126"/>
    </row>
    <row r="2682" spans="1:5" x14ac:dyDescent="0.2">
      <c r="A2682" s="1126" t="s">
        <v>3264</v>
      </c>
      <c r="B2682" s="1127">
        <v>68</v>
      </c>
      <c r="C2682" s="1128">
        <v>0</v>
      </c>
      <c r="D2682" s="1128">
        <v>17.27</v>
      </c>
      <c r="E2682" s="1126"/>
    </row>
    <row r="2683" spans="1:5" x14ac:dyDescent="0.2">
      <c r="A2683" s="1126" t="s">
        <v>3265</v>
      </c>
      <c r="B2683" s="1127">
        <v>124</v>
      </c>
      <c r="C2683" s="1128">
        <v>351.98</v>
      </c>
      <c r="D2683" s="1128">
        <v>437.22</v>
      </c>
      <c r="E2683" s="1126"/>
    </row>
    <row r="2684" spans="1:5" x14ac:dyDescent="0.2">
      <c r="A2684" s="1126" t="s">
        <v>3266</v>
      </c>
      <c r="B2684" s="1127">
        <v>150</v>
      </c>
      <c r="C2684" s="1128">
        <v>343.86</v>
      </c>
      <c r="D2684" s="1128">
        <v>446.96</v>
      </c>
      <c r="E2684" s="1126"/>
    </row>
    <row r="2685" spans="1:5" x14ac:dyDescent="0.2">
      <c r="A2685" s="1126" t="s">
        <v>3267</v>
      </c>
      <c r="B2685" s="1127">
        <v>101</v>
      </c>
      <c r="C2685" s="1128">
        <v>23.7</v>
      </c>
      <c r="D2685" s="1128">
        <v>93.13</v>
      </c>
      <c r="E2685" s="1126"/>
    </row>
    <row r="2686" spans="1:5" x14ac:dyDescent="0.2">
      <c r="A2686" s="1126" t="s">
        <v>3268</v>
      </c>
      <c r="B2686" s="1127">
        <v>327</v>
      </c>
      <c r="C2686" s="1128">
        <v>144.01</v>
      </c>
      <c r="D2686" s="1128">
        <v>368.78</v>
      </c>
      <c r="E2686" s="1126"/>
    </row>
    <row r="2687" spans="1:5" x14ac:dyDescent="0.2">
      <c r="A2687" s="1126" t="s">
        <v>3269</v>
      </c>
      <c r="B2687" s="1127">
        <v>272</v>
      </c>
      <c r="C2687" s="1128">
        <v>91.38</v>
      </c>
      <c r="D2687" s="1128">
        <v>278.33999999999997</v>
      </c>
      <c r="E2687" s="1126"/>
    </row>
    <row r="2688" spans="1:5" x14ac:dyDescent="0.2">
      <c r="A2688" s="1126" t="s">
        <v>3270</v>
      </c>
      <c r="B2688" s="1127">
        <v>79</v>
      </c>
      <c r="C2688" s="1128">
        <v>185.73</v>
      </c>
      <c r="D2688" s="1128">
        <v>240.03</v>
      </c>
      <c r="E2688" s="1126"/>
    </row>
    <row r="2689" spans="1:5" x14ac:dyDescent="0.2">
      <c r="A2689" s="1126" t="s">
        <v>3271</v>
      </c>
      <c r="B2689" s="1127">
        <v>129</v>
      </c>
      <c r="C2689" s="1128">
        <v>27.04</v>
      </c>
      <c r="D2689" s="1128">
        <v>115.71</v>
      </c>
      <c r="E2689" s="1126"/>
    </row>
    <row r="2690" spans="1:5" x14ac:dyDescent="0.2">
      <c r="A2690" s="1126" t="s">
        <v>3272</v>
      </c>
      <c r="B2690" s="1127">
        <v>113</v>
      </c>
      <c r="C2690" s="1128">
        <v>45.6</v>
      </c>
      <c r="D2690" s="1128">
        <v>123.27</v>
      </c>
      <c r="E2690" s="1126"/>
    </row>
    <row r="2691" spans="1:5" x14ac:dyDescent="0.2">
      <c r="A2691" s="1126" t="s">
        <v>3273</v>
      </c>
      <c r="B2691" s="1127">
        <v>207</v>
      </c>
      <c r="C2691" s="1128">
        <v>0</v>
      </c>
      <c r="D2691" s="1128">
        <v>96.74</v>
      </c>
      <c r="E2691" s="1126"/>
    </row>
    <row r="2692" spans="1:5" x14ac:dyDescent="0.2">
      <c r="A2692" s="1126" t="s">
        <v>3274</v>
      </c>
      <c r="B2692" s="1127">
        <v>130</v>
      </c>
      <c r="C2692" s="1128">
        <v>107.32</v>
      </c>
      <c r="D2692" s="1128">
        <v>196.67</v>
      </c>
      <c r="E2692" s="1126"/>
    </row>
    <row r="2693" spans="1:5" x14ac:dyDescent="0.2">
      <c r="A2693" s="1126" t="s">
        <v>3275</v>
      </c>
      <c r="B2693" s="1127">
        <v>225</v>
      </c>
      <c r="C2693" s="1128">
        <v>0</v>
      </c>
      <c r="D2693" s="1128">
        <v>124.98</v>
      </c>
      <c r="E2693" s="1126"/>
    </row>
    <row r="2694" spans="1:5" x14ac:dyDescent="0.2">
      <c r="A2694" s="1126" t="s">
        <v>3276</v>
      </c>
      <c r="B2694" s="1127">
        <v>178</v>
      </c>
      <c r="C2694" s="1128">
        <v>42.55</v>
      </c>
      <c r="D2694" s="1128">
        <v>164.9</v>
      </c>
      <c r="E2694" s="1126"/>
    </row>
    <row r="2695" spans="1:5" x14ac:dyDescent="0.2">
      <c r="A2695" s="1126" t="s">
        <v>3277</v>
      </c>
      <c r="B2695" s="1127">
        <v>57</v>
      </c>
      <c r="C2695" s="1128">
        <v>0</v>
      </c>
      <c r="D2695" s="1128">
        <v>5.73</v>
      </c>
      <c r="E2695" s="1126"/>
    </row>
    <row r="2696" spans="1:5" x14ac:dyDescent="0.2">
      <c r="A2696" s="1126" t="s">
        <v>3278</v>
      </c>
      <c r="B2696" s="1127">
        <v>228</v>
      </c>
      <c r="C2696" s="1128">
        <v>0</v>
      </c>
      <c r="D2696" s="1128">
        <v>59.02</v>
      </c>
      <c r="E2696" s="1126"/>
    </row>
    <row r="2697" spans="1:5" x14ac:dyDescent="0.2">
      <c r="A2697" s="1126" t="s">
        <v>3279</v>
      </c>
      <c r="B2697" s="1127">
        <v>171</v>
      </c>
      <c r="C2697" s="1128">
        <v>54.58</v>
      </c>
      <c r="D2697" s="1128">
        <v>172.12</v>
      </c>
      <c r="E2697" s="1126"/>
    </row>
    <row r="2698" spans="1:5" x14ac:dyDescent="0.2">
      <c r="A2698" s="1126" t="s">
        <v>3280</v>
      </c>
      <c r="B2698" s="1127">
        <v>171</v>
      </c>
      <c r="C2698" s="1128">
        <v>150.59</v>
      </c>
      <c r="D2698" s="1128">
        <v>268.13</v>
      </c>
      <c r="E2698" s="1126"/>
    </row>
    <row r="2699" spans="1:5" x14ac:dyDescent="0.2">
      <c r="A2699" s="1126" t="s">
        <v>3281</v>
      </c>
      <c r="B2699" s="1127">
        <v>234</v>
      </c>
      <c r="C2699" s="1128">
        <v>0</v>
      </c>
      <c r="D2699" s="1128">
        <v>85.94</v>
      </c>
      <c r="E2699" s="1126"/>
    </row>
    <row r="2700" spans="1:5" x14ac:dyDescent="0.2">
      <c r="A2700" s="1126" t="s">
        <v>3282</v>
      </c>
      <c r="B2700" s="1127">
        <v>89</v>
      </c>
      <c r="C2700" s="1128">
        <v>0</v>
      </c>
      <c r="D2700" s="1128">
        <v>21.74</v>
      </c>
      <c r="E2700" s="1126"/>
    </row>
    <row r="2701" spans="1:5" x14ac:dyDescent="0.2">
      <c r="A2701" s="1126" t="s">
        <v>3283</v>
      </c>
      <c r="B2701" s="1127">
        <v>54</v>
      </c>
      <c r="C2701" s="1128">
        <v>24.79</v>
      </c>
      <c r="D2701" s="1128">
        <v>61.9</v>
      </c>
      <c r="E2701" s="1126"/>
    </row>
    <row r="2702" spans="1:5" x14ac:dyDescent="0.2">
      <c r="A2702" s="1126" t="s">
        <v>3284</v>
      </c>
      <c r="B2702" s="1127">
        <v>113</v>
      </c>
      <c r="C2702" s="1128">
        <v>22.33</v>
      </c>
      <c r="D2702" s="1128">
        <v>100</v>
      </c>
      <c r="E2702" s="1126"/>
    </row>
    <row r="2703" spans="1:5" x14ac:dyDescent="0.2">
      <c r="A2703" s="1126" t="s">
        <v>3285</v>
      </c>
      <c r="B2703" s="1127">
        <v>75</v>
      </c>
      <c r="C2703" s="1128">
        <v>0</v>
      </c>
      <c r="D2703" s="1128">
        <v>9.57</v>
      </c>
      <c r="E2703" s="1126"/>
    </row>
    <row r="2704" spans="1:5" x14ac:dyDescent="0.2">
      <c r="A2704" s="1126" t="s">
        <v>3286</v>
      </c>
      <c r="B2704" s="1127">
        <v>277</v>
      </c>
      <c r="C2704" s="1128">
        <v>0</v>
      </c>
      <c r="D2704" s="1128">
        <v>78.37</v>
      </c>
      <c r="E2704" s="1126"/>
    </row>
    <row r="2705" spans="1:5" x14ac:dyDescent="0.2">
      <c r="A2705" s="1126" t="s">
        <v>3287</v>
      </c>
      <c r="B2705" s="1127">
        <v>200</v>
      </c>
      <c r="C2705" s="1128">
        <v>0</v>
      </c>
      <c r="D2705" s="1128">
        <v>83.7</v>
      </c>
      <c r="E2705" s="1126"/>
    </row>
    <row r="2706" spans="1:5" x14ac:dyDescent="0.2">
      <c r="A2706" s="1126" t="s">
        <v>3288</v>
      </c>
      <c r="B2706" s="1127">
        <v>64</v>
      </c>
      <c r="C2706" s="1128">
        <v>0</v>
      </c>
      <c r="D2706" s="1128">
        <v>19.77</v>
      </c>
      <c r="E2706" s="1126"/>
    </row>
    <row r="2707" spans="1:5" x14ac:dyDescent="0.2">
      <c r="A2707" s="1126" t="s">
        <v>3289</v>
      </c>
      <c r="B2707" s="1127">
        <v>101</v>
      </c>
      <c r="C2707" s="1128">
        <v>0.75</v>
      </c>
      <c r="D2707" s="1128">
        <v>70.180000000000007</v>
      </c>
      <c r="E2707" s="1126"/>
    </row>
    <row r="2708" spans="1:5" x14ac:dyDescent="0.2">
      <c r="A2708" s="1126" t="s">
        <v>3290</v>
      </c>
      <c r="B2708" s="1127">
        <v>382</v>
      </c>
      <c r="C2708" s="1128">
        <v>49.78</v>
      </c>
      <c r="D2708" s="1128">
        <v>312.35000000000002</v>
      </c>
      <c r="E2708" s="1126"/>
    </row>
    <row r="2709" spans="1:5" x14ac:dyDescent="0.2">
      <c r="A2709" s="1126" t="s">
        <v>3291</v>
      </c>
      <c r="B2709" s="1127">
        <v>307</v>
      </c>
      <c r="C2709" s="1128">
        <v>0</v>
      </c>
      <c r="D2709" s="1128">
        <v>72.36</v>
      </c>
      <c r="E2709" s="1126"/>
    </row>
    <row r="2710" spans="1:5" x14ac:dyDescent="0.2">
      <c r="A2710" s="1126" t="s">
        <v>3292</v>
      </c>
      <c r="B2710" s="1127">
        <v>152</v>
      </c>
      <c r="C2710" s="1128">
        <v>0</v>
      </c>
      <c r="D2710" s="1128">
        <v>69.92</v>
      </c>
      <c r="E2710" s="1126"/>
    </row>
    <row r="2711" spans="1:5" x14ac:dyDescent="0.2">
      <c r="A2711" s="1126" t="s">
        <v>3293</v>
      </c>
      <c r="B2711" s="1127">
        <v>64</v>
      </c>
      <c r="C2711" s="1128">
        <v>17.22</v>
      </c>
      <c r="D2711" s="1128">
        <v>61.21</v>
      </c>
      <c r="E2711" s="1126"/>
    </row>
    <row r="2712" spans="1:5" x14ac:dyDescent="0.2">
      <c r="A2712" s="1126" t="s">
        <v>3294</v>
      </c>
      <c r="B2712" s="1127">
        <v>73</v>
      </c>
      <c r="C2712" s="1128">
        <v>106.78</v>
      </c>
      <c r="D2712" s="1128">
        <v>156.96</v>
      </c>
      <c r="E2712" s="1126"/>
    </row>
    <row r="2713" spans="1:5" x14ac:dyDescent="0.2">
      <c r="A2713" s="1126" t="s">
        <v>3295</v>
      </c>
      <c r="B2713" s="1127">
        <v>208</v>
      </c>
      <c r="C2713" s="1128">
        <v>0</v>
      </c>
      <c r="D2713" s="1128">
        <v>78</v>
      </c>
      <c r="E2713" s="1126"/>
    </row>
    <row r="2714" spans="1:5" x14ac:dyDescent="0.2">
      <c r="A2714" s="1126" t="s">
        <v>3296</v>
      </c>
      <c r="B2714" s="1127">
        <v>307</v>
      </c>
      <c r="C2714" s="1128">
        <v>0</v>
      </c>
      <c r="D2714" s="1128">
        <v>33.57</v>
      </c>
      <c r="E2714" s="1126"/>
    </row>
    <row r="2715" spans="1:5" x14ac:dyDescent="0.2">
      <c r="A2715" s="1126" t="s">
        <v>3297</v>
      </c>
      <c r="B2715" s="1127">
        <v>202</v>
      </c>
      <c r="C2715" s="1128">
        <v>49.46</v>
      </c>
      <c r="D2715" s="1128">
        <v>188.31</v>
      </c>
      <c r="E2715" s="1126"/>
    </row>
    <row r="2716" spans="1:5" x14ac:dyDescent="0.2">
      <c r="A2716" s="1126" t="s">
        <v>3298</v>
      </c>
      <c r="B2716" s="1127">
        <v>246</v>
      </c>
      <c r="C2716" s="1128">
        <v>0</v>
      </c>
      <c r="D2716" s="1128">
        <v>59.41</v>
      </c>
      <c r="E2716" s="1126"/>
    </row>
    <row r="2717" spans="1:5" x14ac:dyDescent="0.2">
      <c r="A2717" s="1126" t="s">
        <v>3299</v>
      </c>
      <c r="B2717" s="1127">
        <v>246</v>
      </c>
      <c r="C2717" s="1128">
        <v>0</v>
      </c>
      <c r="D2717" s="1128">
        <v>123.12</v>
      </c>
      <c r="E2717" s="1126"/>
    </row>
    <row r="2718" spans="1:5" x14ac:dyDescent="0.2">
      <c r="A2718" s="1126" t="s">
        <v>3300</v>
      </c>
      <c r="B2718" s="1127">
        <v>75</v>
      </c>
      <c r="C2718" s="1128">
        <v>0</v>
      </c>
      <c r="D2718" s="1128">
        <v>20.05</v>
      </c>
      <c r="E2718" s="1126"/>
    </row>
    <row r="2719" spans="1:5" x14ac:dyDescent="0.2">
      <c r="A2719" s="1126" t="s">
        <v>3301</v>
      </c>
      <c r="B2719" s="1127">
        <v>129</v>
      </c>
      <c r="C2719" s="1128">
        <v>0</v>
      </c>
      <c r="D2719" s="1128">
        <v>78.489999999999995</v>
      </c>
      <c r="E2719" s="1126"/>
    </row>
    <row r="2720" spans="1:5" x14ac:dyDescent="0.2">
      <c r="A2720" s="1126" t="s">
        <v>3302</v>
      </c>
      <c r="B2720" s="1127">
        <v>224</v>
      </c>
      <c r="C2720" s="1128">
        <v>171.98</v>
      </c>
      <c r="D2720" s="1128">
        <v>325.95</v>
      </c>
      <c r="E2720" s="1126"/>
    </row>
    <row r="2721" spans="1:5" x14ac:dyDescent="0.2">
      <c r="A2721" s="1126" t="s">
        <v>3303</v>
      </c>
      <c r="B2721" s="1127">
        <v>266</v>
      </c>
      <c r="C2721" s="1128">
        <v>0</v>
      </c>
      <c r="D2721" s="1128">
        <v>89.67</v>
      </c>
      <c r="E2721" s="1126"/>
    </row>
    <row r="2722" spans="1:5" x14ac:dyDescent="0.2">
      <c r="A2722" s="1126" t="s">
        <v>3304</v>
      </c>
      <c r="B2722" s="1127">
        <v>75</v>
      </c>
      <c r="C2722" s="1128">
        <v>164.28</v>
      </c>
      <c r="D2722" s="1128">
        <v>215.84</v>
      </c>
      <c r="E2722" s="1126"/>
    </row>
    <row r="2723" spans="1:5" x14ac:dyDescent="0.2">
      <c r="A2723" s="1126" t="s">
        <v>3305</v>
      </c>
      <c r="B2723" s="1127">
        <v>123</v>
      </c>
      <c r="C2723" s="1128">
        <v>0</v>
      </c>
      <c r="D2723" s="1128">
        <v>58.2</v>
      </c>
      <c r="E2723" s="1126"/>
    </row>
    <row r="2724" spans="1:5" x14ac:dyDescent="0.2">
      <c r="A2724" s="1126" t="s">
        <v>3306</v>
      </c>
      <c r="B2724" s="1127">
        <v>298</v>
      </c>
      <c r="C2724" s="1128">
        <v>803.27</v>
      </c>
      <c r="D2724" s="1128">
        <v>1008.1</v>
      </c>
      <c r="E2724" s="1126"/>
    </row>
    <row r="2725" spans="1:5" x14ac:dyDescent="0.2">
      <c r="A2725" s="1126" t="s">
        <v>3307</v>
      </c>
      <c r="B2725" s="1127">
        <v>130</v>
      </c>
      <c r="C2725" s="1128">
        <v>25.98</v>
      </c>
      <c r="D2725" s="1128">
        <v>115.33</v>
      </c>
      <c r="E2725" s="1126"/>
    </row>
    <row r="2726" spans="1:5" x14ac:dyDescent="0.2">
      <c r="A2726" s="1126" t="s">
        <v>3308</v>
      </c>
      <c r="B2726" s="1127">
        <v>147</v>
      </c>
      <c r="C2726" s="1128">
        <v>0</v>
      </c>
      <c r="D2726" s="1128">
        <v>92.95</v>
      </c>
      <c r="E2726" s="1126"/>
    </row>
    <row r="2727" spans="1:5" x14ac:dyDescent="0.2">
      <c r="A2727" s="1126" t="s">
        <v>3309</v>
      </c>
      <c r="B2727" s="1127">
        <v>343</v>
      </c>
      <c r="C2727" s="1128">
        <v>0</v>
      </c>
      <c r="D2727" s="1128">
        <v>148.88999999999999</v>
      </c>
      <c r="E2727" s="1126"/>
    </row>
    <row r="2728" spans="1:5" x14ac:dyDescent="0.2">
      <c r="A2728" s="1126" t="s">
        <v>3310</v>
      </c>
      <c r="B2728" s="1127">
        <v>355</v>
      </c>
      <c r="C2728" s="1128">
        <v>0</v>
      </c>
      <c r="D2728" s="1128">
        <v>164.18</v>
      </c>
      <c r="E2728" s="1126"/>
    </row>
    <row r="2729" spans="1:5" x14ac:dyDescent="0.2">
      <c r="A2729" s="1126" t="s">
        <v>3311</v>
      </c>
      <c r="B2729" s="1127">
        <v>269</v>
      </c>
      <c r="C2729" s="1128">
        <v>0</v>
      </c>
      <c r="D2729" s="1128">
        <v>150.97999999999999</v>
      </c>
      <c r="E2729" s="1126"/>
    </row>
    <row r="2730" spans="1:5" x14ac:dyDescent="0.2">
      <c r="A2730" s="1126" t="s">
        <v>3312</v>
      </c>
      <c r="B2730" s="1127">
        <v>175</v>
      </c>
      <c r="C2730" s="1128">
        <v>0</v>
      </c>
      <c r="D2730" s="1128">
        <v>77.540000000000006</v>
      </c>
      <c r="E2730" s="1126"/>
    </row>
    <row r="2731" spans="1:5" x14ac:dyDescent="0.2">
      <c r="A2731" s="1126" t="s">
        <v>3313</v>
      </c>
      <c r="B2731" s="1127">
        <v>290</v>
      </c>
      <c r="C2731" s="1128">
        <v>600.83000000000004</v>
      </c>
      <c r="D2731" s="1128">
        <v>800.17</v>
      </c>
      <c r="E2731" s="1126"/>
    </row>
    <row r="2732" spans="1:5" x14ac:dyDescent="0.2">
      <c r="A2732" s="1126" t="s">
        <v>3314</v>
      </c>
      <c r="B2732" s="1127">
        <v>126</v>
      </c>
      <c r="C2732" s="1128">
        <v>116.26</v>
      </c>
      <c r="D2732" s="1128">
        <v>202.87</v>
      </c>
      <c r="E2732" s="1126"/>
    </row>
    <row r="2733" spans="1:5" x14ac:dyDescent="0.2">
      <c r="A2733" s="1126" t="s">
        <v>3315</v>
      </c>
      <c r="B2733" s="1127">
        <v>272</v>
      </c>
      <c r="C2733" s="1128">
        <v>246.58</v>
      </c>
      <c r="D2733" s="1128">
        <v>433.55</v>
      </c>
      <c r="E2733" s="1126"/>
    </row>
    <row r="2734" spans="1:5" x14ac:dyDescent="0.2">
      <c r="A2734" s="1126" t="s">
        <v>3316</v>
      </c>
      <c r="B2734" s="1127">
        <v>313</v>
      </c>
      <c r="C2734" s="1128">
        <v>0</v>
      </c>
      <c r="D2734" s="1128">
        <v>201.83</v>
      </c>
      <c r="E2734" s="1126"/>
    </row>
    <row r="2735" spans="1:5" x14ac:dyDescent="0.2">
      <c r="A2735" s="1126" t="s">
        <v>3317</v>
      </c>
      <c r="B2735" s="1127">
        <v>181</v>
      </c>
      <c r="C2735" s="1128">
        <v>331.78</v>
      </c>
      <c r="D2735" s="1128">
        <v>456.19</v>
      </c>
      <c r="E2735" s="1126"/>
    </row>
    <row r="2736" spans="1:5" x14ac:dyDescent="0.2">
      <c r="A2736" s="1126" t="s">
        <v>3318</v>
      </c>
      <c r="B2736" s="1127">
        <v>240</v>
      </c>
      <c r="C2736" s="1128">
        <v>0</v>
      </c>
      <c r="D2736" s="1128">
        <v>30.58</v>
      </c>
      <c r="E2736" s="1126"/>
    </row>
    <row r="2737" spans="1:5" x14ac:dyDescent="0.2">
      <c r="A2737" s="1126" t="s">
        <v>3319</v>
      </c>
      <c r="B2737" s="1127">
        <v>99</v>
      </c>
      <c r="C2737" s="1128">
        <v>20.55</v>
      </c>
      <c r="D2737" s="1128">
        <v>88.6</v>
      </c>
      <c r="E2737" s="1126"/>
    </row>
    <row r="2738" spans="1:5" x14ac:dyDescent="0.2">
      <c r="A2738" s="1126" t="s">
        <v>3320</v>
      </c>
      <c r="B2738" s="1127">
        <v>207</v>
      </c>
      <c r="C2738" s="1128">
        <v>0.92</v>
      </c>
      <c r="D2738" s="1128">
        <v>143.19999999999999</v>
      </c>
      <c r="E2738" s="1126"/>
    </row>
    <row r="2739" spans="1:5" x14ac:dyDescent="0.2">
      <c r="A2739" s="1126" t="s">
        <v>3321</v>
      </c>
      <c r="B2739" s="1127">
        <v>650</v>
      </c>
      <c r="C2739" s="1128">
        <v>398.27</v>
      </c>
      <c r="D2739" s="1128">
        <v>845.06</v>
      </c>
      <c r="E2739" s="1126"/>
    </row>
    <row r="2740" spans="1:5" x14ac:dyDescent="0.2">
      <c r="A2740" s="1126" t="s">
        <v>3322</v>
      </c>
      <c r="B2740" s="1127">
        <v>179</v>
      </c>
      <c r="C2740" s="1128">
        <v>0</v>
      </c>
      <c r="D2740" s="1128">
        <v>69.53</v>
      </c>
      <c r="E2740" s="1126"/>
    </row>
    <row r="2741" spans="1:5" x14ac:dyDescent="0.2">
      <c r="A2741" s="1126" t="s">
        <v>3323</v>
      </c>
      <c r="B2741" s="1127">
        <v>229</v>
      </c>
      <c r="C2741" s="1128">
        <v>0</v>
      </c>
      <c r="D2741" s="1128">
        <v>46.66</v>
      </c>
      <c r="E2741" s="1126"/>
    </row>
    <row r="2742" spans="1:5" x14ac:dyDescent="0.2">
      <c r="A2742" s="1126" t="s">
        <v>3324</v>
      </c>
      <c r="B2742" s="1127">
        <v>242</v>
      </c>
      <c r="C2742" s="1128">
        <v>0</v>
      </c>
      <c r="D2742" s="1128">
        <v>30.26</v>
      </c>
      <c r="E2742" s="1126"/>
    </row>
    <row r="2743" spans="1:5" x14ac:dyDescent="0.2">
      <c r="A2743" s="1126" t="s">
        <v>3325</v>
      </c>
      <c r="B2743" s="1127">
        <v>451</v>
      </c>
      <c r="C2743" s="1128">
        <v>0</v>
      </c>
      <c r="D2743" s="1128">
        <v>309.64</v>
      </c>
      <c r="E2743" s="1126"/>
    </row>
    <row r="2744" spans="1:5" x14ac:dyDescent="0.2">
      <c r="A2744" s="1126" t="s">
        <v>3326</v>
      </c>
      <c r="B2744" s="1127">
        <v>355</v>
      </c>
      <c r="C2744" s="1128">
        <v>330.43</v>
      </c>
      <c r="D2744" s="1128">
        <v>574.45000000000005</v>
      </c>
      <c r="E2744" s="1126"/>
    </row>
    <row r="2745" spans="1:5" x14ac:dyDescent="0.2">
      <c r="A2745" s="1126" t="s">
        <v>3327</v>
      </c>
      <c r="B2745" s="1127">
        <v>231</v>
      </c>
      <c r="C2745" s="1128">
        <v>797.12</v>
      </c>
      <c r="D2745" s="1128">
        <v>955.91</v>
      </c>
      <c r="E2745" s="1126"/>
    </row>
    <row r="2746" spans="1:5" x14ac:dyDescent="0.2">
      <c r="A2746" s="1126" t="s">
        <v>3328</v>
      </c>
      <c r="B2746" s="1127">
        <v>165</v>
      </c>
      <c r="C2746" s="1128">
        <v>4.26</v>
      </c>
      <c r="D2746" s="1128">
        <v>117.68</v>
      </c>
      <c r="E2746" s="1126"/>
    </row>
    <row r="2747" spans="1:5" x14ac:dyDescent="0.2">
      <c r="A2747" s="1126" t="s">
        <v>3329</v>
      </c>
      <c r="B2747" s="1127">
        <v>328</v>
      </c>
      <c r="C2747" s="1128">
        <v>0</v>
      </c>
      <c r="D2747" s="1128">
        <v>183.46</v>
      </c>
      <c r="E2747" s="1126"/>
    </row>
    <row r="2748" spans="1:5" x14ac:dyDescent="0.2">
      <c r="A2748" s="1126" t="s">
        <v>3330</v>
      </c>
      <c r="B2748" s="1127">
        <v>39</v>
      </c>
      <c r="C2748" s="1128">
        <v>0</v>
      </c>
      <c r="D2748" s="1128">
        <v>9.9700000000000006</v>
      </c>
      <c r="E2748" s="1126" t="s">
        <v>669</v>
      </c>
    </row>
    <row r="2749" spans="1:5" x14ac:dyDescent="0.2">
      <c r="A2749" s="1126" t="s">
        <v>3331</v>
      </c>
      <c r="B2749" s="1127">
        <v>192</v>
      </c>
      <c r="C2749" s="1128">
        <v>0</v>
      </c>
      <c r="D2749" s="1128">
        <v>80.67</v>
      </c>
      <c r="E2749" s="1126"/>
    </row>
    <row r="2750" spans="1:5" x14ac:dyDescent="0.2">
      <c r="A2750" s="1126" t="s">
        <v>3332</v>
      </c>
      <c r="B2750" s="1127">
        <v>155</v>
      </c>
      <c r="C2750" s="1128">
        <v>0</v>
      </c>
      <c r="D2750" s="1128">
        <v>95.36</v>
      </c>
      <c r="E2750" s="1126"/>
    </row>
    <row r="2751" spans="1:5" x14ac:dyDescent="0.2">
      <c r="A2751" s="1126" t="s">
        <v>3333</v>
      </c>
      <c r="B2751" s="1127">
        <v>275</v>
      </c>
      <c r="C2751" s="1128">
        <v>0</v>
      </c>
      <c r="D2751" s="1128">
        <v>35.380000000000003</v>
      </c>
      <c r="E2751" s="1126"/>
    </row>
    <row r="2752" spans="1:5" x14ac:dyDescent="0.2">
      <c r="A2752" s="1126" t="s">
        <v>3334</v>
      </c>
      <c r="B2752" s="1127">
        <v>255</v>
      </c>
      <c r="C2752" s="1128">
        <v>73.17</v>
      </c>
      <c r="D2752" s="1128">
        <v>248.45</v>
      </c>
      <c r="E2752" s="1126"/>
    </row>
    <row r="2753" spans="1:5" x14ac:dyDescent="0.2">
      <c r="A2753" s="1126" t="s">
        <v>3335</v>
      </c>
      <c r="B2753" s="1127">
        <v>354</v>
      </c>
      <c r="C2753" s="1128">
        <v>282.92</v>
      </c>
      <c r="D2753" s="1128">
        <v>526.25</v>
      </c>
      <c r="E2753" s="1126"/>
    </row>
    <row r="2754" spans="1:5" x14ac:dyDescent="0.2">
      <c r="A2754" s="1126" t="s">
        <v>3336</v>
      </c>
      <c r="B2754" s="1127">
        <v>173</v>
      </c>
      <c r="C2754" s="1128">
        <v>0</v>
      </c>
      <c r="D2754" s="1128">
        <v>53.04</v>
      </c>
      <c r="E2754" s="1126"/>
    </row>
    <row r="2755" spans="1:5" x14ac:dyDescent="0.2">
      <c r="A2755" s="1126" t="s">
        <v>3337</v>
      </c>
      <c r="B2755" s="1127">
        <v>199</v>
      </c>
      <c r="C2755" s="1128">
        <v>0</v>
      </c>
      <c r="D2755" s="1128">
        <v>67.849999999999994</v>
      </c>
      <c r="E2755" s="1126"/>
    </row>
    <row r="2756" spans="1:5" x14ac:dyDescent="0.2">
      <c r="A2756" s="1126" t="s">
        <v>3338</v>
      </c>
      <c r="B2756" s="1127">
        <v>203</v>
      </c>
      <c r="C2756" s="1128">
        <v>134.87</v>
      </c>
      <c r="D2756" s="1128">
        <v>274.39999999999998</v>
      </c>
      <c r="E2756" s="1126"/>
    </row>
    <row r="2757" spans="1:5" x14ac:dyDescent="0.2">
      <c r="A2757" s="1126" t="s">
        <v>3339</v>
      </c>
      <c r="B2757" s="1127">
        <v>267</v>
      </c>
      <c r="C2757" s="1128">
        <v>207.74</v>
      </c>
      <c r="D2757" s="1128">
        <v>391.27</v>
      </c>
      <c r="E2757" s="1126"/>
    </row>
    <row r="2758" spans="1:5" x14ac:dyDescent="0.2">
      <c r="A2758" s="1126" t="s">
        <v>3340</v>
      </c>
      <c r="B2758" s="1127">
        <v>178</v>
      </c>
      <c r="C2758" s="1128">
        <v>354.24</v>
      </c>
      <c r="D2758" s="1128">
        <v>476.59</v>
      </c>
      <c r="E2758" s="1126"/>
    </row>
    <row r="2759" spans="1:5" x14ac:dyDescent="0.2">
      <c r="A2759" s="1126" t="s">
        <v>3341</v>
      </c>
      <c r="B2759" s="1127">
        <v>197</v>
      </c>
      <c r="C2759" s="1128">
        <v>94.06</v>
      </c>
      <c r="D2759" s="1128">
        <v>229.47</v>
      </c>
      <c r="E2759" s="1126"/>
    </row>
    <row r="2760" spans="1:5" x14ac:dyDescent="0.2">
      <c r="A2760" s="1126" t="s">
        <v>3342</v>
      </c>
      <c r="B2760" s="1127">
        <v>172</v>
      </c>
      <c r="C2760" s="1128">
        <v>92.03</v>
      </c>
      <c r="D2760" s="1128">
        <v>210.26</v>
      </c>
      <c r="E2760" s="1126"/>
    </row>
    <row r="2761" spans="1:5" x14ac:dyDescent="0.2">
      <c r="A2761" s="1126" t="s">
        <v>3343</v>
      </c>
      <c r="B2761" s="1127">
        <v>127</v>
      </c>
      <c r="C2761" s="1128">
        <v>11.58</v>
      </c>
      <c r="D2761" s="1128">
        <v>98.88</v>
      </c>
      <c r="E2761" s="1126"/>
    </row>
    <row r="2762" spans="1:5" x14ac:dyDescent="0.2">
      <c r="A2762" s="1126" t="s">
        <v>3344</v>
      </c>
      <c r="B2762" s="1127">
        <v>347</v>
      </c>
      <c r="C2762" s="1128">
        <v>0</v>
      </c>
      <c r="D2762" s="1128">
        <v>32.74</v>
      </c>
      <c r="E2762" s="1126"/>
    </row>
    <row r="2763" spans="1:5" x14ac:dyDescent="0.2">
      <c r="A2763" s="1126" t="s">
        <v>3345</v>
      </c>
      <c r="B2763" s="1127">
        <v>84</v>
      </c>
      <c r="C2763" s="1128">
        <v>0</v>
      </c>
      <c r="D2763" s="1128">
        <v>19.239999999999998</v>
      </c>
      <c r="E2763" s="1126"/>
    </row>
    <row r="2764" spans="1:5" x14ac:dyDescent="0.2">
      <c r="A2764" s="1126" t="s">
        <v>3346</v>
      </c>
      <c r="B2764" s="1127">
        <v>307</v>
      </c>
      <c r="C2764" s="1128">
        <v>0</v>
      </c>
      <c r="D2764" s="1128">
        <v>55.66</v>
      </c>
      <c r="E2764" s="1126"/>
    </row>
    <row r="2765" spans="1:5" x14ac:dyDescent="0.2">
      <c r="A2765" s="1126" t="s">
        <v>3347</v>
      </c>
      <c r="B2765" s="1127">
        <v>139</v>
      </c>
      <c r="C2765" s="1128">
        <v>0</v>
      </c>
      <c r="D2765" s="1128">
        <v>61.4</v>
      </c>
      <c r="E2765" s="1126"/>
    </row>
    <row r="2766" spans="1:5" x14ac:dyDescent="0.2">
      <c r="A2766" s="1126" t="s">
        <v>3348</v>
      </c>
      <c r="B2766" s="1127">
        <v>813</v>
      </c>
      <c r="C2766" s="1128">
        <v>0</v>
      </c>
      <c r="D2766" s="1128">
        <v>133.24</v>
      </c>
      <c r="E2766" s="1126"/>
    </row>
    <row r="2767" spans="1:5" x14ac:dyDescent="0.2">
      <c r="A2767" s="1126" t="s">
        <v>3349</v>
      </c>
      <c r="B2767" s="1127">
        <v>198</v>
      </c>
      <c r="C2767" s="1128">
        <v>349.06</v>
      </c>
      <c r="D2767" s="1128">
        <v>485.16</v>
      </c>
      <c r="E2767" s="1126"/>
    </row>
    <row r="2768" spans="1:5" x14ac:dyDescent="0.2">
      <c r="A2768" s="1126" t="s">
        <v>3350</v>
      </c>
      <c r="B2768" s="1127">
        <v>264</v>
      </c>
      <c r="C2768" s="1128">
        <v>0</v>
      </c>
      <c r="D2768" s="1128">
        <v>97.31</v>
      </c>
      <c r="E2768" s="1126"/>
    </row>
    <row r="2769" spans="1:5" x14ac:dyDescent="0.2">
      <c r="A2769" s="1126" t="s">
        <v>3351</v>
      </c>
      <c r="B2769" s="1127">
        <v>316</v>
      </c>
      <c r="C2769" s="1128">
        <v>0</v>
      </c>
      <c r="D2769" s="1128">
        <v>120.14</v>
      </c>
      <c r="E2769" s="1126"/>
    </row>
    <row r="2770" spans="1:5" x14ac:dyDescent="0.2">
      <c r="A2770" s="1126" t="s">
        <v>3352</v>
      </c>
      <c r="B2770" s="1127">
        <v>158</v>
      </c>
      <c r="C2770" s="1128">
        <v>0</v>
      </c>
      <c r="D2770" s="1128">
        <v>103.03</v>
      </c>
      <c r="E2770" s="1126"/>
    </row>
    <row r="2771" spans="1:5" x14ac:dyDescent="0.2">
      <c r="A2771" s="1126" t="s">
        <v>3353</v>
      </c>
      <c r="B2771" s="1127">
        <v>133</v>
      </c>
      <c r="C2771" s="1128">
        <v>115.02</v>
      </c>
      <c r="D2771" s="1128">
        <v>206.44</v>
      </c>
      <c r="E2771" s="1126"/>
    </row>
    <row r="2772" spans="1:5" x14ac:dyDescent="0.2">
      <c r="A2772" s="1126" t="s">
        <v>3354</v>
      </c>
      <c r="B2772" s="1127">
        <v>189</v>
      </c>
      <c r="C2772" s="1128">
        <v>89.22</v>
      </c>
      <c r="D2772" s="1128">
        <v>219.14</v>
      </c>
      <c r="E2772" s="1126"/>
    </row>
    <row r="2773" spans="1:5" x14ac:dyDescent="0.2">
      <c r="A2773" s="1126" t="s">
        <v>3355</v>
      </c>
      <c r="B2773" s="1127">
        <v>308</v>
      </c>
      <c r="C2773" s="1128">
        <v>0</v>
      </c>
      <c r="D2773" s="1128">
        <v>156.46</v>
      </c>
      <c r="E2773" s="1126"/>
    </row>
    <row r="2774" spans="1:5" x14ac:dyDescent="0.2">
      <c r="A2774" s="1126" t="s">
        <v>3356</v>
      </c>
      <c r="B2774" s="1127">
        <v>252</v>
      </c>
      <c r="C2774" s="1128">
        <v>0</v>
      </c>
      <c r="D2774" s="1128">
        <v>155.18</v>
      </c>
      <c r="E2774" s="1126"/>
    </row>
    <row r="2775" spans="1:5" x14ac:dyDescent="0.2">
      <c r="A2775" s="1126" t="s">
        <v>3357</v>
      </c>
      <c r="B2775" s="1127">
        <v>117</v>
      </c>
      <c r="C2775" s="1128">
        <v>0</v>
      </c>
      <c r="D2775" s="1128">
        <v>37.31</v>
      </c>
      <c r="E2775" s="1126"/>
    </row>
    <row r="2776" spans="1:5" x14ac:dyDescent="0.2">
      <c r="A2776" s="1126" t="s">
        <v>3358</v>
      </c>
      <c r="B2776" s="1127">
        <v>192</v>
      </c>
      <c r="C2776" s="1128">
        <v>0</v>
      </c>
      <c r="D2776" s="1128">
        <v>127.26</v>
      </c>
      <c r="E2776" s="1126"/>
    </row>
    <row r="2777" spans="1:5" x14ac:dyDescent="0.2">
      <c r="A2777" s="1126" t="s">
        <v>3359</v>
      </c>
      <c r="B2777" s="1127">
        <v>300</v>
      </c>
      <c r="C2777" s="1128">
        <v>142.82</v>
      </c>
      <c r="D2777" s="1128">
        <v>349.03</v>
      </c>
      <c r="E2777" s="1126"/>
    </row>
    <row r="2778" spans="1:5" x14ac:dyDescent="0.2">
      <c r="A2778" s="1126" t="s">
        <v>3360</v>
      </c>
      <c r="B2778" s="1127">
        <v>132</v>
      </c>
      <c r="C2778" s="1128">
        <v>9.2100000000000009</v>
      </c>
      <c r="D2778" s="1128">
        <v>99.95</v>
      </c>
      <c r="E2778" s="1126"/>
    </row>
    <row r="2779" spans="1:5" x14ac:dyDescent="0.2">
      <c r="A2779" s="1126" t="s">
        <v>3361</v>
      </c>
      <c r="B2779" s="1127">
        <v>118</v>
      </c>
      <c r="C2779" s="1128">
        <v>60.2</v>
      </c>
      <c r="D2779" s="1128">
        <v>141.31</v>
      </c>
      <c r="E2779" s="1126"/>
    </row>
    <row r="2780" spans="1:5" x14ac:dyDescent="0.2">
      <c r="A2780" s="1126" t="s">
        <v>3362</v>
      </c>
      <c r="B2780" s="1127">
        <v>180</v>
      </c>
      <c r="C2780" s="1128">
        <v>257.88</v>
      </c>
      <c r="D2780" s="1128">
        <v>381.61</v>
      </c>
      <c r="E2780" s="1126"/>
    </row>
    <row r="2781" spans="1:5" x14ac:dyDescent="0.2">
      <c r="A2781" s="1126" t="s">
        <v>3363</v>
      </c>
      <c r="B2781" s="1127">
        <v>205</v>
      </c>
      <c r="C2781" s="1128">
        <v>0</v>
      </c>
      <c r="D2781" s="1128">
        <v>113.55</v>
      </c>
      <c r="E2781" s="1126"/>
    </row>
    <row r="2782" spans="1:5" x14ac:dyDescent="0.2">
      <c r="A2782" s="1126" t="s">
        <v>3364</v>
      </c>
      <c r="B2782" s="1127">
        <v>329</v>
      </c>
      <c r="C2782" s="1128">
        <v>0</v>
      </c>
      <c r="D2782" s="1128">
        <v>39.700000000000003</v>
      </c>
      <c r="E2782" s="1126"/>
    </row>
    <row r="2783" spans="1:5" x14ac:dyDescent="0.2">
      <c r="A2783" s="1126" t="s">
        <v>3365</v>
      </c>
      <c r="B2783" s="1127">
        <v>404</v>
      </c>
      <c r="C2783" s="1128">
        <v>0</v>
      </c>
      <c r="D2783" s="1128">
        <v>129.88999999999999</v>
      </c>
      <c r="E2783" s="1126"/>
    </row>
    <row r="2784" spans="1:5" x14ac:dyDescent="0.2">
      <c r="A2784" s="1126" t="s">
        <v>3366</v>
      </c>
      <c r="B2784" s="1127">
        <v>373</v>
      </c>
      <c r="C2784" s="1128">
        <v>0</v>
      </c>
      <c r="D2784" s="1128">
        <v>92.13</v>
      </c>
      <c r="E2784" s="1126"/>
    </row>
    <row r="2785" spans="1:5" x14ac:dyDescent="0.2">
      <c r="A2785" s="1126" t="s">
        <v>3367</v>
      </c>
      <c r="B2785" s="1127">
        <v>103</v>
      </c>
      <c r="C2785" s="1128">
        <v>0</v>
      </c>
      <c r="D2785" s="1128">
        <v>0</v>
      </c>
      <c r="E2785" s="1126"/>
    </row>
    <row r="2786" spans="1:5" x14ac:dyDescent="0.2">
      <c r="A2786" s="1126" t="s">
        <v>3368</v>
      </c>
      <c r="B2786" s="1127">
        <v>287</v>
      </c>
      <c r="C2786" s="1128">
        <v>0</v>
      </c>
      <c r="D2786" s="1128">
        <v>81.12</v>
      </c>
      <c r="E2786" s="1126"/>
    </row>
    <row r="2787" spans="1:5" x14ac:dyDescent="0.2">
      <c r="A2787" s="1126" t="s">
        <v>3369</v>
      </c>
      <c r="B2787" s="1127">
        <v>251</v>
      </c>
      <c r="C2787" s="1128">
        <v>0</v>
      </c>
      <c r="D2787" s="1128">
        <v>68.64</v>
      </c>
      <c r="E2787" s="1126"/>
    </row>
    <row r="2788" spans="1:5" x14ac:dyDescent="0.2">
      <c r="A2788" s="1126" t="s">
        <v>3370</v>
      </c>
      <c r="B2788" s="1127">
        <v>162</v>
      </c>
      <c r="C2788" s="1128">
        <v>197.41</v>
      </c>
      <c r="D2788" s="1128">
        <v>308.76</v>
      </c>
      <c r="E2788" s="1126"/>
    </row>
    <row r="2789" spans="1:5" x14ac:dyDescent="0.2">
      <c r="A2789" s="1126" t="s">
        <v>3371</v>
      </c>
      <c r="B2789" s="1127">
        <v>198</v>
      </c>
      <c r="C2789" s="1128">
        <v>0</v>
      </c>
      <c r="D2789" s="1128">
        <v>86.82</v>
      </c>
      <c r="E2789" s="1126"/>
    </row>
    <row r="2790" spans="1:5" x14ac:dyDescent="0.2">
      <c r="A2790" s="1126" t="s">
        <v>3372</v>
      </c>
      <c r="B2790" s="1127">
        <v>194</v>
      </c>
      <c r="C2790" s="1128">
        <v>0</v>
      </c>
      <c r="D2790" s="1128">
        <v>61.66</v>
      </c>
      <c r="E2790" s="1126"/>
    </row>
    <row r="2791" spans="1:5" x14ac:dyDescent="0.2">
      <c r="A2791" s="1126" t="s">
        <v>3373</v>
      </c>
      <c r="B2791" s="1127">
        <v>303</v>
      </c>
      <c r="C2791" s="1128">
        <v>0</v>
      </c>
      <c r="D2791" s="1128">
        <v>57.16</v>
      </c>
      <c r="E2791" s="1126"/>
    </row>
    <row r="2792" spans="1:5" x14ac:dyDescent="0.2">
      <c r="A2792" s="1126" t="s">
        <v>3374</v>
      </c>
      <c r="B2792" s="1127">
        <v>179</v>
      </c>
      <c r="C2792" s="1128">
        <v>0</v>
      </c>
      <c r="D2792" s="1128">
        <v>14.87</v>
      </c>
      <c r="E2792" s="1126"/>
    </row>
    <row r="2793" spans="1:5" x14ac:dyDescent="0.2">
      <c r="A2793" s="1126" t="s">
        <v>3375</v>
      </c>
      <c r="B2793" s="1127">
        <v>204</v>
      </c>
      <c r="C2793" s="1128">
        <v>0</v>
      </c>
      <c r="D2793" s="1128">
        <v>47.91</v>
      </c>
      <c r="E2793" s="1126"/>
    </row>
    <row r="2794" spans="1:5" x14ac:dyDescent="0.2">
      <c r="A2794" s="1126" t="s">
        <v>3376</v>
      </c>
      <c r="B2794" s="1127">
        <v>126</v>
      </c>
      <c r="C2794" s="1128">
        <v>1.95</v>
      </c>
      <c r="D2794" s="1128">
        <v>88.56</v>
      </c>
      <c r="E2794" s="1126"/>
    </row>
    <row r="2795" spans="1:5" x14ac:dyDescent="0.2">
      <c r="A2795" s="1126" t="s">
        <v>3377</v>
      </c>
      <c r="B2795" s="1127">
        <v>353</v>
      </c>
      <c r="C2795" s="1128">
        <v>0</v>
      </c>
      <c r="D2795" s="1128">
        <v>13.87</v>
      </c>
      <c r="E2795" s="1126"/>
    </row>
    <row r="2796" spans="1:5" x14ac:dyDescent="0.2">
      <c r="A2796" s="1126" t="s">
        <v>3378</v>
      </c>
      <c r="B2796" s="1127">
        <v>161</v>
      </c>
      <c r="C2796" s="1128">
        <v>113.88</v>
      </c>
      <c r="D2796" s="1128">
        <v>224.54</v>
      </c>
      <c r="E2796" s="1126"/>
    </row>
    <row r="2797" spans="1:5" x14ac:dyDescent="0.2">
      <c r="A2797" s="1126" t="s">
        <v>3379</v>
      </c>
      <c r="B2797" s="1127">
        <v>267</v>
      </c>
      <c r="C2797" s="1128">
        <v>0</v>
      </c>
      <c r="D2797" s="1128">
        <v>75.760000000000005</v>
      </c>
      <c r="E2797" s="1126"/>
    </row>
    <row r="2798" spans="1:5" x14ac:dyDescent="0.2">
      <c r="A2798" s="1126" t="s">
        <v>3380</v>
      </c>
      <c r="B2798" s="1127">
        <v>202</v>
      </c>
      <c r="C2798" s="1128">
        <v>0</v>
      </c>
      <c r="D2798" s="1128">
        <v>88.33</v>
      </c>
      <c r="E2798" s="1126"/>
    </row>
    <row r="2799" spans="1:5" x14ac:dyDescent="0.2">
      <c r="A2799" s="1126" t="s">
        <v>3381</v>
      </c>
      <c r="B2799" s="1127">
        <v>311</v>
      </c>
      <c r="C2799" s="1128">
        <v>0</v>
      </c>
      <c r="D2799" s="1128">
        <v>92.3</v>
      </c>
      <c r="E2799" s="1126"/>
    </row>
    <row r="2800" spans="1:5" x14ac:dyDescent="0.2">
      <c r="A2800" s="1126" t="s">
        <v>3382</v>
      </c>
      <c r="B2800" s="1127">
        <v>200</v>
      </c>
      <c r="C2800" s="1128">
        <v>0</v>
      </c>
      <c r="D2800" s="1128">
        <v>62.99</v>
      </c>
      <c r="E2800" s="1126"/>
    </row>
    <row r="2801" spans="1:5" x14ac:dyDescent="0.2">
      <c r="A2801" s="1126" t="s">
        <v>3383</v>
      </c>
      <c r="B2801" s="1127">
        <v>300</v>
      </c>
      <c r="C2801" s="1128">
        <v>0</v>
      </c>
      <c r="D2801" s="1128">
        <v>65.88</v>
      </c>
      <c r="E2801" s="1126"/>
    </row>
    <row r="2802" spans="1:5" x14ac:dyDescent="0.2">
      <c r="A2802" s="1126" t="s">
        <v>3384</v>
      </c>
      <c r="B2802" s="1127">
        <v>82</v>
      </c>
      <c r="C2802" s="1128">
        <v>216.51</v>
      </c>
      <c r="D2802" s="1128">
        <v>272.88</v>
      </c>
      <c r="E2802" s="1126"/>
    </row>
    <row r="2803" spans="1:5" x14ac:dyDescent="0.2">
      <c r="A2803" s="1126" t="s">
        <v>3385</v>
      </c>
      <c r="B2803" s="1127">
        <v>53</v>
      </c>
      <c r="C2803" s="1128">
        <v>0</v>
      </c>
      <c r="D2803" s="1128">
        <v>26.89</v>
      </c>
      <c r="E2803" s="1126"/>
    </row>
    <row r="2804" spans="1:5" x14ac:dyDescent="0.2">
      <c r="A2804" s="1126" t="s">
        <v>3386</v>
      </c>
      <c r="B2804" s="1127">
        <v>218</v>
      </c>
      <c r="C2804" s="1128">
        <v>5.05</v>
      </c>
      <c r="D2804" s="1128">
        <v>154.88999999999999</v>
      </c>
      <c r="E2804" s="1126"/>
    </row>
    <row r="2805" spans="1:5" x14ac:dyDescent="0.2">
      <c r="A2805" s="1126" t="s">
        <v>3387</v>
      </c>
      <c r="B2805" s="1127">
        <v>199</v>
      </c>
      <c r="C2805" s="1128">
        <v>0</v>
      </c>
      <c r="D2805" s="1128">
        <v>19.079999999999998</v>
      </c>
      <c r="E2805" s="1126"/>
    </row>
    <row r="2806" spans="1:5" x14ac:dyDescent="0.2">
      <c r="A2806" s="1126" t="s">
        <v>3388</v>
      </c>
      <c r="B2806" s="1127">
        <v>176</v>
      </c>
      <c r="C2806" s="1128">
        <v>0</v>
      </c>
      <c r="D2806" s="1128">
        <v>105.88</v>
      </c>
      <c r="E2806" s="1126"/>
    </row>
    <row r="2807" spans="1:5" x14ac:dyDescent="0.2">
      <c r="A2807" s="1126" t="s">
        <v>3389</v>
      </c>
      <c r="B2807" s="1127">
        <v>94</v>
      </c>
      <c r="C2807" s="1128">
        <v>46.22</v>
      </c>
      <c r="D2807" s="1128">
        <v>110.83</v>
      </c>
      <c r="E2807" s="1126"/>
    </row>
    <row r="2808" spans="1:5" x14ac:dyDescent="0.2">
      <c r="A2808" s="1126" t="s">
        <v>3390</v>
      </c>
      <c r="B2808" s="1127">
        <v>117</v>
      </c>
      <c r="C2808" s="1128">
        <v>11.7</v>
      </c>
      <c r="D2808" s="1128">
        <v>92.12</v>
      </c>
      <c r="E2808" s="1126"/>
    </row>
    <row r="2809" spans="1:5" x14ac:dyDescent="0.2">
      <c r="A2809" s="1126" t="s">
        <v>3391</v>
      </c>
      <c r="B2809" s="1127">
        <v>117</v>
      </c>
      <c r="C2809" s="1128">
        <v>20.22</v>
      </c>
      <c r="D2809" s="1128">
        <v>100.64</v>
      </c>
      <c r="E2809" s="1126"/>
    </row>
    <row r="2810" spans="1:5" x14ac:dyDescent="0.2">
      <c r="A2810" s="1126" t="s">
        <v>3392</v>
      </c>
      <c r="B2810" s="1127">
        <v>134</v>
      </c>
      <c r="C2810" s="1128">
        <v>0</v>
      </c>
      <c r="D2810" s="1128">
        <v>84.61</v>
      </c>
      <c r="E2810" s="1126"/>
    </row>
    <row r="2811" spans="1:5" x14ac:dyDescent="0.2">
      <c r="A2811" s="1126" t="s">
        <v>3393</v>
      </c>
      <c r="B2811" s="1127">
        <v>116</v>
      </c>
      <c r="C2811" s="1128">
        <v>139.97</v>
      </c>
      <c r="D2811" s="1128">
        <v>219.71</v>
      </c>
      <c r="E2811" s="1126"/>
    </row>
    <row r="2812" spans="1:5" x14ac:dyDescent="0.2">
      <c r="A2812" s="1126" t="s">
        <v>3394</v>
      </c>
      <c r="B2812" s="1127">
        <v>262</v>
      </c>
      <c r="C2812" s="1128">
        <v>51.99</v>
      </c>
      <c r="D2812" s="1128">
        <v>232.08</v>
      </c>
      <c r="E2812" s="1126"/>
    </row>
    <row r="2813" spans="1:5" x14ac:dyDescent="0.2">
      <c r="A2813" s="1126" t="s">
        <v>3395</v>
      </c>
      <c r="B2813" s="1127">
        <v>533</v>
      </c>
      <c r="C2813" s="1128">
        <v>0</v>
      </c>
      <c r="D2813" s="1128">
        <v>338.29</v>
      </c>
      <c r="E2813" s="1126"/>
    </row>
    <row r="2814" spans="1:5" x14ac:dyDescent="0.2">
      <c r="A2814" s="1126" t="s">
        <v>3396</v>
      </c>
      <c r="B2814" s="1127">
        <v>247</v>
      </c>
      <c r="C2814" s="1128">
        <v>605.67999999999995</v>
      </c>
      <c r="D2814" s="1128">
        <v>775.46</v>
      </c>
      <c r="E2814" s="1126"/>
    </row>
    <row r="2815" spans="1:5" x14ac:dyDescent="0.2">
      <c r="A2815" s="1126" t="s">
        <v>3397</v>
      </c>
      <c r="B2815" s="1127">
        <v>264</v>
      </c>
      <c r="C2815" s="1128">
        <v>0</v>
      </c>
      <c r="D2815" s="1128">
        <v>180.4</v>
      </c>
      <c r="E2815" s="1126"/>
    </row>
    <row r="2816" spans="1:5" x14ac:dyDescent="0.2">
      <c r="A2816" s="1126" t="s">
        <v>3398</v>
      </c>
      <c r="B2816" s="1127">
        <v>199</v>
      </c>
      <c r="C2816" s="1128">
        <v>11.31</v>
      </c>
      <c r="D2816" s="1128">
        <v>148.1</v>
      </c>
      <c r="E2816" s="1126"/>
    </row>
    <row r="2817" spans="1:5" x14ac:dyDescent="0.2">
      <c r="A2817" s="1126" t="s">
        <v>3399</v>
      </c>
      <c r="B2817" s="1127">
        <v>151</v>
      </c>
      <c r="C2817" s="1128">
        <v>75.98</v>
      </c>
      <c r="D2817" s="1128">
        <v>179.78</v>
      </c>
      <c r="E2817" s="1126"/>
    </row>
    <row r="2818" spans="1:5" x14ac:dyDescent="0.2">
      <c r="A2818" s="1126" t="s">
        <v>3400</v>
      </c>
      <c r="B2818" s="1127">
        <v>55</v>
      </c>
      <c r="C2818" s="1128">
        <v>0</v>
      </c>
      <c r="D2818" s="1128">
        <v>16.05</v>
      </c>
      <c r="E2818" s="1126"/>
    </row>
    <row r="2819" spans="1:5" x14ac:dyDescent="0.2">
      <c r="A2819" s="1126" t="s">
        <v>3401</v>
      </c>
      <c r="B2819" s="1127">
        <v>304</v>
      </c>
      <c r="C2819" s="1128">
        <v>0</v>
      </c>
      <c r="D2819" s="1128">
        <v>199.01</v>
      </c>
      <c r="E2819" s="1126"/>
    </row>
    <row r="2820" spans="1:5" x14ac:dyDescent="0.2">
      <c r="A2820" s="1126" t="s">
        <v>3402</v>
      </c>
      <c r="B2820" s="1127">
        <v>121</v>
      </c>
      <c r="C2820" s="1128">
        <v>0</v>
      </c>
      <c r="D2820" s="1128">
        <v>44.56</v>
      </c>
      <c r="E2820" s="1126"/>
    </row>
    <row r="2821" spans="1:5" x14ac:dyDescent="0.2">
      <c r="A2821" s="1126" t="s">
        <v>3403</v>
      </c>
      <c r="B2821" s="1127">
        <v>282</v>
      </c>
      <c r="C2821" s="1128">
        <v>0</v>
      </c>
      <c r="D2821" s="1128">
        <v>190.41</v>
      </c>
      <c r="E2821" s="1126"/>
    </row>
    <row r="2822" spans="1:5" x14ac:dyDescent="0.2">
      <c r="A2822" s="1126" t="s">
        <v>3404</v>
      </c>
      <c r="B2822" s="1127">
        <v>62</v>
      </c>
      <c r="C2822" s="1128">
        <v>0</v>
      </c>
      <c r="D2822" s="1128">
        <v>40.22</v>
      </c>
      <c r="E2822" s="1126"/>
    </row>
    <row r="2823" spans="1:5" x14ac:dyDescent="0.2">
      <c r="A2823" s="1126" t="s">
        <v>3405</v>
      </c>
      <c r="B2823" s="1127">
        <v>373</v>
      </c>
      <c r="C2823" s="1128">
        <v>544.22</v>
      </c>
      <c r="D2823" s="1128">
        <v>800.6</v>
      </c>
      <c r="E2823" s="1126"/>
    </row>
    <row r="2824" spans="1:5" x14ac:dyDescent="0.2">
      <c r="A2824" s="1126" t="s">
        <v>3406</v>
      </c>
      <c r="B2824" s="1127">
        <v>482</v>
      </c>
      <c r="C2824" s="1128">
        <v>0</v>
      </c>
      <c r="D2824" s="1128">
        <v>259.14999999999998</v>
      </c>
      <c r="E2824" s="1126"/>
    </row>
    <row r="2825" spans="1:5" x14ac:dyDescent="0.2">
      <c r="A2825" s="1126" t="s">
        <v>3407</v>
      </c>
      <c r="B2825" s="1127">
        <v>312</v>
      </c>
      <c r="C2825" s="1128">
        <v>65.2</v>
      </c>
      <c r="D2825" s="1128">
        <v>279.66000000000003</v>
      </c>
      <c r="E2825" s="1126"/>
    </row>
    <row r="2826" spans="1:5" x14ac:dyDescent="0.2">
      <c r="A2826" s="1126" t="s">
        <v>3408</v>
      </c>
      <c r="B2826" s="1127">
        <v>248</v>
      </c>
      <c r="C2826" s="1128">
        <v>0</v>
      </c>
      <c r="D2826" s="1128">
        <v>162.49</v>
      </c>
      <c r="E2826" s="1126"/>
    </row>
    <row r="2827" spans="1:5" x14ac:dyDescent="0.2">
      <c r="A2827" s="1126" t="s">
        <v>3409</v>
      </c>
      <c r="B2827" s="1127">
        <v>234</v>
      </c>
      <c r="C2827" s="1128">
        <v>0</v>
      </c>
      <c r="D2827" s="1128">
        <v>51.17</v>
      </c>
      <c r="E2827" s="1126"/>
    </row>
    <row r="2828" spans="1:5" x14ac:dyDescent="0.2">
      <c r="A2828" s="1126" t="s">
        <v>3410</v>
      </c>
      <c r="B2828" s="1127">
        <v>254</v>
      </c>
      <c r="C2828" s="1128">
        <v>0</v>
      </c>
      <c r="D2828" s="1128">
        <v>0</v>
      </c>
      <c r="E2828" s="1126"/>
    </row>
    <row r="2829" spans="1:5" x14ac:dyDescent="0.2">
      <c r="A2829" s="1126" t="s">
        <v>3411</v>
      </c>
      <c r="B2829" s="1127">
        <v>113</v>
      </c>
      <c r="C2829" s="1128">
        <v>0</v>
      </c>
      <c r="D2829" s="1128">
        <v>50.07</v>
      </c>
      <c r="E2829" s="1126"/>
    </row>
    <row r="2830" spans="1:5" x14ac:dyDescent="0.2">
      <c r="A2830" s="1126" t="s">
        <v>3412</v>
      </c>
      <c r="B2830" s="1127">
        <v>229</v>
      </c>
      <c r="C2830" s="1128">
        <v>0</v>
      </c>
      <c r="D2830" s="1128">
        <v>73</v>
      </c>
      <c r="E2830" s="1126"/>
    </row>
    <row r="2831" spans="1:5" x14ac:dyDescent="0.2">
      <c r="A2831" s="1126" t="s">
        <v>3413</v>
      </c>
      <c r="B2831" s="1127">
        <v>413</v>
      </c>
      <c r="C2831" s="1128">
        <v>0</v>
      </c>
      <c r="D2831" s="1128">
        <v>223.83</v>
      </c>
      <c r="E2831" s="1126"/>
    </row>
    <row r="2832" spans="1:5" x14ac:dyDescent="0.2">
      <c r="A2832" s="1126" t="s">
        <v>3414</v>
      </c>
      <c r="B2832" s="1127">
        <v>186</v>
      </c>
      <c r="C2832" s="1128">
        <v>0</v>
      </c>
      <c r="D2832" s="1128">
        <v>92.03</v>
      </c>
      <c r="E2832" s="1126"/>
    </row>
    <row r="2833" spans="1:5" x14ac:dyDescent="0.2">
      <c r="A2833" s="1126" t="s">
        <v>3415</v>
      </c>
      <c r="B2833" s="1127">
        <v>134</v>
      </c>
      <c r="C2833" s="1128">
        <v>0</v>
      </c>
      <c r="D2833" s="1128">
        <v>78.72</v>
      </c>
      <c r="E2833" s="1126"/>
    </row>
    <row r="2834" spans="1:5" x14ac:dyDescent="0.2">
      <c r="A2834" s="1126" t="s">
        <v>3416</v>
      </c>
      <c r="B2834" s="1127">
        <v>321</v>
      </c>
      <c r="C2834" s="1128">
        <v>18.47</v>
      </c>
      <c r="D2834" s="1128">
        <v>239.11</v>
      </c>
      <c r="E2834" s="1126"/>
    </row>
    <row r="2835" spans="1:5" x14ac:dyDescent="0.2">
      <c r="A2835" s="1126" t="s">
        <v>3417</v>
      </c>
      <c r="B2835" s="1127">
        <v>102</v>
      </c>
      <c r="C2835" s="1128">
        <v>44.64</v>
      </c>
      <c r="D2835" s="1128">
        <v>114.75</v>
      </c>
      <c r="E2835" s="1126"/>
    </row>
    <row r="2836" spans="1:5" x14ac:dyDescent="0.2">
      <c r="A2836" s="1126" t="s">
        <v>3418</v>
      </c>
      <c r="B2836" s="1127">
        <v>155</v>
      </c>
      <c r="C2836" s="1128">
        <v>0</v>
      </c>
      <c r="D2836" s="1128">
        <v>67.66</v>
      </c>
      <c r="E2836" s="1126"/>
    </row>
    <row r="2837" spans="1:5" x14ac:dyDescent="0.2">
      <c r="A2837" s="1126" t="s">
        <v>3419</v>
      </c>
      <c r="B2837" s="1127">
        <v>147</v>
      </c>
      <c r="C2837" s="1128">
        <v>0</v>
      </c>
      <c r="D2837" s="1128">
        <v>92.29</v>
      </c>
      <c r="E2837" s="1126"/>
    </row>
    <row r="2838" spans="1:5" x14ac:dyDescent="0.2">
      <c r="A2838" s="1126" t="s">
        <v>3420</v>
      </c>
      <c r="B2838" s="1127">
        <v>206</v>
      </c>
      <c r="C2838" s="1128">
        <v>12.4</v>
      </c>
      <c r="D2838" s="1128">
        <v>154</v>
      </c>
      <c r="E2838" s="1126"/>
    </row>
    <row r="2839" spans="1:5" x14ac:dyDescent="0.2">
      <c r="A2839" s="1126" t="s">
        <v>3421</v>
      </c>
      <c r="B2839" s="1127">
        <v>269</v>
      </c>
      <c r="C2839" s="1128">
        <v>0</v>
      </c>
      <c r="D2839" s="1128">
        <v>36.380000000000003</v>
      </c>
      <c r="E2839" s="1126"/>
    </row>
    <row r="2840" spans="1:5" x14ac:dyDescent="0.2">
      <c r="A2840" s="1126" t="s">
        <v>3422</v>
      </c>
      <c r="B2840" s="1127">
        <v>222</v>
      </c>
      <c r="C2840" s="1128">
        <v>0</v>
      </c>
      <c r="D2840" s="1128">
        <v>57.04</v>
      </c>
      <c r="E2840" s="1126"/>
    </row>
    <row r="2841" spans="1:5" x14ac:dyDescent="0.2">
      <c r="A2841" s="1126" t="s">
        <v>3423</v>
      </c>
      <c r="B2841" s="1127">
        <v>256</v>
      </c>
      <c r="C2841" s="1128">
        <v>695.57</v>
      </c>
      <c r="D2841" s="1128">
        <v>871.53</v>
      </c>
      <c r="E2841" s="1126"/>
    </row>
    <row r="2842" spans="1:5" x14ac:dyDescent="0.2">
      <c r="A2842" s="1126" t="s">
        <v>3424</v>
      </c>
      <c r="B2842" s="1127">
        <v>210</v>
      </c>
      <c r="C2842" s="1128">
        <v>0</v>
      </c>
      <c r="D2842" s="1128">
        <v>104.85</v>
      </c>
      <c r="E2842" s="1126"/>
    </row>
    <row r="2843" spans="1:5" x14ac:dyDescent="0.2">
      <c r="A2843" s="1126" t="s">
        <v>3425</v>
      </c>
      <c r="B2843" s="1127">
        <v>217</v>
      </c>
      <c r="C2843" s="1128">
        <v>39.6</v>
      </c>
      <c r="D2843" s="1128">
        <v>188.76</v>
      </c>
      <c r="E2843" s="1126"/>
    </row>
    <row r="2844" spans="1:5" x14ac:dyDescent="0.2">
      <c r="A2844" s="1126" t="s">
        <v>3426</v>
      </c>
      <c r="B2844" s="1127">
        <v>183</v>
      </c>
      <c r="C2844" s="1128">
        <v>0</v>
      </c>
      <c r="D2844" s="1128">
        <v>41.74</v>
      </c>
      <c r="E2844" s="1126"/>
    </row>
    <row r="2845" spans="1:5" x14ac:dyDescent="0.2">
      <c r="A2845" s="1126" t="s">
        <v>3427</v>
      </c>
      <c r="B2845" s="1127">
        <v>400</v>
      </c>
      <c r="C2845" s="1128">
        <v>0</v>
      </c>
      <c r="D2845" s="1128">
        <v>82.77</v>
      </c>
      <c r="E2845" s="1126"/>
    </row>
    <row r="2846" spans="1:5" x14ac:dyDescent="0.2">
      <c r="A2846" s="1126" t="s">
        <v>3428</v>
      </c>
      <c r="B2846" s="1127">
        <v>180</v>
      </c>
      <c r="C2846" s="1128">
        <v>0</v>
      </c>
      <c r="D2846" s="1128">
        <v>97.02</v>
      </c>
      <c r="E2846" s="1126"/>
    </row>
    <row r="2847" spans="1:5" x14ac:dyDescent="0.2">
      <c r="A2847" s="1126" t="s">
        <v>3429</v>
      </c>
      <c r="B2847" s="1127">
        <v>471</v>
      </c>
      <c r="C2847" s="1128">
        <v>0</v>
      </c>
      <c r="D2847" s="1128">
        <v>203.89</v>
      </c>
      <c r="E2847" s="1126"/>
    </row>
    <row r="2848" spans="1:5" x14ac:dyDescent="0.2">
      <c r="A2848" s="1126" t="s">
        <v>3430</v>
      </c>
      <c r="B2848" s="1127">
        <v>190</v>
      </c>
      <c r="C2848" s="1128">
        <v>0</v>
      </c>
      <c r="D2848" s="1128">
        <v>71.69</v>
      </c>
      <c r="E2848" s="1126"/>
    </row>
    <row r="2849" spans="1:5" x14ac:dyDescent="0.2">
      <c r="A2849" s="1126" t="s">
        <v>3431</v>
      </c>
      <c r="B2849" s="1127">
        <v>188</v>
      </c>
      <c r="C2849" s="1128">
        <v>0</v>
      </c>
      <c r="D2849" s="1128">
        <v>40.93</v>
      </c>
      <c r="E2849" s="1126"/>
    </row>
    <row r="2850" spans="1:5" x14ac:dyDescent="0.2">
      <c r="A2850" s="1126" t="s">
        <v>3432</v>
      </c>
      <c r="B2850" s="1127">
        <v>232</v>
      </c>
      <c r="C2850" s="1128">
        <v>39.97</v>
      </c>
      <c r="D2850" s="1128">
        <v>199.44</v>
      </c>
      <c r="E2850" s="1126"/>
    </row>
    <row r="2851" spans="1:5" x14ac:dyDescent="0.2">
      <c r="A2851" s="1126" t="s">
        <v>3433</v>
      </c>
      <c r="B2851" s="1127">
        <v>305</v>
      </c>
      <c r="C2851" s="1128">
        <v>0</v>
      </c>
      <c r="D2851" s="1128">
        <v>68.34</v>
      </c>
      <c r="E2851" s="1126"/>
    </row>
    <row r="2852" spans="1:5" x14ac:dyDescent="0.2">
      <c r="A2852" s="1126" t="s">
        <v>3434</v>
      </c>
      <c r="B2852" s="1127">
        <v>227</v>
      </c>
      <c r="C2852" s="1128">
        <v>0</v>
      </c>
      <c r="D2852" s="1128">
        <v>116.35</v>
      </c>
      <c r="E2852" s="1126"/>
    </row>
    <row r="2853" spans="1:5" x14ac:dyDescent="0.2">
      <c r="A2853" s="1126" t="s">
        <v>3435</v>
      </c>
      <c r="B2853" s="1127">
        <v>330</v>
      </c>
      <c r="C2853" s="1128">
        <v>0</v>
      </c>
      <c r="D2853" s="1128">
        <v>204.24</v>
      </c>
      <c r="E2853" s="1126"/>
    </row>
    <row r="2854" spans="1:5" x14ac:dyDescent="0.2">
      <c r="A2854" s="1126" t="s">
        <v>3436</v>
      </c>
      <c r="B2854" s="1127">
        <v>227</v>
      </c>
      <c r="C2854" s="1128">
        <v>7.14</v>
      </c>
      <c r="D2854" s="1128">
        <v>163.16999999999999</v>
      </c>
      <c r="E2854" s="1126"/>
    </row>
    <row r="2855" spans="1:5" x14ac:dyDescent="0.2">
      <c r="A2855" s="1126" t="s">
        <v>3437</v>
      </c>
      <c r="B2855" s="1127">
        <v>61</v>
      </c>
      <c r="C2855" s="1128">
        <v>20.85</v>
      </c>
      <c r="D2855" s="1128">
        <v>62.78</v>
      </c>
      <c r="E2855" s="1126"/>
    </row>
    <row r="2856" spans="1:5" x14ac:dyDescent="0.2">
      <c r="A2856" s="1126" t="s">
        <v>3438</v>
      </c>
      <c r="B2856" s="1127">
        <v>297</v>
      </c>
      <c r="C2856" s="1128">
        <v>0</v>
      </c>
      <c r="D2856" s="1128">
        <v>144.46</v>
      </c>
      <c r="E2856" s="1126"/>
    </row>
    <row r="2857" spans="1:5" x14ac:dyDescent="0.2">
      <c r="A2857" s="1126" t="s">
        <v>3439</v>
      </c>
      <c r="B2857" s="1127">
        <v>59</v>
      </c>
      <c r="C2857" s="1128">
        <v>0</v>
      </c>
      <c r="D2857" s="1128">
        <v>14.9</v>
      </c>
      <c r="E2857" s="1126"/>
    </row>
    <row r="2858" spans="1:5" x14ac:dyDescent="0.2">
      <c r="A2858" s="1126" t="s">
        <v>3440</v>
      </c>
      <c r="B2858" s="1127">
        <v>596</v>
      </c>
      <c r="C2858" s="1128">
        <v>82.09</v>
      </c>
      <c r="D2858" s="1128">
        <v>491.76</v>
      </c>
      <c r="E2858" s="1126"/>
    </row>
    <row r="2859" spans="1:5" x14ac:dyDescent="0.2">
      <c r="A2859" s="1126" t="s">
        <v>3441</v>
      </c>
      <c r="B2859" s="1127">
        <v>201</v>
      </c>
      <c r="C2859" s="1128">
        <v>0</v>
      </c>
      <c r="D2859" s="1128">
        <v>34.49</v>
      </c>
      <c r="E2859" s="1126"/>
    </row>
    <row r="2860" spans="1:5" x14ac:dyDescent="0.2">
      <c r="A2860" s="1126" t="s">
        <v>3442</v>
      </c>
      <c r="B2860" s="1127">
        <v>142</v>
      </c>
      <c r="C2860" s="1128">
        <v>0</v>
      </c>
      <c r="D2860" s="1128">
        <v>55.36</v>
      </c>
      <c r="E2860" s="1126"/>
    </row>
    <row r="2861" spans="1:5" x14ac:dyDescent="0.2">
      <c r="A2861" s="1126" t="s">
        <v>3443</v>
      </c>
      <c r="B2861" s="1127">
        <v>126</v>
      </c>
      <c r="C2861" s="1128">
        <v>144.34</v>
      </c>
      <c r="D2861" s="1128">
        <v>230.95</v>
      </c>
      <c r="E2861" s="1126"/>
    </row>
    <row r="2862" spans="1:5" x14ac:dyDescent="0.2">
      <c r="A2862" s="1126" t="s">
        <v>3444</v>
      </c>
      <c r="B2862" s="1127">
        <v>290</v>
      </c>
      <c r="C2862" s="1128">
        <v>219.94</v>
      </c>
      <c r="D2862" s="1128">
        <v>419.27</v>
      </c>
      <c r="E2862" s="1126"/>
    </row>
    <row r="2863" spans="1:5" x14ac:dyDescent="0.2">
      <c r="A2863" s="1126" t="s">
        <v>3445</v>
      </c>
      <c r="B2863" s="1127">
        <v>221</v>
      </c>
      <c r="C2863" s="1128">
        <v>35.71</v>
      </c>
      <c r="D2863" s="1128">
        <v>187.62</v>
      </c>
      <c r="E2863" s="1126"/>
    </row>
    <row r="2864" spans="1:5" x14ac:dyDescent="0.2">
      <c r="A2864" s="1126" t="s">
        <v>3446</v>
      </c>
      <c r="B2864" s="1127">
        <v>251</v>
      </c>
      <c r="C2864" s="1128">
        <v>0</v>
      </c>
      <c r="D2864" s="1128">
        <v>39.92</v>
      </c>
      <c r="E2864" s="1126"/>
    </row>
    <row r="2865" spans="1:5" x14ac:dyDescent="0.2">
      <c r="A2865" s="1126" t="s">
        <v>3447</v>
      </c>
      <c r="B2865" s="1127">
        <v>270</v>
      </c>
      <c r="C2865" s="1128">
        <v>0</v>
      </c>
      <c r="D2865" s="1128">
        <v>135.03</v>
      </c>
      <c r="E2865" s="1126"/>
    </row>
    <row r="2866" spans="1:5" x14ac:dyDescent="0.2">
      <c r="A2866" s="1126" t="s">
        <v>3448</v>
      </c>
      <c r="B2866" s="1127">
        <v>221</v>
      </c>
      <c r="C2866" s="1128">
        <v>0</v>
      </c>
      <c r="D2866" s="1128">
        <v>47.08</v>
      </c>
      <c r="E2866" s="1126"/>
    </row>
    <row r="2867" spans="1:5" x14ac:dyDescent="0.2">
      <c r="A2867" s="1126" t="s">
        <v>3449</v>
      </c>
      <c r="B2867" s="1127">
        <v>263</v>
      </c>
      <c r="C2867" s="1128">
        <v>0</v>
      </c>
      <c r="D2867" s="1128">
        <v>142.16</v>
      </c>
      <c r="E2867" s="1126"/>
    </row>
    <row r="2868" spans="1:5" x14ac:dyDescent="0.2">
      <c r="A2868" s="1126" t="s">
        <v>3450</v>
      </c>
      <c r="B2868" s="1127">
        <v>168</v>
      </c>
      <c r="C2868" s="1128">
        <v>431.11</v>
      </c>
      <c r="D2868" s="1128">
        <v>546.59</v>
      </c>
      <c r="E2868" s="1126"/>
    </row>
    <row r="2869" spans="1:5" x14ac:dyDescent="0.2">
      <c r="A2869" s="1126" t="s">
        <v>3451</v>
      </c>
      <c r="B2869" s="1127">
        <v>78</v>
      </c>
      <c r="C2869" s="1128">
        <v>0</v>
      </c>
      <c r="D2869" s="1128">
        <v>23.64</v>
      </c>
      <c r="E2869" s="1126"/>
    </row>
    <row r="2870" spans="1:5" x14ac:dyDescent="0.2">
      <c r="A2870" s="1126" t="s">
        <v>3452</v>
      </c>
      <c r="B2870" s="1127">
        <v>311</v>
      </c>
      <c r="C2870" s="1128">
        <v>0</v>
      </c>
      <c r="D2870" s="1128">
        <v>135.26</v>
      </c>
      <c r="E2870" s="1126"/>
    </row>
    <row r="2871" spans="1:5" x14ac:dyDescent="0.2">
      <c r="A2871" s="1126" t="s">
        <v>3453</v>
      </c>
      <c r="B2871" s="1127">
        <v>203</v>
      </c>
      <c r="C2871" s="1128">
        <v>0</v>
      </c>
      <c r="D2871" s="1128">
        <v>62.56</v>
      </c>
      <c r="E2871" s="1126"/>
    </row>
    <row r="2872" spans="1:5" x14ac:dyDescent="0.2">
      <c r="A2872" s="1126" t="s">
        <v>3454</v>
      </c>
      <c r="B2872" s="1127">
        <v>98</v>
      </c>
      <c r="C2872" s="1128">
        <v>0</v>
      </c>
      <c r="D2872" s="1128">
        <v>43.83</v>
      </c>
      <c r="E2872" s="1126"/>
    </row>
    <row r="2873" spans="1:5" x14ac:dyDescent="0.2">
      <c r="A2873" s="1126" t="s">
        <v>3455</v>
      </c>
      <c r="B2873" s="1127">
        <v>131</v>
      </c>
      <c r="C2873" s="1128">
        <v>0</v>
      </c>
      <c r="D2873" s="1128">
        <v>4.71</v>
      </c>
      <c r="E2873" s="1126"/>
    </row>
    <row r="2874" spans="1:5" x14ac:dyDescent="0.2">
      <c r="A2874" s="1126" t="s">
        <v>3456</v>
      </c>
      <c r="B2874" s="1127">
        <v>169</v>
      </c>
      <c r="C2874" s="1128">
        <v>0</v>
      </c>
      <c r="D2874" s="1128">
        <v>102.29</v>
      </c>
      <c r="E2874" s="1126"/>
    </row>
    <row r="2875" spans="1:5" x14ac:dyDescent="0.2">
      <c r="A2875" s="1126" t="s">
        <v>3457</v>
      </c>
      <c r="B2875" s="1127">
        <v>59</v>
      </c>
      <c r="C2875" s="1128">
        <v>0</v>
      </c>
      <c r="D2875" s="1128">
        <v>20.260000000000002</v>
      </c>
      <c r="E2875" s="1126"/>
    </row>
    <row r="2876" spans="1:5" x14ac:dyDescent="0.2">
      <c r="A2876" s="1126" t="s">
        <v>3458</v>
      </c>
      <c r="B2876" s="1127">
        <v>173</v>
      </c>
      <c r="C2876" s="1128">
        <v>0</v>
      </c>
      <c r="D2876" s="1128">
        <v>66.400000000000006</v>
      </c>
      <c r="E2876" s="1126"/>
    </row>
    <row r="2877" spans="1:5" x14ac:dyDescent="0.2">
      <c r="A2877" s="1126" t="s">
        <v>3459</v>
      </c>
      <c r="B2877" s="1127">
        <v>151</v>
      </c>
      <c r="C2877" s="1128">
        <v>0</v>
      </c>
      <c r="D2877" s="1128">
        <v>57.76</v>
      </c>
      <c r="E2877" s="1126"/>
    </row>
    <row r="2878" spans="1:5" x14ac:dyDescent="0.2">
      <c r="A2878" s="1126" t="s">
        <v>3460</v>
      </c>
      <c r="B2878" s="1127">
        <v>161</v>
      </c>
      <c r="C2878" s="1128">
        <v>0</v>
      </c>
      <c r="D2878" s="1128">
        <v>103.68</v>
      </c>
      <c r="E2878" s="1126"/>
    </row>
    <row r="2879" spans="1:5" x14ac:dyDescent="0.2">
      <c r="A2879" s="1126" t="s">
        <v>3461</v>
      </c>
      <c r="B2879" s="1127">
        <v>325</v>
      </c>
      <c r="C2879" s="1128">
        <v>13.94</v>
      </c>
      <c r="D2879" s="1128">
        <v>237.33</v>
      </c>
      <c r="E2879" s="1126"/>
    </row>
    <row r="2880" spans="1:5" x14ac:dyDescent="0.2">
      <c r="A2880" s="1126" t="s">
        <v>3462</v>
      </c>
      <c r="B2880" s="1127">
        <v>460</v>
      </c>
      <c r="C2880" s="1128">
        <v>435.41</v>
      </c>
      <c r="D2880" s="1128">
        <v>751.6</v>
      </c>
      <c r="E2880" s="1126"/>
    </row>
    <row r="2881" spans="1:5" x14ac:dyDescent="0.2">
      <c r="A2881" s="1126" t="s">
        <v>3463</v>
      </c>
      <c r="B2881" s="1127">
        <v>109</v>
      </c>
      <c r="C2881" s="1128">
        <v>167.45</v>
      </c>
      <c r="D2881" s="1128">
        <v>242.37</v>
      </c>
      <c r="E2881" s="1126"/>
    </row>
    <row r="2882" spans="1:5" x14ac:dyDescent="0.2">
      <c r="A2882" s="1126" t="s">
        <v>3464</v>
      </c>
      <c r="B2882" s="1127">
        <v>185</v>
      </c>
      <c r="C2882" s="1128">
        <v>0</v>
      </c>
      <c r="D2882" s="1128">
        <v>108.05</v>
      </c>
      <c r="E2882" s="1126"/>
    </row>
    <row r="2883" spans="1:5" x14ac:dyDescent="0.2">
      <c r="A2883" s="1126" t="s">
        <v>3465</v>
      </c>
      <c r="B2883" s="1127">
        <v>167</v>
      </c>
      <c r="C2883" s="1128">
        <v>0</v>
      </c>
      <c r="D2883" s="1128">
        <v>73.2</v>
      </c>
      <c r="E2883" s="1126"/>
    </row>
    <row r="2884" spans="1:5" x14ac:dyDescent="0.2">
      <c r="A2884" s="1126" t="s">
        <v>3466</v>
      </c>
      <c r="B2884" s="1127">
        <v>385</v>
      </c>
      <c r="C2884" s="1128">
        <v>74.44</v>
      </c>
      <c r="D2884" s="1128">
        <v>339.07</v>
      </c>
      <c r="E2884" s="1126"/>
    </row>
    <row r="2885" spans="1:5" x14ac:dyDescent="0.2">
      <c r="A2885" s="1126" t="s">
        <v>3467</v>
      </c>
      <c r="B2885" s="1127">
        <v>362</v>
      </c>
      <c r="C2885" s="1128">
        <v>37.14</v>
      </c>
      <c r="D2885" s="1128">
        <v>285.97000000000003</v>
      </c>
      <c r="E2885" s="1126"/>
    </row>
    <row r="2886" spans="1:5" x14ac:dyDescent="0.2">
      <c r="A2886" s="1126" t="s">
        <v>3468</v>
      </c>
      <c r="B2886" s="1127">
        <v>207</v>
      </c>
      <c r="C2886" s="1128">
        <v>0</v>
      </c>
      <c r="D2886" s="1128">
        <v>54.7</v>
      </c>
      <c r="E2886" s="1126"/>
    </row>
    <row r="2887" spans="1:5" x14ac:dyDescent="0.2">
      <c r="A2887" s="1126" t="s">
        <v>3469</v>
      </c>
      <c r="B2887" s="1127">
        <v>202</v>
      </c>
      <c r="C2887" s="1128">
        <v>37.520000000000003</v>
      </c>
      <c r="D2887" s="1128">
        <v>176.36</v>
      </c>
      <c r="E2887" s="1126"/>
    </row>
    <row r="2888" spans="1:5" x14ac:dyDescent="0.2">
      <c r="A2888" s="1126" t="s">
        <v>3470</v>
      </c>
      <c r="B2888" s="1127">
        <v>375</v>
      </c>
      <c r="C2888" s="1128">
        <v>0</v>
      </c>
      <c r="D2888" s="1128">
        <v>86.84</v>
      </c>
      <c r="E2888" s="1126"/>
    </row>
    <row r="2889" spans="1:5" x14ac:dyDescent="0.2">
      <c r="A2889" s="1126" t="s">
        <v>3471</v>
      </c>
      <c r="B2889" s="1127">
        <v>145</v>
      </c>
      <c r="C2889" s="1128">
        <v>9.9600000000000009</v>
      </c>
      <c r="D2889" s="1128">
        <v>109.63</v>
      </c>
      <c r="E2889" s="1126"/>
    </row>
    <row r="2890" spans="1:5" x14ac:dyDescent="0.2">
      <c r="A2890" s="1126" t="s">
        <v>3472</v>
      </c>
      <c r="B2890" s="1127">
        <v>87</v>
      </c>
      <c r="C2890" s="1128">
        <v>0</v>
      </c>
      <c r="D2890" s="1128">
        <v>16.86</v>
      </c>
      <c r="E2890" s="1126"/>
    </row>
    <row r="2891" spans="1:5" x14ac:dyDescent="0.2">
      <c r="A2891" s="1126" t="s">
        <v>3473</v>
      </c>
      <c r="B2891" s="1127">
        <v>228</v>
      </c>
      <c r="C2891" s="1128">
        <v>0</v>
      </c>
      <c r="D2891" s="1128">
        <v>132.16999999999999</v>
      </c>
      <c r="E2891" s="1126"/>
    </row>
    <row r="2892" spans="1:5" x14ac:dyDescent="0.2">
      <c r="A2892" s="1126" t="s">
        <v>3474</v>
      </c>
      <c r="B2892" s="1127">
        <v>114</v>
      </c>
      <c r="C2892" s="1128">
        <v>175.16</v>
      </c>
      <c r="D2892" s="1128">
        <v>253.52</v>
      </c>
      <c r="E2892" s="1126"/>
    </row>
    <row r="2893" spans="1:5" x14ac:dyDescent="0.2">
      <c r="A2893" s="1126" t="s">
        <v>3475</v>
      </c>
      <c r="B2893" s="1127">
        <v>563</v>
      </c>
      <c r="C2893" s="1128">
        <v>0</v>
      </c>
      <c r="D2893" s="1128">
        <v>258.83999999999997</v>
      </c>
      <c r="E2893" s="1126"/>
    </row>
    <row r="2894" spans="1:5" x14ac:dyDescent="0.2">
      <c r="A2894" s="1126" t="s">
        <v>3476</v>
      </c>
      <c r="B2894" s="1127">
        <v>385</v>
      </c>
      <c r="C2894" s="1128">
        <v>12.36</v>
      </c>
      <c r="D2894" s="1128">
        <v>277</v>
      </c>
      <c r="E2894" s="1126"/>
    </row>
    <row r="2895" spans="1:5" x14ac:dyDescent="0.2">
      <c r="A2895" s="1126" t="s">
        <v>3477</v>
      </c>
      <c r="B2895" s="1127">
        <v>153</v>
      </c>
      <c r="C2895" s="1128">
        <v>0</v>
      </c>
      <c r="D2895" s="1128">
        <v>48.4</v>
      </c>
      <c r="E2895" s="1126"/>
    </row>
    <row r="2896" spans="1:5" x14ac:dyDescent="0.2">
      <c r="A2896" s="1126" t="s">
        <v>3478</v>
      </c>
      <c r="B2896" s="1127">
        <v>252</v>
      </c>
      <c r="C2896" s="1128">
        <v>0</v>
      </c>
      <c r="D2896" s="1128">
        <v>142.87</v>
      </c>
      <c r="E2896" s="1126"/>
    </row>
    <row r="2897" spans="1:5" x14ac:dyDescent="0.2">
      <c r="A2897" s="1126" t="s">
        <v>3479</v>
      </c>
      <c r="B2897" s="1127">
        <v>68</v>
      </c>
      <c r="C2897" s="1128">
        <v>0</v>
      </c>
      <c r="D2897" s="1128">
        <v>9.65</v>
      </c>
      <c r="E2897" s="1126"/>
    </row>
    <row r="2898" spans="1:5" x14ac:dyDescent="0.2">
      <c r="A2898" s="1126" t="s">
        <v>3480</v>
      </c>
      <c r="B2898" s="1127">
        <v>77</v>
      </c>
      <c r="C2898" s="1128">
        <v>0</v>
      </c>
      <c r="D2898" s="1128">
        <v>43.17</v>
      </c>
      <c r="E2898" s="1126"/>
    </row>
    <row r="2899" spans="1:5" x14ac:dyDescent="0.2">
      <c r="A2899" s="1126" t="s">
        <v>3481</v>
      </c>
      <c r="B2899" s="1127">
        <v>30</v>
      </c>
      <c r="C2899" s="1128">
        <v>0</v>
      </c>
      <c r="D2899" s="1128">
        <v>5</v>
      </c>
      <c r="E2899" s="1126" t="s">
        <v>669</v>
      </c>
    </row>
    <row r="2900" spans="1:5" x14ac:dyDescent="0.2">
      <c r="A2900" s="1126" t="s">
        <v>3482</v>
      </c>
      <c r="B2900" s="1127">
        <v>121</v>
      </c>
      <c r="C2900" s="1128">
        <v>0</v>
      </c>
      <c r="D2900" s="1128">
        <v>64.31</v>
      </c>
      <c r="E2900" s="1126"/>
    </row>
    <row r="2901" spans="1:5" x14ac:dyDescent="0.2">
      <c r="A2901" s="1126" t="s">
        <v>3483</v>
      </c>
      <c r="B2901" s="1127">
        <v>103</v>
      </c>
      <c r="C2901" s="1128">
        <v>26.36</v>
      </c>
      <c r="D2901" s="1128">
        <v>97.15</v>
      </c>
      <c r="E2901" s="1126"/>
    </row>
    <row r="2902" spans="1:5" x14ac:dyDescent="0.2">
      <c r="A2902" s="1126" t="s">
        <v>3484</v>
      </c>
      <c r="B2902" s="1127">
        <v>168</v>
      </c>
      <c r="C2902" s="1128">
        <v>37.090000000000003</v>
      </c>
      <c r="D2902" s="1128">
        <v>152.57</v>
      </c>
      <c r="E2902" s="1126"/>
    </row>
    <row r="2903" spans="1:5" x14ac:dyDescent="0.2">
      <c r="A2903" s="1126" t="s">
        <v>3485</v>
      </c>
      <c r="B2903" s="1127">
        <v>152</v>
      </c>
      <c r="C2903" s="1128">
        <v>66.58</v>
      </c>
      <c r="D2903" s="1128">
        <v>171.06</v>
      </c>
      <c r="E2903" s="1126"/>
    </row>
    <row r="2904" spans="1:5" x14ac:dyDescent="0.2">
      <c r="A2904" s="1126" t="s">
        <v>3486</v>
      </c>
      <c r="B2904" s="1127">
        <v>460</v>
      </c>
      <c r="C2904" s="1128">
        <v>0</v>
      </c>
      <c r="D2904" s="1128">
        <v>28.15</v>
      </c>
      <c r="E2904" s="1126"/>
    </row>
    <row r="2905" spans="1:5" x14ac:dyDescent="0.2">
      <c r="A2905" s="1126" t="s">
        <v>3487</v>
      </c>
      <c r="B2905" s="1127">
        <v>150</v>
      </c>
      <c r="C2905" s="1128">
        <v>0</v>
      </c>
      <c r="D2905" s="1128">
        <v>93.19</v>
      </c>
      <c r="E2905" s="1126"/>
    </row>
    <row r="2906" spans="1:5" x14ac:dyDescent="0.2">
      <c r="A2906" s="1126" t="s">
        <v>3488</v>
      </c>
      <c r="B2906" s="1127">
        <v>125</v>
      </c>
      <c r="C2906" s="1128">
        <v>0</v>
      </c>
      <c r="D2906" s="1128">
        <v>40.81</v>
      </c>
      <c r="E2906" s="1126"/>
    </row>
    <row r="2907" spans="1:5" x14ac:dyDescent="0.2">
      <c r="A2907" s="1126" t="s">
        <v>3489</v>
      </c>
      <c r="B2907" s="1127">
        <v>90</v>
      </c>
      <c r="C2907" s="1128">
        <v>0</v>
      </c>
      <c r="D2907" s="1128">
        <v>52</v>
      </c>
      <c r="E2907" s="1126"/>
    </row>
    <row r="2908" spans="1:5" x14ac:dyDescent="0.2">
      <c r="A2908" s="1126" t="s">
        <v>3490</v>
      </c>
      <c r="B2908" s="1127">
        <v>40</v>
      </c>
      <c r="C2908" s="1128">
        <v>0</v>
      </c>
      <c r="D2908" s="1128">
        <v>16.53</v>
      </c>
      <c r="E2908" s="1126" t="s">
        <v>669</v>
      </c>
    </row>
    <row r="2909" spans="1:5" x14ac:dyDescent="0.2">
      <c r="A2909" s="1126" t="s">
        <v>3491</v>
      </c>
      <c r="B2909" s="1127">
        <v>43</v>
      </c>
      <c r="C2909" s="1128">
        <v>0</v>
      </c>
      <c r="D2909" s="1128">
        <v>0</v>
      </c>
      <c r="E2909" s="1126"/>
    </row>
    <row r="2910" spans="1:5" x14ac:dyDescent="0.2">
      <c r="A2910" s="1126" t="s">
        <v>3492</v>
      </c>
      <c r="B2910" s="1127">
        <v>98</v>
      </c>
      <c r="C2910" s="1128">
        <v>0</v>
      </c>
      <c r="D2910" s="1128">
        <v>8.8800000000000008</v>
      </c>
      <c r="E2910" s="1126"/>
    </row>
    <row r="2911" spans="1:5" x14ac:dyDescent="0.2">
      <c r="A2911" s="1126" t="s">
        <v>3493</v>
      </c>
      <c r="B2911" s="1127">
        <v>138</v>
      </c>
      <c r="C2911" s="1128">
        <v>239.73</v>
      </c>
      <c r="D2911" s="1128">
        <v>334.59</v>
      </c>
      <c r="E2911" s="1126"/>
    </row>
    <row r="2912" spans="1:5" x14ac:dyDescent="0.2">
      <c r="A2912" s="1126" t="s">
        <v>3494</v>
      </c>
      <c r="B2912" s="1127">
        <v>45</v>
      </c>
      <c r="C2912" s="1128">
        <v>0</v>
      </c>
      <c r="D2912" s="1128">
        <v>23.48</v>
      </c>
      <c r="E2912" s="1126"/>
    </row>
    <row r="2913" spans="1:5" x14ac:dyDescent="0.2">
      <c r="A2913" s="1126" t="s">
        <v>3495</v>
      </c>
      <c r="B2913" s="1127">
        <v>20</v>
      </c>
      <c r="C2913" s="1128">
        <v>6.79</v>
      </c>
      <c r="D2913" s="1128">
        <v>20.54</v>
      </c>
      <c r="E2913" s="1126" t="s">
        <v>669</v>
      </c>
    </row>
    <row r="2914" spans="1:5" x14ac:dyDescent="0.2">
      <c r="A2914" s="1126" t="s">
        <v>3496</v>
      </c>
      <c r="B2914" s="1127">
        <v>218</v>
      </c>
      <c r="C2914" s="1128">
        <v>48.89</v>
      </c>
      <c r="D2914" s="1128">
        <v>198.74</v>
      </c>
      <c r="E2914" s="1126"/>
    </row>
    <row r="2915" spans="1:5" x14ac:dyDescent="0.2">
      <c r="A2915" s="1126" t="s">
        <v>3497</v>
      </c>
      <c r="B2915" s="1127">
        <v>218</v>
      </c>
      <c r="C2915" s="1128">
        <v>26.86</v>
      </c>
      <c r="D2915" s="1128">
        <v>176.71</v>
      </c>
      <c r="E2915" s="1126"/>
    </row>
    <row r="2916" spans="1:5" x14ac:dyDescent="0.2">
      <c r="A2916" s="1126" t="s">
        <v>3498</v>
      </c>
      <c r="B2916" s="1127">
        <v>137</v>
      </c>
      <c r="C2916" s="1128">
        <v>26.56</v>
      </c>
      <c r="D2916" s="1128">
        <v>120.73</v>
      </c>
      <c r="E2916" s="1126"/>
    </row>
    <row r="2917" spans="1:5" x14ac:dyDescent="0.2">
      <c r="A2917" s="1126" t="s">
        <v>3499</v>
      </c>
      <c r="B2917" s="1127">
        <v>208</v>
      </c>
      <c r="C2917" s="1128">
        <v>246.68</v>
      </c>
      <c r="D2917" s="1128">
        <v>389.65</v>
      </c>
      <c r="E2917" s="1126"/>
    </row>
    <row r="2918" spans="1:5" x14ac:dyDescent="0.2">
      <c r="A2918" s="1126" t="s">
        <v>3500</v>
      </c>
      <c r="B2918" s="1127">
        <v>13</v>
      </c>
      <c r="C2918" s="1128">
        <v>7.26</v>
      </c>
      <c r="D2918" s="1128">
        <v>16.2</v>
      </c>
      <c r="E2918" s="1126" t="s">
        <v>669</v>
      </c>
    </row>
    <row r="2919" spans="1:5" x14ac:dyDescent="0.2">
      <c r="A2919" s="1126" t="s">
        <v>3501</v>
      </c>
      <c r="B2919" s="1127">
        <v>33</v>
      </c>
      <c r="C2919" s="1128">
        <v>0</v>
      </c>
      <c r="D2919" s="1128">
        <v>4.95</v>
      </c>
      <c r="E2919" s="1126" t="s">
        <v>669</v>
      </c>
    </row>
    <row r="2920" spans="1:5" x14ac:dyDescent="0.2">
      <c r="A2920" s="1126" t="s">
        <v>3502</v>
      </c>
      <c r="B2920" s="1127">
        <v>121</v>
      </c>
      <c r="C2920" s="1128">
        <v>439.51</v>
      </c>
      <c r="D2920" s="1128">
        <v>522.67999999999995</v>
      </c>
      <c r="E2920" s="1126"/>
    </row>
    <row r="2921" spans="1:5" x14ac:dyDescent="0.2">
      <c r="A2921" s="1126" t="s">
        <v>3503</v>
      </c>
      <c r="B2921" s="1127">
        <v>308</v>
      </c>
      <c r="C2921" s="1128">
        <v>55.96</v>
      </c>
      <c r="D2921" s="1128">
        <v>267.67</v>
      </c>
      <c r="E2921" s="1126"/>
    </row>
    <row r="2922" spans="1:5" x14ac:dyDescent="0.2">
      <c r="A2922" s="1126" t="s">
        <v>3504</v>
      </c>
      <c r="B2922" s="1127">
        <v>246</v>
      </c>
      <c r="C2922" s="1128">
        <v>129.88999999999999</v>
      </c>
      <c r="D2922" s="1128">
        <v>298.98</v>
      </c>
      <c r="E2922" s="1126"/>
    </row>
    <row r="2923" spans="1:5" x14ac:dyDescent="0.2">
      <c r="A2923" s="1126" t="s">
        <v>3505</v>
      </c>
      <c r="B2923" s="1127">
        <v>139</v>
      </c>
      <c r="C2923" s="1128">
        <v>558.29</v>
      </c>
      <c r="D2923" s="1128">
        <v>653.83000000000004</v>
      </c>
      <c r="E2923" s="1126"/>
    </row>
    <row r="2924" spans="1:5" x14ac:dyDescent="0.2">
      <c r="A2924" s="1126" t="s">
        <v>3506</v>
      </c>
      <c r="B2924" s="1127">
        <v>218</v>
      </c>
      <c r="C2924" s="1128">
        <v>63.06</v>
      </c>
      <c r="D2924" s="1128">
        <v>212.9</v>
      </c>
      <c r="E2924" s="1126"/>
    </row>
    <row r="2925" spans="1:5" x14ac:dyDescent="0.2">
      <c r="A2925" s="1126" t="s">
        <v>3507</v>
      </c>
      <c r="B2925" s="1127">
        <v>228</v>
      </c>
      <c r="C2925" s="1128">
        <v>0</v>
      </c>
      <c r="D2925" s="1128">
        <v>149.68</v>
      </c>
      <c r="E2925" s="1126"/>
    </row>
    <row r="2926" spans="1:5" x14ac:dyDescent="0.2">
      <c r="A2926" s="1126" t="s">
        <v>3508</v>
      </c>
      <c r="B2926" s="1127">
        <v>108</v>
      </c>
      <c r="C2926" s="1128">
        <v>0</v>
      </c>
      <c r="D2926" s="1128">
        <v>35.51</v>
      </c>
      <c r="E2926" s="1126"/>
    </row>
    <row r="2927" spans="1:5" x14ac:dyDescent="0.2">
      <c r="A2927" s="1126" t="s">
        <v>3509</v>
      </c>
      <c r="B2927" s="1127">
        <v>154</v>
      </c>
      <c r="C2927" s="1128">
        <v>36.99</v>
      </c>
      <c r="D2927" s="1128">
        <v>142.85</v>
      </c>
      <c r="E2927" s="1126"/>
    </row>
    <row r="2928" spans="1:5" x14ac:dyDescent="0.2">
      <c r="A2928" s="1126" t="s">
        <v>3510</v>
      </c>
      <c r="B2928" s="1127">
        <v>141</v>
      </c>
      <c r="C2928" s="1128">
        <v>0</v>
      </c>
      <c r="D2928" s="1128">
        <v>88.12</v>
      </c>
      <c r="E2928" s="1126"/>
    </row>
    <row r="2929" spans="1:5" x14ac:dyDescent="0.2">
      <c r="A2929" s="1126" t="s">
        <v>3511</v>
      </c>
      <c r="B2929" s="1127">
        <v>48</v>
      </c>
      <c r="C2929" s="1128">
        <v>13.75</v>
      </c>
      <c r="D2929" s="1128">
        <v>46.74</v>
      </c>
      <c r="E2929" s="1126"/>
    </row>
    <row r="2930" spans="1:5" x14ac:dyDescent="0.2">
      <c r="A2930" s="1126" t="s">
        <v>3512</v>
      </c>
      <c r="B2930" s="1127">
        <v>208</v>
      </c>
      <c r="C2930" s="1128">
        <v>63.12</v>
      </c>
      <c r="D2930" s="1128">
        <v>206.09</v>
      </c>
      <c r="E2930" s="1126"/>
    </row>
    <row r="2931" spans="1:5" x14ac:dyDescent="0.2">
      <c r="A2931" s="1126" t="s">
        <v>3513</v>
      </c>
      <c r="B2931" s="1127">
        <v>297</v>
      </c>
      <c r="C2931" s="1128">
        <v>0</v>
      </c>
      <c r="D2931" s="1128">
        <v>78.06</v>
      </c>
      <c r="E2931" s="1126"/>
    </row>
    <row r="2932" spans="1:5" x14ac:dyDescent="0.2">
      <c r="A2932" s="1126" t="s">
        <v>3514</v>
      </c>
      <c r="B2932" s="1127">
        <v>171</v>
      </c>
      <c r="C2932" s="1128">
        <v>0</v>
      </c>
      <c r="D2932" s="1128">
        <v>105.87</v>
      </c>
      <c r="E2932" s="1126"/>
    </row>
    <row r="2933" spans="1:5" x14ac:dyDescent="0.2">
      <c r="A2933" s="1126" t="s">
        <v>3515</v>
      </c>
      <c r="B2933" s="1127">
        <v>101</v>
      </c>
      <c r="C2933" s="1128">
        <v>0</v>
      </c>
      <c r="D2933" s="1128">
        <v>0</v>
      </c>
      <c r="E2933" s="1126"/>
    </row>
    <row r="2934" spans="1:5" x14ac:dyDescent="0.2">
      <c r="A2934" s="1126" t="s">
        <v>3516</v>
      </c>
      <c r="B2934" s="1127">
        <v>114</v>
      </c>
      <c r="C2934" s="1128">
        <v>208.54</v>
      </c>
      <c r="D2934" s="1128">
        <v>286.89999999999998</v>
      </c>
      <c r="E2934" s="1126"/>
    </row>
    <row r="2935" spans="1:5" x14ac:dyDescent="0.2">
      <c r="A2935" s="1126" t="s">
        <v>3517</v>
      </c>
      <c r="B2935" s="1127">
        <v>301</v>
      </c>
      <c r="C2935" s="1128">
        <v>0</v>
      </c>
      <c r="D2935" s="1128">
        <v>187.88</v>
      </c>
      <c r="E2935" s="1126"/>
    </row>
    <row r="2936" spans="1:5" x14ac:dyDescent="0.2">
      <c r="A2936" s="1126" t="s">
        <v>3518</v>
      </c>
      <c r="B2936" s="1127">
        <v>185</v>
      </c>
      <c r="C2936" s="1128">
        <v>74.25</v>
      </c>
      <c r="D2936" s="1128">
        <v>201.41</v>
      </c>
      <c r="E2936" s="1126"/>
    </row>
    <row r="2937" spans="1:5" x14ac:dyDescent="0.2">
      <c r="A2937" s="1126" t="s">
        <v>3519</v>
      </c>
      <c r="B2937" s="1127">
        <v>197</v>
      </c>
      <c r="C2937" s="1128">
        <v>0</v>
      </c>
      <c r="D2937" s="1128">
        <v>128.61000000000001</v>
      </c>
      <c r="E2937" s="1126"/>
    </row>
    <row r="2938" spans="1:5" x14ac:dyDescent="0.2">
      <c r="A2938" s="1126" t="s">
        <v>3520</v>
      </c>
      <c r="B2938" s="1127">
        <v>403</v>
      </c>
      <c r="C2938" s="1128">
        <v>0</v>
      </c>
      <c r="D2938" s="1128">
        <v>119.19</v>
      </c>
      <c r="E2938" s="1126"/>
    </row>
    <row r="2939" spans="1:5" x14ac:dyDescent="0.2">
      <c r="A2939" s="1126" t="s">
        <v>3521</v>
      </c>
      <c r="B2939" s="1127">
        <v>128</v>
      </c>
      <c r="C2939" s="1128">
        <v>278.33</v>
      </c>
      <c r="D2939" s="1128">
        <v>366.31</v>
      </c>
      <c r="E2939" s="1126"/>
    </row>
    <row r="2940" spans="1:5" x14ac:dyDescent="0.2">
      <c r="A2940" s="1126" t="s">
        <v>3522</v>
      </c>
      <c r="B2940" s="1127">
        <v>176</v>
      </c>
      <c r="C2940" s="1128">
        <v>0</v>
      </c>
      <c r="D2940" s="1128">
        <v>49.97</v>
      </c>
      <c r="E2940" s="1126"/>
    </row>
    <row r="2941" spans="1:5" x14ac:dyDescent="0.2">
      <c r="A2941" s="1126" t="s">
        <v>3523</v>
      </c>
      <c r="B2941" s="1127">
        <v>110</v>
      </c>
      <c r="C2941" s="1128">
        <v>0</v>
      </c>
      <c r="D2941" s="1128">
        <v>25.77</v>
      </c>
      <c r="E2941" s="1126"/>
    </row>
    <row r="2942" spans="1:5" x14ac:dyDescent="0.2">
      <c r="A2942" s="1126" t="s">
        <v>3524</v>
      </c>
      <c r="B2942" s="1127">
        <v>375</v>
      </c>
      <c r="C2942" s="1128">
        <v>534.32000000000005</v>
      </c>
      <c r="D2942" s="1128">
        <v>792.08</v>
      </c>
      <c r="E2942" s="1126"/>
    </row>
    <row r="2943" spans="1:5" x14ac:dyDescent="0.2">
      <c r="A2943" s="1126" t="s">
        <v>3525</v>
      </c>
      <c r="B2943" s="1127">
        <v>335</v>
      </c>
      <c r="C2943" s="1128">
        <v>0</v>
      </c>
      <c r="D2943" s="1128">
        <v>122.36</v>
      </c>
      <c r="E2943" s="1126"/>
    </row>
    <row r="2944" spans="1:5" x14ac:dyDescent="0.2">
      <c r="A2944" s="1126" t="s">
        <v>3526</v>
      </c>
      <c r="B2944" s="1127">
        <v>231</v>
      </c>
      <c r="C2944" s="1128">
        <v>813.89</v>
      </c>
      <c r="D2944" s="1128">
        <v>972.67</v>
      </c>
      <c r="E2944" s="1126"/>
    </row>
    <row r="2945" spans="1:5" x14ac:dyDescent="0.2">
      <c r="A2945" s="1126" t="s">
        <v>3527</v>
      </c>
      <c r="B2945" s="1127">
        <v>370</v>
      </c>
      <c r="C2945" s="1128">
        <v>0</v>
      </c>
      <c r="D2945" s="1128">
        <v>222.03</v>
      </c>
      <c r="E2945" s="1126"/>
    </row>
    <row r="2946" spans="1:5" x14ac:dyDescent="0.2">
      <c r="A2946" s="1126" t="s">
        <v>3528</v>
      </c>
      <c r="B2946" s="1127">
        <v>163</v>
      </c>
      <c r="C2946" s="1128">
        <v>0</v>
      </c>
      <c r="D2946" s="1128">
        <v>31.33</v>
      </c>
      <c r="E2946" s="1126"/>
    </row>
    <row r="2947" spans="1:5" x14ac:dyDescent="0.2">
      <c r="A2947" s="1126" t="s">
        <v>3529</v>
      </c>
      <c r="B2947" s="1127">
        <v>185</v>
      </c>
      <c r="C2947" s="1128">
        <v>195.56</v>
      </c>
      <c r="D2947" s="1128">
        <v>322.72000000000003</v>
      </c>
      <c r="E2947" s="1126"/>
    </row>
    <row r="2948" spans="1:5" x14ac:dyDescent="0.2">
      <c r="A2948" s="1126" t="s">
        <v>3530</v>
      </c>
      <c r="B2948" s="1127">
        <v>100</v>
      </c>
      <c r="C2948" s="1128">
        <v>124.38</v>
      </c>
      <c r="D2948" s="1128">
        <v>193.12</v>
      </c>
      <c r="E2948" s="1126"/>
    </row>
    <row r="2949" spans="1:5" x14ac:dyDescent="0.2">
      <c r="A2949" s="1126" t="s">
        <v>3531</v>
      </c>
      <c r="B2949" s="1127">
        <v>385</v>
      </c>
      <c r="C2949" s="1128">
        <v>0</v>
      </c>
      <c r="D2949" s="1128">
        <v>128.25</v>
      </c>
      <c r="E2949" s="1126"/>
    </row>
    <row r="2950" spans="1:5" x14ac:dyDescent="0.2">
      <c r="A2950" s="1126" t="s">
        <v>3532</v>
      </c>
      <c r="B2950" s="1127">
        <v>339</v>
      </c>
      <c r="C2950" s="1128">
        <v>0</v>
      </c>
      <c r="D2950" s="1128">
        <v>57.58</v>
      </c>
      <c r="E2950" s="1126"/>
    </row>
    <row r="2951" spans="1:5" x14ac:dyDescent="0.2">
      <c r="A2951" s="1126" t="s">
        <v>3533</v>
      </c>
      <c r="B2951" s="1127">
        <v>482</v>
      </c>
      <c r="C2951" s="1128">
        <v>0</v>
      </c>
      <c r="D2951" s="1128">
        <v>272.33</v>
      </c>
      <c r="E2951" s="1126"/>
    </row>
    <row r="2952" spans="1:5" x14ac:dyDescent="0.2">
      <c r="A2952" s="1126" t="s">
        <v>3534</v>
      </c>
      <c r="B2952" s="1127">
        <v>136</v>
      </c>
      <c r="C2952" s="1128">
        <v>0</v>
      </c>
      <c r="D2952" s="1128">
        <v>19.239999999999998</v>
      </c>
      <c r="E2952" s="1126"/>
    </row>
    <row r="2953" spans="1:5" x14ac:dyDescent="0.2">
      <c r="A2953" s="1126" t="s">
        <v>3535</v>
      </c>
      <c r="B2953" s="1127">
        <v>228</v>
      </c>
      <c r="C2953" s="1128">
        <v>0</v>
      </c>
      <c r="D2953" s="1128">
        <v>95.99</v>
      </c>
      <c r="E2953" s="1126"/>
    </row>
    <row r="2954" spans="1:5" x14ac:dyDescent="0.2">
      <c r="A2954" s="1126" t="s">
        <v>3536</v>
      </c>
      <c r="B2954" s="1127">
        <v>149</v>
      </c>
      <c r="C2954" s="1128">
        <v>50.87</v>
      </c>
      <c r="D2954" s="1128">
        <v>153.29</v>
      </c>
      <c r="E2954" s="1126"/>
    </row>
    <row r="2955" spans="1:5" x14ac:dyDescent="0.2">
      <c r="A2955" s="1126" t="s">
        <v>3537</v>
      </c>
      <c r="B2955" s="1127">
        <v>247</v>
      </c>
      <c r="C2955" s="1128">
        <v>18.7</v>
      </c>
      <c r="D2955" s="1128">
        <v>188.47</v>
      </c>
      <c r="E2955" s="1126"/>
    </row>
    <row r="2956" spans="1:5" x14ac:dyDescent="0.2">
      <c r="A2956" s="1126" t="s">
        <v>3538</v>
      </c>
      <c r="B2956" s="1127">
        <v>322</v>
      </c>
      <c r="C2956" s="1128">
        <v>0</v>
      </c>
      <c r="D2956" s="1128">
        <v>204.77</v>
      </c>
      <c r="E2956" s="1126"/>
    </row>
    <row r="2957" spans="1:5" x14ac:dyDescent="0.2">
      <c r="A2957" s="1126" t="s">
        <v>3539</v>
      </c>
      <c r="B2957" s="1127">
        <v>398</v>
      </c>
      <c r="C2957" s="1128">
        <v>73.290000000000006</v>
      </c>
      <c r="D2957" s="1128">
        <v>346.86</v>
      </c>
      <c r="E2957" s="1126"/>
    </row>
    <row r="2958" spans="1:5" x14ac:dyDescent="0.2">
      <c r="A2958" s="1126" t="s">
        <v>3540</v>
      </c>
      <c r="B2958" s="1127">
        <v>207</v>
      </c>
      <c r="C2958" s="1128">
        <v>72</v>
      </c>
      <c r="D2958" s="1128">
        <v>214.29</v>
      </c>
      <c r="E2958" s="1126"/>
    </row>
    <row r="2959" spans="1:5" x14ac:dyDescent="0.2">
      <c r="A2959" s="1126" t="s">
        <v>3541</v>
      </c>
      <c r="B2959" s="1127">
        <v>385</v>
      </c>
      <c r="C2959" s="1128">
        <v>0</v>
      </c>
      <c r="D2959" s="1128">
        <v>149.97</v>
      </c>
      <c r="E2959" s="1126"/>
    </row>
    <row r="2960" spans="1:5" x14ac:dyDescent="0.2">
      <c r="A2960" s="1126" t="s">
        <v>3542</v>
      </c>
      <c r="B2960" s="1127">
        <v>324</v>
      </c>
      <c r="C2960" s="1128">
        <v>0</v>
      </c>
      <c r="D2960" s="1128">
        <v>161.97999999999999</v>
      </c>
      <c r="E2960" s="1126"/>
    </row>
    <row r="2961" spans="1:5" x14ac:dyDescent="0.2">
      <c r="A2961" s="1126" t="s">
        <v>3543</v>
      </c>
      <c r="B2961" s="1127">
        <v>66</v>
      </c>
      <c r="C2961" s="1128">
        <v>0</v>
      </c>
      <c r="D2961" s="1128">
        <v>4.49</v>
      </c>
      <c r="E2961" s="1126"/>
    </row>
    <row r="2962" spans="1:5" x14ac:dyDescent="0.2">
      <c r="A2962" s="1126" t="s">
        <v>3544</v>
      </c>
      <c r="B2962" s="1127">
        <v>447</v>
      </c>
      <c r="C2962" s="1128">
        <v>0</v>
      </c>
      <c r="D2962" s="1128">
        <v>79.349999999999994</v>
      </c>
      <c r="E2962" s="1126"/>
    </row>
    <row r="2963" spans="1:5" x14ac:dyDescent="0.2">
      <c r="A2963" s="1126" t="s">
        <v>3545</v>
      </c>
      <c r="B2963" s="1127">
        <v>367</v>
      </c>
      <c r="C2963" s="1128">
        <v>146.08000000000001</v>
      </c>
      <c r="D2963" s="1128">
        <v>398.34</v>
      </c>
      <c r="E2963" s="1126"/>
    </row>
    <row r="2964" spans="1:5" x14ac:dyDescent="0.2">
      <c r="A2964" s="1126" t="s">
        <v>3546</v>
      </c>
      <c r="B2964" s="1127">
        <v>141</v>
      </c>
      <c r="C2964" s="1128">
        <v>71.06</v>
      </c>
      <c r="D2964" s="1128">
        <v>167.98</v>
      </c>
      <c r="E2964" s="1126"/>
    </row>
    <row r="2965" spans="1:5" x14ac:dyDescent="0.2">
      <c r="A2965" s="1126" t="s">
        <v>3547</v>
      </c>
      <c r="B2965" s="1127">
        <v>187</v>
      </c>
      <c r="C2965" s="1128">
        <v>0</v>
      </c>
      <c r="D2965" s="1128">
        <v>5.74</v>
      </c>
      <c r="E2965" s="1126"/>
    </row>
    <row r="2966" spans="1:5" x14ac:dyDescent="0.2">
      <c r="A2966" s="1126" t="s">
        <v>3548</v>
      </c>
      <c r="B2966" s="1127">
        <v>76</v>
      </c>
      <c r="C2966" s="1128">
        <v>248.7</v>
      </c>
      <c r="D2966" s="1128">
        <v>300.94</v>
      </c>
      <c r="E2966" s="1126"/>
    </row>
    <row r="2967" spans="1:5" x14ac:dyDescent="0.2">
      <c r="A2967" s="1126" t="s">
        <v>3549</v>
      </c>
      <c r="B2967" s="1127">
        <v>65</v>
      </c>
      <c r="C2967" s="1128">
        <v>0</v>
      </c>
      <c r="D2967" s="1128">
        <v>17.98</v>
      </c>
      <c r="E2967" s="1126"/>
    </row>
    <row r="2968" spans="1:5" x14ac:dyDescent="0.2">
      <c r="A2968" s="1126" t="s">
        <v>3550</v>
      </c>
      <c r="B2968" s="1127">
        <v>350</v>
      </c>
      <c r="C2968" s="1128">
        <v>0</v>
      </c>
      <c r="D2968" s="1128">
        <v>135.06</v>
      </c>
      <c r="E2968" s="1126"/>
    </row>
    <row r="2969" spans="1:5" x14ac:dyDescent="0.2">
      <c r="A2969" s="1126" t="s">
        <v>3551</v>
      </c>
      <c r="B2969" s="1127">
        <v>340</v>
      </c>
      <c r="C2969" s="1128">
        <v>0</v>
      </c>
      <c r="D2969" s="1128">
        <v>104.73</v>
      </c>
      <c r="E2969" s="1126"/>
    </row>
    <row r="2970" spans="1:5" x14ac:dyDescent="0.2">
      <c r="A2970" s="1126" t="s">
        <v>3552</v>
      </c>
      <c r="B2970" s="1127">
        <v>369</v>
      </c>
      <c r="C2970" s="1128">
        <v>61.71</v>
      </c>
      <c r="D2970" s="1128">
        <v>315.35000000000002</v>
      </c>
      <c r="E2970" s="1126"/>
    </row>
    <row r="2971" spans="1:5" x14ac:dyDescent="0.2">
      <c r="A2971" s="1126" t="s">
        <v>3553</v>
      </c>
      <c r="B2971" s="1127">
        <v>77</v>
      </c>
      <c r="C2971" s="1128">
        <v>0</v>
      </c>
      <c r="D2971" s="1128">
        <v>13.96</v>
      </c>
      <c r="E2971" s="1126"/>
    </row>
    <row r="2972" spans="1:5" x14ac:dyDescent="0.2">
      <c r="A2972" s="1126" t="s">
        <v>3554</v>
      </c>
      <c r="B2972" s="1127">
        <v>165</v>
      </c>
      <c r="C2972" s="1128">
        <v>0</v>
      </c>
      <c r="D2972" s="1128">
        <v>35.840000000000003</v>
      </c>
      <c r="E2972" s="1126"/>
    </row>
    <row r="2973" spans="1:5" x14ac:dyDescent="0.2">
      <c r="A2973" s="1126" t="s">
        <v>3555</v>
      </c>
      <c r="B2973" s="1127">
        <v>199</v>
      </c>
      <c r="C2973" s="1128">
        <v>0</v>
      </c>
      <c r="D2973" s="1128">
        <v>32.04</v>
      </c>
      <c r="E2973" s="1126"/>
    </row>
    <row r="2974" spans="1:5" x14ac:dyDescent="0.2">
      <c r="A2974" s="1126" t="s">
        <v>3556</v>
      </c>
      <c r="B2974" s="1127">
        <v>220</v>
      </c>
      <c r="C2974" s="1128">
        <v>0</v>
      </c>
      <c r="D2974" s="1128">
        <v>50.21</v>
      </c>
      <c r="E2974" s="1126"/>
    </row>
    <row r="2975" spans="1:5" x14ac:dyDescent="0.2">
      <c r="A2975" s="1126" t="s">
        <v>3557</v>
      </c>
      <c r="B2975" s="1127">
        <v>412</v>
      </c>
      <c r="C2975" s="1128">
        <v>0</v>
      </c>
      <c r="D2975" s="1128">
        <v>69.45</v>
      </c>
      <c r="E2975" s="1126"/>
    </row>
    <row r="2976" spans="1:5" x14ac:dyDescent="0.2">
      <c r="A2976" s="1126" t="s">
        <v>3558</v>
      </c>
      <c r="B2976" s="1127">
        <v>129</v>
      </c>
      <c r="C2976" s="1128">
        <v>0</v>
      </c>
      <c r="D2976" s="1128">
        <v>9.08</v>
      </c>
      <c r="E2976" s="1126"/>
    </row>
    <row r="2977" spans="1:5" x14ac:dyDescent="0.2">
      <c r="A2977" s="1126" t="s">
        <v>3559</v>
      </c>
      <c r="B2977" s="1127">
        <v>210</v>
      </c>
      <c r="C2977" s="1128">
        <v>0</v>
      </c>
      <c r="D2977" s="1128">
        <v>76.34</v>
      </c>
      <c r="E2977" s="1126"/>
    </row>
    <row r="2978" spans="1:5" x14ac:dyDescent="0.2">
      <c r="A2978" s="1126" t="s">
        <v>3560</v>
      </c>
      <c r="B2978" s="1127">
        <v>128</v>
      </c>
      <c r="C2978" s="1128">
        <v>0.99</v>
      </c>
      <c r="D2978" s="1128">
        <v>88.97</v>
      </c>
      <c r="E2978" s="1126"/>
    </row>
    <row r="2979" spans="1:5" x14ac:dyDescent="0.2">
      <c r="A2979" s="1126" t="s">
        <v>3561</v>
      </c>
      <c r="B2979" s="1127">
        <v>197</v>
      </c>
      <c r="C2979" s="1128">
        <v>0</v>
      </c>
      <c r="D2979" s="1128">
        <v>75.23</v>
      </c>
      <c r="E2979" s="1126"/>
    </row>
    <row r="2980" spans="1:5" x14ac:dyDescent="0.2">
      <c r="A2980" s="1126" t="s">
        <v>3562</v>
      </c>
      <c r="B2980" s="1127">
        <v>242</v>
      </c>
      <c r="C2980" s="1128">
        <v>0</v>
      </c>
      <c r="D2980" s="1128">
        <v>45.68</v>
      </c>
      <c r="E2980" s="1126"/>
    </row>
    <row r="2981" spans="1:5" x14ac:dyDescent="0.2">
      <c r="A2981" s="1126" t="s">
        <v>3563</v>
      </c>
      <c r="B2981" s="1127">
        <v>312</v>
      </c>
      <c r="C2981" s="1128">
        <v>0</v>
      </c>
      <c r="D2981" s="1128">
        <v>109.28</v>
      </c>
      <c r="E2981" s="1126"/>
    </row>
    <row r="2982" spans="1:5" x14ac:dyDescent="0.2">
      <c r="A2982" s="1126" t="s">
        <v>3564</v>
      </c>
      <c r="B2982" s="1127">
        <v>163</v>
      </c>
      <c r="C2982" s="1128">
        <v>87.56</v>
      </c>
      <c r="D2982" s="1128">
        <v>199.6</v>
      </c>
      <c r="E2982" s="1126"/>
    </row>
    <row r="2983" spans="1:5" x14ac:dyDescent="0.2">
      <c r="A2983" s="1126" t="s">
        <v>3565</v>
      </c>
      <c r="B2983" s="1127">
        <v>333</v>
      </c>
      <c r="C2983" s="1128">
        <v>535.91</v>
      </c>
      <c r="D2983" s="1128">
        <v>764.81</v>
      </c>
      <c r="E2983" s="1126"/>
    </row>
    <row r="2984" spans="1:5" x14ac:dyDescent="0.2">
      <c r="A2984" s="1126" t="s">
        <v>3566</v>
      </c>
      <c r="B2984" s="1127">
        <v>201</v>
      </c>
      <c r="C2984" s="1128">
        <v>0</v>
      </c>
      <c r="D2984" s="1128">
        <v>136.94999999999999</v>
      </c>
      <c r="E2984" s="1126"/>
    </row>
    <row r="2985" spans="1:5" x14ac:dyDescent="0.2">
      <c r="A2985" s="1126" t="s">
        <v>3567</v>
      </c>
      <c r="B2985" s="1127">
        <v>161</v>
      </c>
      <c r="C2985" s="1128">
        <v>294.66000000000003</v>
      </c>
      <c r="D2985" s="1128">
        <v>405.32</v>
      </c>
      <c r="E2985" s="1126"/>
    </row>
    <row r="2986" spans="1:5" x14ac:dyDescent="0.2">
      <c r="A2986" s="1126" t="s">
        <v>3568</v>
      </c>
      <c r="B2986" s="1127">
        <v>192</v>
      </c>
      <c r="C2986" s="1128">
        <v>0</v>
      </c>
      <c r="D2986" s="1128">
        <v>88.2</v>
      </c>
      <c r="E2986" s="1126"/>
    </row>
    <row r="2987" spans="1:5" x14ac:dyDescent="0.2">
      <c r="A2987" s="1126" t="s">
        <v>3569</v>
      </c>
      <c r="B2987" s="1127">
        <v>53</v>
      </c>
      <c r="C2987" s="1128">
        <v>9.93</v>
      </c>
      <c r="D2987" s="1128">
        <v>46.36</v>
      </c>
      <c r="E2987" s="1126"/>
    </row>
    <row r="2988" spans="1:5" x14ac:dyDescent="0.2">
      <c r="A2988" s="1126" t="s">
        <v>3570</v>
      </c>
      <c r="B2988" s="1127">
        <v>105</v>
      </c>
      <c r="C2988" s="1128">
        <v>2.86</v>
      </c>
      <c r="D2988" s="1128">
        <v>75.03</v>
      </c>
      <c r="E2988" s="1126"/>
    </row>
    <row r="2989" spans="1:5" x14ac:dyDescent="0.2">
      <c r="A2989" s="1126" t="s">
        <v>3571</v>
      </c>
      <c r="B2989" s="1127">
        <v>228</v>
      </c>
      <c r="C2989" s="1128">
        <v>0</v>
      </c>
      <c r="D2989" s="1128">
        <v>10.28</v>
      </c>
      <c r="E2989" s="1126"/>
    </row>
    <row r="2990" spans="1:5" x14ac:dyDescent="0.2">
      <c r="A2990" s="1126" t="s">
        <v>3572</v>
      </c>
      <c r="B2990" s="1127">
        <v>148</v>
      </c>
      <c r="C2990" s="1128">
        <v>0</v>
      </c>
      <c r="D2990" s="1128">
        <v>49.98</v>
      </c>
      <c r="E2990" s="1126"/>
    </row>
    <row r="2991" spans="1:5" x14ac:dyDescent="0.2">
      <c r="A2991" s="1126" t="s">
        <v>3573</v>
      </c>
      <c r="B2991" s="1127">
        <v>282</v>
      </c>
      <c r="C2991" s="1128">
        <v>0</v>
      </c>
      <c r="D2991" s="1128">
        <v>55.17</v>
      </c>
      <c r="E2991" s="1126"/>
    </row>
    <row r="2992" spans="1:5" x14ac:dyDescent="0.2">
      <c r="A2992" s="1126" t="s">
        <v>3574</v>
      </c>
      <c r="B2992" s="1127">
        <v>290</v>
      </c>
      <c r="C2992" s="1128">
        <v>1.36</v>
      </c>
      <c r="D2992" s="1128">
        <v>200.69</v>
      </c>
      <c r="E2992" s="1126"/>
    </row>
    <row r="2993" spans="1:5" x14ac:dyDescent="0.2">
      <c r="A2993" s="1126" t="s">
        <v>3575</v>
      </c>
      <c r="B2993" s="1127">
        <v>214</v>
      </c>
      <c r="C2993" s="1128">
        <v>13.73</v>
      </c>
      <c r="D2993" s="1128">
        <v>160.83000000000001</v>
      </c>
      <c r="E2993" s="1126"/>
    </row>
    <row r="2994" spans="1:5" x14ac:dyDescent="0.2">
      <c r="A2994" s="1126" t="s">
        <v>3576</v>
      </c>
      <c r="B2994" s="1127">
        <v>34</v>
      </c>
      <c r="C2994" s="1128">
        <v>0</v>
      </c>
      <c r="D2994" s="1128">
        <v>9.18</v>
      </c>
      <c r="E2994" s="1126" t="s">
        <v>669</v>
      </c>
    </row>
    <row r="2995" spans="1:5" x14ac:dyDescent="0.2">
      <c r="A2995" s="1126" t="s">
        <v>3577</v>
      </c>
      <c r="B2995" s="1127">
        <v>180</v>
      </c>
      <c r="C2995" s="1128">
        <v>0</v>
      </c>
      <c r="D2995" s="1128">
        <v>76.78</v>
      </c>
      <c r="E2995" s="1126"/>
    </row>
    <row r="2996" spans="1:5" x14ac:dyDescent="0.2">
      <c r="A2996" s="1126" t="s">
        <v>3578</v>
      </c>
      <c r="B2996" s="1127">
        <v>304</v>
      </c>
      <c r="C2996" s="1128">
        <v>0</v>
      </c>
      <c r="D2996" s="1128">
        <v>73.42</v>
      </c>
      <c r="E2996" s="1126"/>
    </row>
    <row r="2997" spans="1:5" x14ac:dyDescent="0.2">
      <c r="A2997" s="1126" t="s">
        <v>3579</v>
      </c>
      <c r="B2997" s="1127">
        <v>163</v>
      </c>
      <c r="C2997" s="1128">
        <v>0</v>
      </c>
      <c r="D2997" s="1128">
        <v>108.96</v>
      </c>
      <c r="E2997" s="1126"/>
    </row>
    <row r="2998" spans="1:5" x14ac:dyDescent="0.2">
      <c r="A2998" s="1126" t="s">
        <v>3580</v>
      </c>
      <c r="B2998" s="1127">
        <v>453</v>
      </c>
      <c r="C2998" s="1128">
        <v>0</v>
      </c>
      <c r="D2998" s="1128">
        <v>278.83</v>
      </c>
      <c r="E2998" s="1126"/>
    </row>
    <row r="2999" spans="1:5" x14ac:dyDescent="0.2">
      <c r="A2999" s="1126" t="s">
        <v>3581</v>
      </c>
      <c r="B2999" s="1127">
        <v>206</v>
      </c>
      <c r="C2999" s="1128">
        <v>483.25</v>
      </c>
      <c r="D2999" s="1128">
        <v>624.85</v>
      </c>
      <c r="E2999" s="1126"/>
    </row>
    <row r="3000" spans="1:5" x14ac:dyDescent="0.2">
      <c r="A3000" s="1126" t="s">
        <v>3582</v>
      </c>
      <c r="B3000" s="1127">
        <v>261</v>
      </c>
      <c r="C3000" s="1128">
        <v>0</v>
      </c>
      <c r="D3000" s="1128">
        <v>38.06</v>
      </c>
      <c r="E3000" s="1126"/>
    </row>
    <row r="3001" spans="1:5" x14ac:dyDescent="0.2">
      <c r="A3001" s="1126" t="s">
        <v>3583</v>
      </c>
      <c r="B3001" s="1127">
        <v>621</v>
      </c>
      <c r="C3001" s="1128">
        <v>0</v>
      </c>
      <c r="D3001" s="1128">
        <v>12.04</v>
      </c>
      <c r="E3001" s="1126"/>
    </row>
    <row r="3002" spans="1:5" x14ac:dyDescent="0.2">
      <c r="A3002" s="1126" t="s">
        <v>3584</v>
      </c>
      <c r="B3002" s="1127">
        <v>313</v>
      </c>
      <c r="C3002" s="1128">
        <v>0</v>
      </c>
      <c r="D3002" s="1128">
        <v>46.35</v>
      </c>
      <c r="E3002" s="1126"/>
    </row>
    <row r="3003" spans="1:5" x14ac:dyDescent="0.2">
      <c r="A3003" s="1126" t="s">
        <v>3585</v>
      </c>
      <c r="B3003" s="1127">
        <v>212</v>
      </c>
      <c r="C3003" s="1128">
        <v>125.64</v>
      </c>
      <c r="D3003" s="1128">
        <v>271.36</v>
      </c>
      <c r="E3003" s="1126"/>
    </row>
    <row r="3004" spans="1:5" x14ac:dyDescent="0.2">
      <c r="A3004" s="1126" t="s">
        <v>3586</v>
      </c>
      <c r="B3004" s="1127">
        <v>271</v>
      </c>
      <c r="C3004" s="1128">
        <v>0</v>
      </c>
      <c r="D3004" s="1128">
        <v>134.79</v>
      </c>
      <c r="E3004" s="1126"/>
    </row>
    <row r="3005" spans="1:5" x14ac:dyDescent="0.2">
      <c r="A3005" s="1126" t="s">
        <v>3587</v>
      </c>
      <c r="B3005" s="1127">
        <v>133</v>
      </c>
      <c r="C3005" s="1128">
        <v>0</v>
      </c>
      <c r="D3005" s="1128">
        <v>83.21</v>
      </c>
      <c r="E3005" s="1126"/>
    </row>
    <row r="3006" spans="1:5" x14ac:dyDescent="0.2">
      <c r="A3006" s="1126" t="s">
        <v>3588</v>
      </c>
      <c r="B3006" s="1127">
        <v>103</v>
      </c>
      <c r="C3006" s="1128">
        <v>0</v>
      </c>
      <c r="D3006" s="1128">
        <v>40.76</v>
      </c>
      <c r="E3006" s="1126"/>
    </row>
    <row r="3007" spans="1:5" x14ac:dyDescent="0.2">
      <c r="A3007" s="1126" t="s">
        <v>3589</v>
      </c>
      <c r="B3007" s="1127">
        <v>259</v>
      </c>
      <c r="C3007" s="1128">
        <v>539.95000000000005</v>
      </c>
      <c r="D3007" s="1128">
        <v>717.98</v>
      </c>
      <c r="E3007" s="1126"/>
    </row>
    <row r="3008" spans="1:5" x14ac:dyDescent="0.2">
      <c r="A3008" s="1126" t="s">
        <v>3590</v>
      </c>
      <c r="B3008" s="1127">
        <v>408</v>
      </c>
      <c r="C3008" s="1128">
        <v>0</v>
      </c>
      <c r="D3008" s="1128">
        <v>157.15</v>
      </c>
      <c r="E3008" s="1126"/>
    </row>
    <row r="3009" spans="1:5" x14ac:dyDescent="0.2">
      <c r="A3009" s="1126" t="s">
        <v>3591</v>
      </c>
      <c r="B3009" s="1127">
        <v>119</v>
      </c>
      <c r="C3009" s="1128">
        <v>329.26</v>
      </c>
      <c r="D3009" s="1128">
        <v>411.06</v>
      </c>
      <c r="E3009" s="1126"/>
    </row>
    <row r="3010" spans="1:5" x14ac:dyDescent="0.2">
      <c r="A3010" s="1126" t="s">
        <v>3592</v>
      </c>
      <c r="B3010" s="1127">
        <v>158</v>
      </c>
      <c r="C3010" s="1128">
        <v>15.81</v>
      </c>
      <c r="D3010" s="1128">
        <v>124.41</v>
      </c>
      <c r="E3010" s="1126"/>
    </row>
    <row r="3011" spans="1:5" x14ac:dyDescent="0.2">
      <c r="A3011" s="1126" t="s">
        <v>3593</v>
      </c>
      <c r="B3011" s="1127">
        <v>491</v>
      </c>
      <c r="C3011" s="1128">
        <v>0</v>
      </c>
      <c r="D3011" s="1128">
        <v>270.58</v>
      </c>
      <c r="E3011" s="1126"/>
    </row>
    <row r="3012" spans="1:5" x14ac:dyDescent="0.2">
      <c r="A3012" s="1126" t="s">
        <v>3594</v>
      </c>
      <c r="B3012" s="1127">
        <v>260</v>
      </c>
      <c r="C3012" s="1128">
        <v>195.82</v>
      </c>
      <c r="D3012" s="1128">
        <v>374.53</v>
      </c>
      <c r="E3012" s="1126"/>
    </row>
    <row r="3013" spans="1:5" x14ac:dyDescent="0.2">
      <c r="A3013" s="1126" t="s">
        <v>3595</v>
      </c>
      <c r="B3013" s="1127">
        <v>284</v>
      </c>
      <c r="C3013" s="1128">
        <v>0</v>
      </c>
      <c r="D3013" s="1128">
        <v>147</v>
      </c>
      <c r="E3013" s="1126"/>
    </row>
    <row r="3014" spans="1:5" x14ac:dyDescent="0.2">
      <c r="A3014" s="1126" t="s">
        <v>3596</v>
      </c>
      <c r="B3014" s="1127">
        <v>124</v>
      </c>
      <c r="C3014" s="1128">
        <v>94.54</v>
      </c>
      <c r="D3014" s="1128">
        <v>179.78</v>
      </c>
      <c r="E3014" s="1126"/>
    </row>
    <row r="3015" spans="1:5" x14ac:dyDescent="0.2">
      <c r="A3015" s="1126" t="s">
        <v>3597</v>
      </c>
      <c r="B3015" s="1127">
        <v>144</v>
      </c>
      <c r="C3015" s="1128">
        <v>337.69</v>
      </c>
      <c r="D3015" s="1128">
        <v>436.67</v>
      </c>
      <c r="E3015" s="1126"/>
    </row>
    <row r="3016" spans="1:5" x14ac:dyDescent="0.2">
      <c r="A3016" s="1126" t="s">
        <v>3598</v>
      </c>
      <c r="B3016" s="1127">
        <v>179</v>
      </c>
      <c r="C3016" s="1128">
        <v>0</v>
      </c>
      <c r="D3016" s="1128">
        <v>86.1</v>
      </c>
      <c r="E3016" s="1126"/>
    </row>
    <row r="3017" spans="1:5" x14ac:dyDescent="0.2">
      <c r="A3017" s="1126" t="s">
        <v>3599</v>
      </c>
      <c r="B3017" s="1127">
        <v>244</v>
      </c>
      <c r="C3017" s="1128">
        <v>0</v>
      </c>
      <c r="D3017" s="1128">
        <v>110.05</v>
      </c>
      <c r="E3017" s="1126"/>
    </row>
    <row r="3018" spans="1:5" x14ac:dyDescent="0.2">
      <c r="A3018" s="1126" t="s">
        <v>3600</v>
      </c>
      <c r="B3018" s="1127">
        <v>525</v>
      </c>
      <c r="C3018" s="1128">
        <v>0</v>
      </c>
      <c r="D3018" s="1128">
        <v>57.87</v>
      </c>
      <c r="E3018" s="1126"/>
    </row>
    <row r="3019" spans="1:5" x14ac:dyDescent="0.2">
      <c r="A3019" s="1126" t="s">
        <v>3601</v>
      </c>
      <c r="B3019" s="1127">
        <v>329</v>
      </c>
      <c r="C3019" s="1128">
        <v>66.7</v>
      </c>
      <c r="D3019" s="1128">
        <v>292.83999999999997</v>
      </c>
      <c r="E3019" s="1126"/>
    </row>
    <row r="3020" spans="1:5" x14ac:dyDescent="0.2">
      <c r="A3020" s="1126" t="s">
        <v>3602</v>
      </c>
      <c r="B3020" s="1127">
        <v>266</v>
      </c>
      <c r="C3020" s="1128">
        <v>609.71</v>
      </c>
      <c r="D3020" s="1128">
        <v>792.55</v>
      </c>
      <c r="E3020" s="1126"/>
    </row>
    <row r="3021" spans="1:5" x14ac:dyDescent="0.2">
      <c r="A3021" s="1126" t="s">
        <v>3603</v>
      </c>
      <c r="B3021" s="1127">
        <v>149</v>
      </c>
      <c r="C3021" s="1128">
        <v>0</v>
      </c>
      <c r="D3021" s="1128">
        <v>62.93</v>
      </c>
      <c r="E3021" s="1126"/>
    </row>
    <row r="3022" spans="1:5" x14ac:dyDescent="0.2">
      <c r="A3022" s="1126" t="s">
        <v>3604</v>
      </c>
      <c r="B3022" s="1127">
        <v>234</v>
      </c>
      <c r="C3022" s="1128">
        <v>0</v>
      </c>
      <c r="D3022" s="1128">
        <v>122.02</v>
      </c>
      <c r="E3022" s="1126"/>
    </row>
    <row r="3023" spans="1:5" x14ac:dyDescent="0.2">
      <c r="A3023" s="1126" t="s">
        <v>3605</v>
      </c>
      <c r="B3023" s="1127">
        <v>148</v>
      </c>
      <c r="C3023" s="1128">
        <v>0</v>
      </c>
      <c r="D3023" s="1128">
        <v>44.55</v>
      </c>
      <c r="E3023" s="1126"/>
    </row>
    <row r="3024" spans="1:5" x14ac:dyDescent="0.2">
      <c r="A3024" s="1126" t="s">
        <v>3606</v>
      </c>
      <c r="B3024" s="1127">
        <v>246</v>
      </c>
      <c r="C3024" s="1128">
        <v>164.31</v>
      </c>
      <c r="D3024" s="1128">
        <v>333.4</v>
      </c>
      <c r="E3024" s="1126"/>
    </row>
    <row r="3025" spans="1:5" x14ac:dyDescent="0.2">
      <c r="A3025" s="1126" t="s">
        <v>3607</v>
      </c>
      <c r="B3025" s="1127">
        <v>266</v>
      </c>
      <c r="C3025" s="1128">
        <v>0</v>
      </c>
      <c r="D3025" s="1128">
        <v>96.52</v>
      </c>
      <c r="E3025" s="1126"/>
    </row>
    <row r="3026" spans="1:5" x14ac:dyDescent="0.2">
      <c r="A3026" s="1126" t="s">
        <v>3608</v>
      </c>
      <c r="B3026" s="1127">
        <v>118</v>
      </c>
      <c r="C3026" s="1128">
        <v>136.24</v>
      </c>
      <c r="D3026" s="1128">
        <v>217.35</v>
      </c>
      <c r="E3026" s="1126"/>
    </row>
    <row r="3027" spans="1:5" x14ac:dyDescent="0.2">
      <c r="A3027" s="1126" t="s">
        <v>3609</v>
      </c>
      <c r="B3027" s="1127">
        <v>186</v>
      </c>
      <c r="C3027" s="1128">
        <v>0</v>
      </c>
      <c r="D3027" s="1128">
        <v>24.88</v>
      </c>
      <c r="E3027" s="1126"/>
    </row>
    <row r="3028" spans="1:5" x14ac:dyDescent="0.2">
      <c r="A3028" s="1126" t="s">
        <v>3610</v>
      </c>
      <c r="B3028" s="1127">
        <v>516</v>
      </c>
      <c r="C3028" s="1128">
        <v>233.28</v>
      </c>
      <c r="D3028" s="1128">
        <v>587.96</v>
      </c>
      <c r="E3028" s="1126"/>
    </row>
    <row r="3029" spans="1:5" x14ac:dyDescent="0.2">
      <c r="A3029" s="1126" t="s">
        <v>3611</v>
      </c>
      <c r="B3029" s="1127">
        <v>286</v>
      </c>
      <c r="C3029" s="1128">
        <v>0</v>
      </c>
      <c r="D3029" s="1128">
        <v>107.82</v>
      </c>
      <c r="E3029" s="1126"/>
    </row>
    <row r="3030" spans="1:5" x14ac:dyDescent="0.2">
      <c r="A3030" s="1126" t="s">
        <v>3612</v>
      </c>
      <c r="B3030" s="1127">
        <v>157</v>
      </c>
      <c r="C3030" s="1128">
        <v>0</v>
      </c>
      <c r="D3030" s="1128">
        <v>81.239999999999995</v>
      </c>
      <c r="E3030" s="1126"/>
    </row>
    <row r="3031" spans="1:5" x14ac:dyDescent="0.2">
      <c r="A3031" s="1126" t="s">
        <v>3613</v>
      </c>
      <c r="B3031" s="1127">
        <v>102</v>
      </c>
      <c r="C3031" s="1128">
        <v>0</v>
      </c>
      <c r="D3031" s="1128">
        <v>30.84</v>
      </c>
      <c r="E3031" s="1126"/>
    </row>
    <row r="3032" spans="1:5" x14ac:dyDescent="0.2">
      <c r="A3032" s="1126" t="s">
        <v>3614</v>
      </c>
      <c r="B3032" s="1127">
        <v>273</v>
      </c>
      <c r="C3032" s="1128">
        <v>123.57</v>
      </c>
      <c r="D3032" s="1128">
        <v>311.22000000000003</v>
      </c>
      <c r="E3032" s="1126"/>
    </row>
    <row r="3033" spans="1:5" x14ac:dyDescent="0.2">
      <c r="A3033" s="1126" t="s">
        <v>3615</v>
      </c>
      <c r="B3033" s="1127">
        <v>133</v>
      </c>
      <c r="C3033" s="1128">
        <v>317.72000000000003</v>
      </c>
      <c r="D3033" s="1128">
        <v>409.14</v>
      </c>
      <c r="E3033" s="1126"/>
    </row>
    <row r="3034" spans="1:5" x14ac:dyDescent="0.2">
      <c r="A3034" s="1126" t="s">
        <v>3616</v>
      </c>
      <c r="B3034" s="1127">
        <v>91</v>
      </c>
      <c r="C3034" s="1128">
        <v>0</v>
      </c>
      <c r="D3034" s="1128">
        <v>12.76</v>
      </c>
      <c r="E3034" s="1126"/>
    </row>
    <row r="3035" spans="1:5" x14ac:dyDescent="0.2">
      <c r="A3035" s="1126" t="s">
        <v>3617</v>
      </c>
      <c r="B3035" s="1127">
        <v>91</v>
      </c>
      <c r="C3035" s="1128">
        <v>0</v>
      </c>
      <c r="D3035" s="1128">
        <v>10.57</v>
      </c>
      <c r="E3035" s="1126"/>
    </row>
    <row r="3036" spans="1:5" x14ac:dyDescent="0.2">
      <c r="A3036" s="1126" t="s">
        <v>3618</v>
      </c>
      <c r="B3036" s="1127">
        <v>244</v>
      </c>
      <c r="C3036" s="1128">
        <v>152.07</v>
      </c>
      <c r="D3036" s="1128">
        <v>319.77999999999997</v>
      </c>
      <c r="E3036" s="1126"/>
    </row>
    <row r="3037" spans="1:5" x14ac:dyDescent="0.2">
      <c r="A3037" s="1126" t="s">
        <v>3619</v>
      </c>
      <c r="B3037" s="1127">
        <v>443</v>
      </c>
      <c r="C3037" s="1128">
        <v>0</v>
      </c>
      <c r="D3037" s="1128">
        <v>194.97</v>
      </c>
      <c r="E3037" s="1126"/>
    </row>
    <row r="3038" spans="1:5" x14ac:dyDescent="0.2">
      <c r="A3038" s="1126" t="s">
        <v>3620</v>
      </c>
      <c r="B3038" s="1127">
        <v>138</v>
      </c>
      <c r="C3038" s="1128">
        <v>37.130000000000003</v>
      </c>
      <c r="D3038" s="1128">
        <v>131.99</v>
      </c>
      <c r="E3038" s="1126"/>
    </row>
    <row r="3039" spans="1:5" x14ac:dyDescent="0.2">
      <c r="A3039" s="1126" t="s">
        <v>3621</v>
      </c>
      <c r="B3039" s="1127">
        <v>162</v>
      </c>
      <c r="C3039" s="1128">
        <v>0</v>
      </c>
      <c r="D3039" s="1128">
        <v>5.8</v>
      </c>
      <c r="E3039" s="1126"/>
    </row>
    <row r="3040" spans="1:5" x14ac:dyDescent="0.2">
      <c r="A3040" s="1126" t="s">
        <v>3622</v>
      </c>
      <c r="B3040" s="1127">
        <v>310</v>
      </c>
      <c r="C3040" s="1128">
        <v>572.66</v>
      </c>
      <c r="D3040" s="1128">
        <v>785.74</v>
      </c>
      <c r="E3040" s="1126"/>
    </row>
    <row r="3041" spans="1:5" x14ac:dyDescent="0.2">
      <c r="A3041" s="1126" t="s">
        <v>3623</v>
      </c>
      <c r="B3041" s="1127">
        <v>64</v>
      </c>
      <c r="C3041" s="1128">
        <v>0</v>
      </c>
      <c r="D3041" s="1128">
        <v>0</v>
      </c>
      <c r="E3041" s="1126"/>
    </row>
    <row r="3042" spans="1:5" x14ac:dyDescent="0.2">
      <c r="A3042" s="1126" t="s">
        <v>3624</v>
      </c>
      <c r="B3042" s="1127">
        <v>227</v>
      </c>
      <c r="C3042" s="1128">
        <v>0</v>
      </c>
      <c r="D3042" s="1128">
        <v>141.68</v>
      </c>
      <c r="E3042" s="1126"/>
    </row>
    <row r="3043" spans="1:5" x14ac:dyDescent="0.2">
      <c r="A3043" s="1126" t="s">
        <v>3625</v>
      </c>
      <c r="B3043" s="1127">
        <v>233</v>
      </c>
      <c r="C3043" s="1128">
        <v>0</v>
      </c>
      <c r="D3043" s="1128">
        <v>86.83</v>
      </c>
      <c r="E3043" s="1126"/>
    </row>
    <row r="3044" spans="1:5" x14ac:dyDescent="0.2">
      <c r="A3044" s="1126" t="s">
        <v>3626</v>
      </c>
      <c r="B3044" s="1127">
        <v>362</v>
      </c>
      <c r="C3044" s="1128">
        <v>0</v>
      </c>
      <c r="D3044" s="1128">
        <v>208.03</v>
      </c>
      <c r="E3044" s="1126"/>
    </row>
    <row r="3045" spans="1:5" x14ac:dyDescent="0.2">
      <c r="A3045" s="1126" t="s">
        <v>3627</v>
      </c>
      <c r="B3045" s="1127">
        <v>206</v>
      </c>
      <c r="C3045" s="1128">
        <v>162.34</v>
      </c>
      <c r="D3045" s="1128">
        <v>303.94</v>
      </c>
      <c r="E3045" s="1126"/>
    </row>
    <row r="3046" spans="1:5" x14ac:dyDescent="0.2">
      <c r="A3046" s="1126" t="s">
        <v>3628</v>
      </c>
      <c r="B3046" s="1127">
        <v>234</v>
      </c>
      <c r="C3046" s="1128">
        <v>223.14</v>
      </c>
      <c r="D3046" s="1128">
        <v>383.99</v>
      </c>
      <c r="E3046" s="1126"/>
    </row>
    <row r="3047" spans="1:5" x14ac:dyDescent="0.2">
      <c r="A3047" s="1126" t="s">
        <v>3629</v>
      </c>
      <c r="B3047" s="1127">
        <v>416</v>
      </c>
      <c r="C3047" s="1128">
        <v>0</v>
      </c>
      <c r="D3047" s="1128">
        <v>159.76</v>
      </c>
      <c r="E3047" s="1126"/>
    </row>
    <row r="3048" spans="1:5" x14ac:dyDescent="0.2">
      <c r="A3048" s="1126" t="s">
        <v>3630</v>
      </c>
      <c r="B3048" s="1127">
        <v>209</v>
      </c>
      <c r="C3048" s="1128">
        <v>22.26</v>
      </c>
      <c r="D3048" s="1128">
        <v>165.92</v>
      </c>
      <c r="E3048" s="1126"/>
    </row>
    <row r="3049" spans="1:5" x14ac:dyDescent="0.2">
      <c r="A3049" s="1126" t="s">
        <v>3631</v>
      </c>
      <c r="B3049" s="1127">
        <v>240</v>
      </c>
      <c r="C3049" s="1128">
        <v>3.37</v>
      </c>
      <c r="D3049" s="1128">
        <v>168.34</v>
      </c>
      <c r="E3049" s="1126"/>
    </row>
    <row r="3050" spans="1:5" x14ac:dyDescent="0.2">
      <c r="A3050" s="1126" t="s">
        <v>3632</v>
      </c>
      <c r="B3050" s="1127">
        <v>201</v>
      </c>
      <c r="C3050" s="1128">
        <v>0</v>
      </c>
      <c r="D3050" s="1128">
        <v>60.96</v>
      </c>
      <c r="E3050" s="1126"/>
    </row>
    <row r="3051" spans="1:5" x14ac:dyDescent="0.2">
      <c r="A3051" s="1126" t="s">
        <v>3633</v>
      </c>
      <c r="B3051" s="1127">
        <v>157</v>
      </c>
      <c r="C3051" s="1128">
        <v>0</v>
      </c>
      <c r="D3051" s="1128">
        <v>67.569999999999993</v>
      </c>
      <c r="E3051" s="1126"/>
    </row>
    <row r="3052" spans="1:5" x14ac:dyDescent="0.2">
      <c r="A3052" s="1126" t="s">
        <v>3634</v>
      </c>
      <c r="B3052" s="1127">
        <v>220</v>
      </c>
      <c r="C3052" s="1128">
        <v>0</v>
      </c>
      <c r="D3052" s="1128">
        <v>102.55</v>
      </c>
      <c r="E3052" s="1126"/>
    </row>
    <row r="3053" spans="1:5" x14ac:dyDescent="0.2">
      <c r="A3053" s="1126" t="s">
        <v>3635</v>
      </c>
      <c r="B3053" s="1127">
        <v>263</v>
      </c>
      <c r="C3053" s="1128">
        <v>0</v>
      </c>
      <c r="D3053" s="1128">
        <v>17.399999999999999</v>
      </c>
      <c r="E3053" s="1126"/>
    </row>
    <row r="3054" spans="1:5" x14ac:dyDescent="0.2">
      <c r="A3054" s="1126" t="s">
        <v>3636</v>
      </c>
      <c r="B3054" s="1127">
        <v>174</v>
      </c>
      <c r="C3054" s="1128">
        <v>0</v>
      </c>
      <c r="D3054" s="1128">
        <v>109.81</v>
      </c>
      <c r="E3054" s="1126"/>
    </row>
    <row r="3055" spans="1:5" x14ac:dyDescent="0.2">
      <c r="A3055" s="1126" t="s">
        <v>3637</v>
      </c>
      <c r="B3055" s="1127">
        <v>192</v>
      </c>
      <c r="C3055" s="1128">
        <v>0</v>
      </c>
      <c r="D3055" s="1128">
        <v>70.59</v>
      </c>
      <c r="E3055" s="1126"/>
    </row>
    <row r="3056" spans="1:5" x14ac:dyDescent="0.2">
      <c r="A3056" s="1126" t="s">
        <v>3638</v>
      </c>
      <c r="B3056" s="1127">
        <v>136</v>
      </c>
      <c r="C3056" s="1128">
        <v>1.06</v>
      </c>
      <c r="D3056" s="1128">
        <v>94.54</v>
      </c>
      <c r="E3056" s="1126"/>
    </row>
    <row r="3057" spans="1:5" x14ac:dyDescent="0.2">
      <c r="A3057" s="1126" t="s">
        <v>3639</v>
      </c>
      <c r="B3057" s="1127">
        <v>162</v>
      </c>
      <c r="C3057" s="1128">
        <v>0</v>
      </c>
      <c r="D3057" s="1128">
        <v>59.37</v>
      </c>
      <c r="E3057" s="1126"/>
    </row>
    <row r="3058" spans="1:5" x14ac:dyDescent="0.2">
      <c r="A3058" s="1126" t="s">
        <v>3640</v>
      </c>
      <c r="B3058" s="1127">
        <v>258</v>
      </c>
      <c r="C3058" s="1128">
        <v>4.8099999999999996</v>
      </c>
      <c r="D3058" s="1128">
        <v>182.15</v>
      </c>
      <c r="E3058" s="1126"/>
    </row>
    <row r="3059" spans="1:5" x14ac:dyDescent="0.2">
      <c r="A3059" s="1126" t="s">
        <v>3641</v>
      </c>
      <c r="B3059" s="1127">
        <v>148</v>
      </c>
      <c r="C3059" s="1128">
        <v>0</v>
      </c>
      <c r="D3059" s="1128">
        <v>25.66</v>
      </c>
      <c r="E3059" s="1126"/>
    </row>
    <row r="3060" spans="1:5" x14ac:dyDescent="0.2">
      <c r="A3060" s="1126" t="s">
        <v>3642</v>
      </c>
      <c r="B3060" s="1127">
        <v>184</v>
      </c>
      <c r="C3060" s="1128">
        <v>6.15</v>
      </c>
      <c r="D3060" s="1128">
        <v>132.63</v>
      </c>
      <c r="E3060" s="1126"/>
    </row>
    <row r="3061" spans="1:5" x14ac:dyDescent="0.2">
      <c r="A3061" s="1126" t="s">
        <v>3643</v>
      </c>
      <c r="B3061" s="1127">
        <v>124</v>
      </c>
      <c r="C3061" s="1128">
        <v>30.14</v>
      </c>
      <c r="D3061" s="1128">
        <v>115.37</v>
      </c>
      <c r="E3061" s="1126"/>
    </row>
    <row r="3062" spans="1:5" x14ac:dyDescent="0.2">
      <c r="A3062" s="1126" t="s">
        <v>3644</v>
      </c>
      <c r="B3062" s="1127">
        <v>189</v>
      </c>
      <c r="C3062" s="1128">
        <v>46.62</v>
      </c>
      <c r="D3062" s="1128">
        <v>176.53</v>
      </c>
      <c r="E3062" s="1126"/>
    </row>
    <row r="3063" spans="1:5" x14ac:dyDescent="0.2">
      <c r="A3063" s="1126" t="s">
        <v>3645</v>
      </c>
      <c r="B3063" s="1127">
        <v>194</v>
      </c>
      <c r="C3063" s="1128">
        <v>0</v>
      </c>
      <c r="D3063" s="1128">
        <v>108.24</v>
      </c>
      <c r="E3063" s="1126"/>
    </row>
    <row r="3064" spans="1:5" x14ac:dyDescent="0.2">
      <c r="A3064" s="1126" t="s">
        <v>3646</v>
      </c>
      <c r="B3064" s="1127">
        <v>431</v>
      </c>
      <c r="C3064" s="1128">
        <v>0</v>
      </c>
      <c r="D3064" s="1128">
        <v>117.31</v>
      </c>
      <c r="E3064" s="1126"/>
    </row>
    <row r="3065" spans="1:5" x14ac:dyDescent="0.2">
      <c r="A3065" s="1126" t="s">
        <v>3647</v>
      </c>
      <c r="B3065" s="1127">
        <v>195</v>
      </c>
      <c r="C3065" s="1128">
        <v>0</v>
      </c>
      <c r="D3065" s="1128">
        <v>119.61</v>
      </c>
      <c r="E3065" s="1126"/>
    </row>
    <row r="3066" spans="1:5" x14ac:dyDescent="0.2">
      <c r="A3066" s="1126" t="s">
        <v>3648</v>
      </c>
      <c r="B3066" s="1127">
        <v>184</v>
      </c>
      <c r="C3066" s="1128">
        <v>8.07</v>
      </c>
      <c r="D3066" s="1128">
        <v>134.55000000000001</v>
      </c>
      <c r="E3066" s="1126"/>
    </row>
    <row r="3067" spans="1:5" x14ac:dyDescent="0.2">
      <c r="A3067" s="1126" t="s">
        <v>3649</v>
      </c>
      <c r="B3067" s="1127">
        <v>242</v>
      </c>
      <c r="C3067" s="1128">
        <v>0</v>
      </c>
      <c r="D3067" s="1128">
        <v>74.989999999999995</v>
      </c>
      <c r="E3067" s="1126"/>
    </row>
    <row r="3068" spans="1:5" x14ac:dyDescent="0.2">
      <c r="A3068" s="1126" t="s">
        <v>3650</v>
      </c>
      <c r="B3068" s="1127">
        <v>236</v>
      </c>
      <c r="C3068" s="1128">
        <v>0</v>
      </c>
      <c r="D3068" s="1128">
        <v>89.99</v>
      </c>
      <c r="E3068" s="1126"/>
    </row>
    <row r="3069" spans="1:5" x14ac:dyDescent="0.2">
      <c r="A3069" s="1126" t="s">
        <v>3651</v>
      </c>
      <c r="B3069" s="1127">
        <v>118</v>
      </c>
      <c r="C3069" s="1128">
        <v>216.56</v>
      </c>
      <c r="D3069" s="1128">
        <v>297.67</v>
      </c>
      <c r="E3069" s="1126"/>
    </row>
    <row r="3070" spans="1:5" x14ac:dyDescent="0.2">
      <c r="A3070" s="1126" t="s">
        <v>3652</v>
      </c>
      <c r="B3070" s="1127">
        <v>131</v>
      </c>
      <c r="C3070" s="1128">
        <v>0</v>
      </c>
      <c r="D3070" s="1128">
        <v>85.18</v>
      </c>
      <c r="E3070" s="1126"/>
    </row>
    <row r="3071" spans="1:5" x14ac:dyDescent="0.2">
      <c r="A3071" s="1126" t="s">
        <v>3653</v>
      </c>
      <c r="B3071" s="1127">
        <v>114</v>
      </c>
      <c r="C3071" s="1128">
        <v>55.43</v>
      </c>
      <c r="D3071" s="1128">
        <v>133.79</v>
      </c>
      <c r="E3071" s="1126"/>
    </row>
    <row r="3072" spans="1:5" x14ac:dyDescent="0.2">
      <c r="A3072" s="1126" t="s">
        <v>3654</v>
      </c>
      <c r="B3072" s="1127">
        <v>301</v>
      </c>
      <c r="C3072" s="1128">
        <v>0</v>
      </c>
      <c r="D3072" s="1128">
        <v>148.51</v>
      </c>
      <c r="E3072" s="1126"/>
    </row>
    <row r="3073" spans="1:5" x14ac:dyDescent="0.2">
      <c r="A3073" s="1126" t="s">
        <v>3655</v>
      </c>
      <c r="B3073" s="1127">
        <v>43</v>
      </c>
      <c r="C3073" s="1128">
        <v>0</v>
      </c>
      <c r="D3073" s="1128">
        <v>6.62</v>
      </c>
      <c r="E3073" s="1126"/>
    </row>
    <row r="3074" spans="1:5" x14ac:dyDescent="0.2">
      <c r="A3074" s="1126" t="s">
        <v>3656</v>
      </c>
      <c r="B3074" s="1127">
        <v>167</v>
      </c>
      <c r="C3074" s="1128">
        <v>0</v>
      </c>
      <c r="D3074" s="1128">
        <v>93.73</v>
      </c>
      <c r="E3074" s="1126"/>
    </row>
    <row r="3075" spans="1:5" x14ac:dyDescent="0.2">
      <c r="A3075" s="1126" t="s">
        <v>3657</v>
      </c>
      <c r="B3075" s="1127">
        <v>102</v>
      </c>
      <c r="C3075" s="1128">
        <v>0</v>
      </c>
      <c r="D3075" s="1128">
        <v>49.87</v>
      </c>
      <c r="E3075" s="1126"/>
    </row>
    <row r="3076" spans="1:5" x14ac:dyDescent="0.2">
      <c r="A3076" s="1126" t="s">
        <v>3658</v>
      </c>
      <c r="B3076" s="1127">
        <v>38</v>
      </c>
      <c r="C3076" s="1128">
        <v>51.45</v>
      </c>
      <c r="D3076" s="1128">
        <v>77.569999999999993</v>
      </c>
      <c r="E3076" s="1126" t="s">
        <v>669</v>
      </c>
    </row>
    <row r="3077" spans="1:5" x14ac:dyDescent="0.2">
      <c r="A3077" s="1126" t="s">
        <v>3659</v>
      </c>
      <c r="B3077" s="1127">
        <v>130</v>
      </c>
      <c r="C3077" s="1128">
        <v>0</v>
      </c>
      <c r="D3077" s="1128">
        <v>39.49</v>
      </c>
      <c r="E3077" s="1126"/>
    </row>
    <row r="3078" spans="1:5" x14ac:dyDescent="0.2">
      <c r="A3078" s="1126" t="s">
        <v>3660</v>
      </c>
      <c r="B3078" s="1127">
        <v>228</v>
      </c>
      <c r="C3078" s="1128">
        <v>50.2</v>
      </c>
      <c r="D3078" s="1128">
        <v>206.92</v>
      </c>
      <c r="E3078" s="1126"/>
    </row>
    <row r="3079" spans="1:5" x14ac:dyDescent="0.2">
      <c r="A3079" s="1126" t="s">
        <v>3661</v>
      </c>
      <c r="B3079" s="1127">
        <v>251</v>
      </c>
      <c r="C3079" s="1128">
        <v>0</v>
      </c>
      <c r="D3079" s="1128">
        <v>123.09</v>
      </c>
      <c r="E3079" s="1126"/>
    </row>
    <row r="3080" spans="1:5" x14ac:dyDescent="0.2">
      <c r="A3080" s="1126" t="s">
        <v>3662</v>
      </c>
      <c r="B3080" s="1127">
        <v>156</v>
      </c>
      <c r="C3080" s="1128">
        <v>0</v>
      </c>
      <c r="D3080" s="1128">
        <v>69.34</v>
      </c>
      <c r="E3080" s="1126"/>
    </row>
    <row r="3081" spans="1:5" x14ac:dyDescent="0.2">
      <c r="A3081" s="1126" t="s">
        <v>3663</v>
      </c>
      <c r="B3081" s="1127">
        <v>120</v>
      </c>
      <c r="C3081" s="1128">
        <v>0</v>
      </c>
      <c r="D3081" s="1128">
        <v>20.149999999999999</v>
      </c>
      <c r="E3081" s="1126"/>
    </row>
    <row r="3082" spans="1:5" x14ac:dyDescent="0.2">
      <c r="A3082" s="1126" t="s">
        <v>3664</v>
      </c>
      <c r="B3082" s="1127">
        <v>92</v>
      </c>
      <c r="C3082" s="1128">
        <v>88.08</v>
      </c>
      <c r="D3082" s="1128">
        <v>151.32</v>
      </c>
      <c r="E3082" s="1126"/>
    </row>
    <row r="3083" spans="1:5" x14ac:dyDescent="0.2">
      <c r="A3083" s="1126" t="s">
        <v>3665</v>
      </c>
      <c r="B3083" s="1127">
        <v>43</v>
      </c>
      <c r="C3083" s="1128">
        <v>0</v>
      </c>
      <c r="D3083" s="1128">
        <v>26.39</v>
      </c>
      <c r="E3083" s="1126"/>
    </row>
    <row r="3084" spans="1:5" x14ac:dyDescent="0.2">
      <c r="A3084" s="1126" t="s">
        <v>3666</v>
      </c>
      <c r="B3084" s="1127">
        <v>119</v>
      </c>
      <c r="C3084" s="1128">
        <v>0</v>
      </c>
      <c r="D3084" s="1128">
        <v>47.43</v>
      </c>
      <c r="E3084" s="1126"/>
    </row>
    <row r="3085" spans="1:5" x14ac:dyDescent="0.2">
      <c r="A3085" s="1126" t="s">
        <v>3667</v>
      </c>
      <c r="B3085" s="1127">
        <v>229</v>
      </c>
      <c r="C3085" s="1128">
        <v>0</v>
      </c>
      <c r="D3085" s="1128">
        <v>72.709999999999994</v>
      </c>
      <c r="E3085" s="1126"/>
    </row>
    <row r="3086" spans="1:5" x14ac:dyDescent="0.2">
      <c r="A3086" s="1126" t="s">
        <v>3668</v>
      </c>
      <c r="B3086" s="1127">
        <v>149</v>
      </c>
      <c r="C3086" s="1128">
        <v>28.08</v>
      </c>
      <c r="D3086" s="1128">
        <v>130.5</v>
      </c>
      <c r="E3086" s="1126"/>
    </row>
    <row r="3087" spans="1:5" x14ac:dyDescent="0.2">
      <c r="A3087" s="1126" t="s">
        <v>3669</v>
      </c>
      <c r="B3087" s="1127">
        <v>288</v>
      </c>
      <c r="C3087" s="1128">
        <v>127.35</v>
      </c>
      <c r="D3087" s="1128">
        <v>325.31</v>
      </c>
      <c r="E3087" s="1126"/>
    </row>
    <row r="3088" spans="1:5" x14ac:dyDescent="0.2">
      <c r="A3088" s="1126" t="s">
        <v>3670</v>
      </c>
      <c r="B3088" s="1127">
        <v>111</v>
      </c>
      <c r="C3088" s="1128">
        <v>0.89</v>
      </c>
      <c r="D3088" s="1128">
        <v>77.19</v>
      </c>
      <c r="E3088" s="1126"/>
    </row>
    <row r="3089" spans="1:5" x14ac:dyDescent="0.2">
      <c r="A3089" s="1126" t="s">
        <v>3671</v>
      </c>
      <c r="B3089" s="1127">
        <v>55</v>
      </c>
      <c r="C3089" s="1128">
        <v>0</v>
      </c>
      <c r="D3089" s="1128">
        <v>14.68</v>
      </c>
      <c r="E3089" s="1126"/>
    </row>
    <row r="3090" spans="1:5" x14ac:dyDescent="0.2">
      <c r="A3090" s="1126" t="s">
        <v>3672</v>
      </c>
      <c r="B3090" s="1127">
        <v>123</v>
      </c>
      <c r="C3090" s="1128">
        <v>0</v>
      </c>
      <c r="D3090" s="1128">
        <v>68.489999999999995</v>
      </c>
      <c r="E3090" s="1126"/>
    </row>
    <row r="3091" spans="1:5" x14ac:dyDescent="0.2">
      <c r="A3091" s="1126" t="s">
        <v>3673</v>
      </c>
      <c r="B3091" s="1127">
        <v>219</v>
      </c>
      <c r="C3091" s="1128">
        <v>0</v>
      </c>
      <c r="D3091" s="1128">
        <v>12.88</v>
      </c>
      <c r="E3091" s="1126"/>
    </row>
    <row r="3092" spans="1:5" x14ac:dyDescent="0.2">
      <c r="A3092" s="1126" t="s">
        <v>3674</v>
      </c>
      <c r="B3092" s="1127">
        <v>30</v>
      </c>
      <c r="C3092" s="1128">
        <v>0</v>
      </c>
      <c r="D3092" s="1128">
        <v>0</v>
      </c>
      <c r="E3092" s="1126" t="s">
        <v>669</v>
      </c>
    </row>
    <row r="3093" spans="1:5" x14ac:dyDescent="0.2">
      <c r="A3093" s="1126" t="s">
        <v>3675</v>
      </c>
      <c r="B3093" s="1127">
        <v>208</v>
      </c>
      <c r="C3093" s="1128">
        <v>98.69</v>
      </c>
      <c r="D3093" s="1128">
        <v>241.66</v>
      </c>
      <c r="E3093" s="1126"/>
    </row>
    <row r="3094" spans="1:5" x14ac:dyDescent="0.2">
      <c r="A3094" s="1126" t="s">
        <v>3676</v>
      </c>
      <c r="B3094" s="1127">
        <v>162</v>
      </c>
      <c r="C3094" s="1128">
        <v>96.37</v>
      </c>
      <c r="D3094" s="1128">
        <v>207.72</v>
      </c>
      <c r="E3094" s="1126"/>
    </row>
    <row r="3095" spans="1:5" x14ac:dyDescent="0.2">
      <c r="A3095" s="1126" t="s">
        <v>3677</v>
      </c>
      <c r="B3095" s="1127">
        <v>265</v>
      </c>
      <c r="C3095" s="1128">
        <v>0</v>
      </c>
      <c r="D3095" s="1128">
        <v>143.46</v>
      </c>
      <c r="E3095" s="1126"/>
    </row>
    <row r="3096" spans="1:5" x14ac:dyDescent="0.2">
      <c r="A3096" s="1126" t="s">
        <v>3678</v>
      </c>
      <c r="B3096" s="1127">
        <v>291</v>
      </c>
      <c r="C3096" s="1128">
        <v>276.33</v>
      </c>
      <c r="D3096" s="1128">
        <v>476.36</v>
      </c>
      <c r="E3096" s="1126"/>
    </row>
    <row r="3097" spans="1:5" x14ac:dyDescent="0.2">
      <c r="A3097" s="1126" t="s">
        <v>3679</v>
      </c>
      <c r="B3097" s="1127">
        <v>276</v>
      </c>
      <c r="C3097" s="1128">
        <v>0</v>
      </c>
      <c r="D3097" s="1128">
        <v>13.55</v>
      </c>
      <c r="E3097" s="1126"/>
    </row>
    <row r="3098" spans="1:5" x14ac:dyDescent="0.2">
      <c r="A3098" s="1126" t="s">
        <v>3680</v>
      </c>
      <c r="B3098" s="1127">
        <v>39</v>
      </c>
      <c r="C3098" s="1128">
        <v>3.11</v>
      </c>
      <c r="D3098" s="1128">
        <v>29.92</v>
      </c>
      <c r="E3098" s="1126" t="s">
        <v>669</v>
      </c>
    </row>
    <row r="3099" spans="1:5" x14ac:dyDescent="0.2">
      <c r="A3099" s="1126" t="s">
        <v>3681</v>
      </c>
      <c r="B3099" s="1127">
        <v>66</v>
      </c>
      <c r="C3099" s="1128">
        <v>67.61</v>
      </c>
      <c r="D3099" s="1128">
        <v>112.97</v>
      </c>
      <c r="E3099" s="1126"/>
    </row>
    <row r="3100" spans="1:5" x14ac:dyDescent="0.2">
      <c r="A3100" s="1126" t="s">
        <v>3682</v>
      </c>
      <c r="B3100" s="1127">
        <v>71</v>
      </c>
      <c r="C3100" s="1128">
        <v>0</v>
      </c>
      <c r="D3100" s="1128">
        <v>4.62</v>
      </c>
      <c r="E3100" s="1126"/>
    </row>
    <row r="3101" spans="1:5" x14ac:dyDescent="0.2">
      <c r="A3101" s="1126" t="s">
        <v>3683</v>
      </c>
      <c r="B3101" s="1127">
        <v>136</v>
      </c>
      <c r="C3101" s="1128">
        <v>0</v>
      </c>
      <c r="D3101" s="1128">
        <v>11.6</v>
      </c>
      <c r="E3101" s="1126"/>
    </row>
    <row r="3102" spans="1:5" x14ac:dyDescent="0.2">
      <c r="A3102" s="1126" t="s">
        <v>3684</v>
      </c>
      <c r="B3102" s="1127">
        <v>243</v>
      </c>
      <c r="C3102" s="1128">
        <v>255.07</v>
      </c>
      <c r="D3102" s="1128">
        <v>422.1</v>
      </c>
      <c r="E3102" s="1126"/>
    </row>
    <row r="3103" spans="1:5" x14ac:dyDescent="0.2">
      <c r="A3103" s="1126" t="s">
        <v>3685</v>
      </c>
      <c r="B3103" s="1127">
        <v>60</v>
      </c>
      <c r="C3103" s="1128">
        <v>0</v>
      </c>
      <c r="D3103" s="1128">
        <v>18.86</v>
      </c>
      <c r="E3103" s="1126"/>
    </row>
    <row r="3104" spans="1:5" x14ac:dyDescent="0.2">
      <c r="A3104" s="1126" t="s">
        <v>3686</v>
      </c>
      <c r="B3104" s="1127">
        <v>213</v>
      </c>
      <c r="C3104" s="1128">
        <v>48.84</v>
      </c>
      <c r="D3104" s="1128">
        <v>195.25</v>
      </c>
      <c r="E3104" s="1126"/>
    </row>
    <row r="3105" spans="1:5" x14ac:dyDescent="0.2">
      <c r="A3105" s="1126" t="s">
        <v>3687</v>
      </c>
      <c r="B3105" s="1127">
        <v>180</v>
      </c>
      <c r="C3105" s="1128">
        <v>0</v>
      </c>
      <c r="D3105" s="1128">
        <v>61.47</v>
      </c>
      <c r="E3105" s="1126"/>
    </row>
    <row r="3106" spans="1:5" x14ac:dyDescent="0.2">
      <c r="A3106" s="1126" t="s">
        <v>3688</v>
      </c>
      <c r="B3106" s="1127">
        <v>60</v>
      </c>
      <c r="C3106" s="1128">
        <v>216.43</v>
      </c>
      <c r="D3106" s="1128">
        <v>257.67</v>
      </c>
      <c r="E3106" s="1126"/>
    </row>
    <row r="3107" spans="1:5" x14ac:dyDescent="0.2">
      <c r="A3107" s="1126" t="s">
        <v>3689</v>
      </c>
      <c r="B3107" s="1127">
        <v>172</v>
      </c>
      <c r="C3107" s="1128">
        <v>142.43</v>
      </c>
      <c r="D3107" s="1128">
        <v>260.66000000000003</v>
      </c>
      <c r="E3107" s="1126"/>
    </row>
    <row r="3108" spans="1:5" x14ac:dyDescent="0.2">
      <c r="A3108" s="1126" t="s">
        <v>3690</v>
      </c>
      <c r="B3108" s="1127">
        <v>269</v>
      </c>
      <c r="C3108" s="1128">
        <v>138.44</v>
      </c>
      <c r="D3108" s="1128">
        <v>323.33999999999997</v>
      </c>
      <c r="E3108" s="1126"/>
    </row>
    <row r="3109" spans="1:5" x14ac:dyDescent="0.2">
      <c r="A3109" s="1126" t="s">
        <v>3691</v>
      </c>
      <c r="B3109" s="1127">
        <v>257</v>
      </c>
      <c r="C3109" s="1128">
        <v>35.26</v>
      </c>
      <c r="D3109" s="1128">
        <v>211.91</v>
      </c>
      <c r="E3109" s="1126"/>
    </row>
    <row r="3110" spans="1:5" x14ac:dyDescent="0.2">
      <c r="A3110" s="1126" t="s">
        <v>3692</v>
      </c>
      <c r="B3110" s="1127">
        <v>100</v>
      </c>
      <c r="C3110" s="1128">
        <v>0</v>
      </c>
      <c r="D3110" s="1128">
        <v>28.64</v>
      </c>
      <c r="E3110" s="1126"/>
    </row>
    <row r="3111" spans="1:5" x14ac:dyDescent="0.2">
      <c r="A3111" s="1126" t="s">
        <v>3693</v>
      </c>
      <c r="B3111" s="1127">
        <v>372</v>
      </c>
      <c r="C3111" s="1128">
        <v>542.05999999999995</v>
      </c>
      <c r="D3111" s="1128">
        <v>797.76</v>
      </c>
      <c r="E3111" s="1126"/>
    </row>
    <row r="3112" spans="1:5" x14ac:dyDescent="0.2">
      <c r="A3112" s="1126" t="s">
        <v>3694</v>
      </c>
      <c r="B3112" s="1127">
        <v>197</v>
      </c>
      <c r="C3112" s="1128">
        <v>2.77</v>
      </c>
      <c r="D3112" s="1128">
        <v>138.18</v>
      </c>
      <c r="E3112" s="1126"/>
    </row>
    <row r="3113" spans="1:5" x14ac:dyDescent="0.2">
      <c r="A3113" s="1126" t="s">
        <v>3695</v>
      </c>
      <c r="B3113" s="1127">
        <v>326</v>
      </c>
      <c r="C3113" s="1128">
        <v>0</v>
      </c>
      <c r="D3113" s="1128">
        <v>78.709999999999994</v>
      </c>
      <c r="E3113" s="1126"/>
    </row>
    <row r="3114" spans="1:5" x14ac:dyDescent="0.2">
      <c r="A3114" s="1126" t="s">
        <v>3696</v>
      </c>
      <c r="B3114" s="1127">
        <v>254</v>
      </c>
      <c r="C3114" s="1128">
        <v>0</v>
      </c>
      <c r="D3114" s="1128">
        <v>38.58</v>
      </c>
      <c r="E3114" s="1126"/>
    </row>
    <row r="3115" spans="1:5" x14ac:dyDescent="0.2">
      <c r="A3115" s="1126" t="s">
        <v>3697</v>
      </c>
      <c r="B3115" s="1127">
        <v>193</v>
      </c>
      <c r="C3115" s="1128">
        <v>349.39</v>
      </c>
      <c r="D3115" s="1128">
        <v>482.05</v>
      </c>
      <c r="E3115" s="1126"/>
    </row>
    <row r="3116" spans="1:5" x14ac:dyDescent="0.2">
      <c r="A3116" s="1126" t="s">
        <v>3698</v>
      </c>
      <c r="B3116" s="1127">
        <v>117</v>
      </c>
      <c r="C3116" s="1128">
        <v>0</v>
      </c>
      <c r="D3116" s="1128">
        <v>22.83</v>
      </c>
      <c r="E3116" s="1126"/>
    </row>
    <row r="3117" spans="1:5" x14ac:dyDescent="0.2">
      <c r="A3117" s="1126" t="s">
        <v>3699</v>
      </c>
      <c r="B3117" s="1127">
        <v>404</v>
      </c>
      <c r="C3117" s="1128">
        <v>6.84</v>
      </c>
      <c r="D3117" s="1128">
        <v>284.54000000000002</v>
      </c>
      <c r="E3117" s="1126"/>
    </row>
    <row r="3118" spans="1:5" x14ac:dyDescent="0.2">
      <c r="A3118" s="1126" t="s">
        <v>3700</v>
      </c>
      <c r="B3118" s="1127">
        <v>201</v>
      </c>
      <c r="C3118" s="1128">
        <v>28.21</v>
      </c>
      <c r="D3118" s="1128">
        <v>166.37</v>
      </c>
      <c r="E3118" s="1126"/>
    </row>
    <row r="3119" spans="1:5" x14ac:dyDescent="0.2">
      <c r="A3119" s="1126" t="s">
        <v>3701</v>
      </c>
      <c r="B3119" s="1127">
        <v>274</v>
      </c>
      <c r="C3119" s="1128">
        <v>0</v>
      </c>
      <c r="D3119" s="1128">
        <v>141.5</v>
      </c>
      <c r="E3119" s="1126"/>
    </row>
    <row r="3120" spans="1:5" x14ac:dyDescent="0.2">
      <c r="A3120" s="1126" t="s">
        <v>3702</v>
      </c>
      <c r="B3120" s="1127">
        <v>129</v>
      </c>
      <c r="C3120" s="1128">
        <v>88.12</v>
      </c>
      <c r="D3120" s="1128">
        <v>176.79</v>
      </c>
      <c r="E3120" s="1126"/>
    </row>
    <row r="3121" spans="1:5" x14ac:dyDescent="0.2">
      <c r="A3121" s="1126" t="s">
        <v>3703</v>
      </c>
      <c r="B3121" s="1127">
        <v>88</v>
      </c>
      <c r="C3121" s="1128">
        <v>0</v>
      </c>
      <c r="D3121" s="1128">
        <v>53.68</v>
      </c>
      <c r="E3121" s="1126"/>
    </row>
    <row r="3122" spans="1:5" x14ac:dyDescent="0.2">
      <c r="A3122" s="1126" t="s">
        <v>3704</v>
      </c>
      <c r="B3122" s="1127">
        <v>331</v>
      </c>
      <c r="C3122" s="1128">
        <v>140.35</v>
      </c>
      <c r="D3122" s="1128">
        <v>367.87</v>
      </c>
      <c r="E3122" s="1126"/>
    </row>
    <row r="3123" spans="1:5" x14ac:dyDescent="0.2">
      <c r="A3123" s="1126" t="s">
        <v>3705</v>
      </c>
      <c r="B3123" s="1127">
        <v>257</v>
      </c>
      <c r="C3123" s="1128">
        <v>0</v>
      </c>
      <c r="D3123" s="1128">
        <v>173.2</v>
      </c>
      <c r="E3123" s="1126"/>
    </row>
    <row r="3124" spans="1:5" x14ac:dyDescent="0.2">
      <c r="A3124" s="1126" t="s">
        <v>3706</v>
      </c>
      <c r="B3124" s="1127">
        <v>585</v>
      </c>
      <c r="C3124" s="1128">
        <v>0</v>
      </c>
      <c r="D3124" s="1128">
        <v>72.72</v>
      </c>
      <c r="E3124" s="1126"/>
    </row>
    <row r="3125" spans="1:5" x14ac:dyDescent="0.2">
      <c r="A3125" s="1126" t="s">
        <v>3707</v>
      </c>
      <c r="B3125" s="1127">
        <v>200</v>
      </c>
      <c r="C3125" s="1128">
        <v>0</v>
      </c>
      <c r="D3125" s="1128">
        <v>101.78</v>
      </c>
      <c r="E3125" s="1126"/>
    </row>
    <row r="3126" spans="1:5" x14ac:dyDescent="0.2">
      <c r="A3126" s="1126" t="s">
        <v>3708</v>
      </c>
      <c r="B3126" s="1127">
        <v>302</v>
      </c>
      <c r="C3126" s="1128">
        <v>134.91</v>
      </c>
      <c r="D3126" s="1128">
        <v>342.5</v>
      </c>
      <c r="E3126" s="1126"/>
    </row>
    <row r="3127" spans="1:5" x14ac:dyDescent="0.2">
      <c r="A3127" s="1126" t="s">
        <v>3709</v>
      </c>
      <c r="B3127" s="1127">
        <v>207</v>
      </c>
      <c r="C3127" s="1128">
        <v>0</v>
      </c>
      <c r="D3127" s="1128">
        <v>18.46</v>
      </c>
      <c r="E3127" s="1126"/>
    </row>
    <row r="3128" spans="1:5" x14ac:dyDescent="0.2">
      <c r="A3128" s="1126" t="s">
        <v>3710</v>
      </c>
      <c r="B3128" s="1127">
        <v>63</v>
      </c>
      <c r="C3128" s="1128">
        <v>0</v>
      </c>
      <c r="D3128" s="1128">
        <v>0</v>
      </c>
      <c r="E3128" s="1126"/>
    </row>
    <row r="3129" spans="1:5" x14ac:dyDescent="0.2">
      <c r="A3129" s="1126" t="s">
        <v>3711</v>
      </c>
      <c r="B3129" s="1127">
        <v>292</v>
      </c>
      <c r="C3129" s="1128">
        <v>706.55</v>
      </c>
      <c r="D3129" s="1128">
        <v>907.26</v>
      </c>
      <c r="E3129" s="1126"/>
    </row>
    <row r="3130" spans="1:5" x14ac:dyDescent="0.2">
      <c r="A3130" s="1126" t="s">
        <v>3712</v>
      </c>
      <c r="B3130" s="1127">
        <v>288</v>
      </c>
      <c r="C3130" s="1128">
        <v>0</v>
      </c>
      <c r="D3130" s="1128">
        <v>50.09</v>
      </c>
      <c r="E3130" s="1126"/>
    </row>
    <row r="3131" spans="1:5" x14ac:dyDescent="0.2">
      <c r="A3131" s="1126" t="s">
        <v>3713</v>
      </c>
      <c r="B3131" s="1127">
        <v>296</v>
      </c>
      <c r="C3131" s="1128">
        <v>34.700000000000003</v>
      </c>
      <c r="D3131" s="1128">
        <v>238.16</v>
      </c>
      <c r="E3131" s="1126"/>
    </row>
    <row r="3132" spans="1:5" x14ac:dyDescent="0.2">
      <c r="A3132" s="1126" t="s">
        <v>3714</v>
      </c>
      <c r="B3132" s="1127">
        <v>250</v>
      </c>
      <c r="C3132" s="1128">
        <v>0</v>
      </c>
      <c r="D3132" s="1128">
        <v>19.45</v>
      </c>
      <c r="E3132" s="1126"/>
    </row>
    <row r="3133" spans="1:5" x14ac:dyDescent="0.2">
      <c r="A3133" s="1126" t="s">
        <v>3715</v>
      </c>
      <c r="B3133" s="1127">
        <v>161</v>
      </c>
      <c r="C3133" s="1128">
        <v>0</v>
      </c>
      <c r="D3133" s="1128">
        <v>104.05</v>
      </c>
      <c r="E3133" s="1126"/>
    </row>
    <row r="3134" spans="1:5" x14ac:dyDescent="0.2">
      <c r="A3134" s="1126" t="s">
        <v>3716</v>
      </c>
      <c r="B3134" s="1127">
        <v>49</v>
      </c>
      <c r="C3134" s="1128">
        <v>0</v>
      </c>
      <c r="D3134" s="1128">
        <v>15.46</v>
      </c>
      <c r="E3134" s="1126"/>
    </row>
    <row r="3135" spans="1:5" x14ac:dyDescent="0.2">
      <c r="A3135" s="1126" t="s">
        <v>3717</v>
      </c>
      <c r="B3135" s="1127">
        <v>298</v>
      </c>
      <c r="C3135" s="1128">
        <v>37.17</v>
      </c>
      <c r="D3135" s="1128">
        <v>242</v>
      </c>
      <c r="E3135" s="1126"/>
    </row>
    <row r="3136" spans="1:5" x14ac:dyDescent="0.2">
      <c r="A3136" s="1126" t="s">
        <v>3718</v>
      </c>
      <c r="B3136" s="1127">
        <v>281</v>
      </c>
      <c r="C3136" s="1128">
        <v>24.24</v>
      </c>
      <c r="D3136" s="1128">
        <v>217.39</v>
      </c>
      <c r="E3136" s="1126"/>
    </row>
    <row r="3137" spans="1:5" x14ac:dyDescent="0.2">
      <c r="A3137" s="1126" t="s">
        <v>3719</v>
      </c>
      <c r="B3137" s="1127">
        <v>241</v>
      </c>
      <c r="C3137" s="1128">
        <v>0</v>
      </c>
      <c r="D3137" s="1128">
        <v>57.41</v>
      </c>
      <c r="E3137" s="1126"/>
    </row>
    <row r="3138" spans="1:5" x14ac:dyDescent="0.2">
      <c r="A3138" s="1126" t="s">
        <v>3720</v>
      </c>
      <c r="B3138" s="1127">
        <v>154</v>
      </c>
      <c r="C3138" s="1128">
        <v>0</v>
      </c>
      <c r="D3138" s="1128">
        <v>52.74</v>
      </c>
      <c r="E3138" s="1126"/>
    </row>
    <row r="3139" spans="1:5" x14ac:dyDescent="0.2">
      <c r="A3139" s="1126" t="s">
        <v>3721</v>
      </c>
      <c r="B3139" s="1127">
        <v>194</v>
      </c>
      <c r="C3139" s="1128">
        <v>51.91</v>
      </c>
      <c r="D3139" s="1128">
        <v>185.26</v>
      </c>
      <c r="E3139" s="1126"/>
    </row>
    <row r="3140" spans="1:5" x14ac:dyDescent="0.2">
      <c r="A3140" s="1126" t="s">
        <v>3722</v>
      </c>
      <c r="B3140" s="1127">
        <v>148</v>
      </c>
      <c r="C3140" s="1128">
        <v>50.96</v>
      </c>
      <c r="D3140" s="1128">
        <v>152.69</v>
      </c>
      <c r="E3140" s="1126"/>
    </row>
    <row r="3141" spans="1:5" x14ac:dyDescent="0.2">
      <c r="A3141" s="1126" t="s">
        <v>3723</v>
      </c>
      <c r="B3141" s="1127">
        <v>94</v>
      </c>
      <c r="C3141" s="1128">
        <v>34.71</v>
      </c>
      <c r="D3141" s="1128">
        <v>99.32</v>
      </c>
      <c r="E3141" s="1126"/>
    </row>
    <row r="3142" spans="1:5" x14ac:dyDescent="0.2">
      <c r="A3142" s="1126" t="s">
        <v>3724</v>
      </c>
      <c r="B3142" s="1127">
        <v>246</v>
      </c>
      <c r="C3142" s="1128">
        <v>0</v>
      </c>
      <c r="D3142" s="1128">
        <v>47</v>
      </c>
      <c r="E3142" s="1126"/>
    </row>
    <row r="3143" spans="1:5" x14ac:dyDescent="0.2">
      <c r="A3143" s="1126" t="s">
        <v>3725</v>
      </c>
      <c r="B3143" s="1127">
        <v>180</v>
      </c>
      <c r="C3143" s="1128">
        <v>0</v>
      </c>
      <c r="D3143" s="1128">
        <v>53.4</v>
      </c>
      <c r="E3143" s="1126"/>
    </row>
    <row r="3144" spans="1:5" x14ac:dyDescent="0.2">
      <c r="A3144" s="1126" t="s">
        <v>3726</v>
      </c>
      <c r="B3144" s="1127">
        <v>250</v>
      </c>
      <c r="C3144" s="1128">
        <v>0</v>
      </c>
      <c r="D3144" s="1128">
        <v>140.77000000000001</v>
      </c>
      <c r="E3144" s="1126"/>
    </row>
    <row r="3145" spans="1:5" x14ac:dyDescent="0.2">
      <c r="A3145" s="1126" t="s">
        <v>3727</v>
      </c>
      <c r="B3145" s="1127">
        <v>159</v>
      </c>
      <c r="C3145" s="1128">
        <v>30.14</v>
      </c>
      <c r="D3145" s="1128">
        <v>139.43</v>
      </c>
      <c r="E3145" s="1126"/>
    </row>
    <row r="3146" spans="1:5" x14ac:dyDescent="0.2">
      <c r="A3146" s="1126" t="s">
        <v>3728</v>
      </c>
      <c r="B3146" s="1127">
        <v>293</v>
      </c>
      <c r="C3146" s="1128">
        <v>228.29</v>
      </c>
      <c r="D3146" s="1128">
        <v>429.69</v>
      </c>
      <c r="E3146" s="1126"/>
    </row>
    <row r="3147" spans="1:5" x14ac:dyDescent="0.2">
      <c r="A3147" s="1126" t="s">
        <v>3729</v>
      </c>
      <c r="B3147" s="1127">
        <v>364</v>
      </c>
      <c r="C3147" s="1128">
        <v>0</v>
      </c>
      <c r="D3147" s="1128">
        <v>44.47</v>
      </c>
      <c r="E3147" s="1126"/>
    </row>
    <row r="3148" spans="1:5" x14ac:dyDescent="0.2">
      <c r="A3148" s="1126" t="s">
        <v>3730</v>
      </c>
      <c r="B3148" s="1127">
        <v>472</v>
      </c>
      <c r="C3148" s="1128">
        <v>353.37</v>
      </c>
      <c r="D3148" s="1128">
        <v>677.8</v>
      </c>
      <c r="E3148" s="1126"/>
    </row>
    <row r="3149" spans="1:5" x14ac:dyDescent="0.2">
      <c r="A3149" s="1126" t="s">
        <v>3731</v>
      </c>
      <c r="B3149" s="1127">
        <v>215</v>
      </c>
      <c r="C3149" s="1128">
        <v>467.14</v>
      </c>
      <c r="D3149" s="1128">
        <v>614.91999999999996</v>
      </c>
      <c r="E3149" s="1126"/>
    </row>
    <row r="3150" spans="1:5" x14ac:dyDescent="0.2">
      <c r="A3150" s="1126" t="s">
        <v>3732</v>
      </c>
      <c r="B3150" s="1127">
        <v>210</v>
      </c>
      <c r="C3150" s="1128">
        <v>32.75</v>
      </c>
      <c r="D3150" s="1128">
        <v>177.09</v>
      </c>
      <c r="E3150" s="1126"/>
    </row>
    <row r="3151" spans="1:5" x14ac:dyDescent="0.2">
      <c r="A3151" s="1126" t="s">
        <v>3733</v>
      </c>
      <c r="B3151" s="1127">
        <v>466</v>
      </c>
      <c r="C3151" s="1128">
        <v>0</v>
      </c>
      <c r="D3151" s="1128">
        <v>78.48</v>
      </c>
      <c r="E3151" s="1126"/>
    </row>
    <row r="3152" spans="1:5" x14ac:dyDescent="0.2">
      <c r="A3152" s="1126" t="s">
        <v>3734</v>
      </c>
      <c r="B3152" s="1127">
        <v>273</v>
      </c>
      <c r="C3152" s="1128">
        <v>0</v>
      </c>
      <c r="D3152" s="1128">
        <v>85.75</v>
      </c>
      <c r="E3152" s="1126"/>
    </row>
    <row r="3153" spans="1:5" x14ac:dyDescent="0.2">
      <c r="A3153" s="1126" t="s">
        <v>3735</v>
      </c>
      <c r="B3153" s="1127">
        <v>169</v>
      </c>
      <c r="C3153" s="1128">
        <v>0</v>
      </c>
      <c r="D3153" s="1128">
        <v>114.57</v>
      </c>
      <c r="E3153" s="1126"/>
    </row>
    <row r="3154" spans="1:5" x14ac:dyDescent="0.2">
      <c r="A3154" s="1126" t="s">
        <v>3736</v>
      </c>
      <c r="B3154" s="1127">
        <v>194</v>
      </c>
      <c r="C3154" s="1128">
        <v>0</v>
      </c>
      <c r="D3154" s="1128">
        <v>127.72</v>
      </c>
      <c r="E3154" s="1126"/>
    </row>
    <row r="3155" spans="1:5" x14ac:dyDescent="0.2">
      <c r="A3155" s="1126" t="s">
        <v>3737</v>
      </c>
      <c r="B3155" s="1127">
        <v>78</v>
      </c>
      <c r="C3155" s="1128">
        <v>0</v>
      </c>
      <c r="D3155" s="1128">
        <v>18.989999999999998</v>
      </c>
      <c r="E3155" s="1126"/>
    </row>
    <row r="3156" spans="1:5" x14ac:dyDescent="0.2">
      <c r="A3156" s="1126" t="s">
        <v>3738</v>
      </c>
      <c r="B3156" s="1127">
        <v>92</v>
      </c>
      <c r="C3156" s="1128">
        <v>23.1</v>
      </c>
      <c r="D3156" s="1128">
        <v>86.34</v>
      </c>
      <c r="E3156" s="1126"/>
    </row>
    <row r="3157" spans="1:5" x14ac:dyDescent="0.2">
      <c r="A3157" s="1126" t="s">
        <v>3739</v>
      </c>
      <c r="B3157" s="1127">
        <v>65</v>
      </c>
      <c r="C3157" s="1128">
        <v>0</v>
      </c>
      <c r="D3157" s="1128">
        <v>37.4</v>
      </c>
      <c r="E3157" s="1126"/>
    </row>
    <row r="3158" spans="1:5" x14ac:dyDescent="0.2">
      <c r="A3158" s="1126" t="s">
        <v>3740</v>
      </c>
      <c r="B3158" s="1127">
        <v>42</v>
      </c>
      <c r="C3158" s="1128">
        <v>0</v>
      </c>
      <c r="D3158" s="1128">
        <v>14.51</v>
      </c>
      <c r="E3158" s="1126"/>
    </row>
    <row r="3159" spans="1:5" x14ac:dyDescent="0.2">
      <c r="A3159" s="1126" t="s">
        <v>3741</v>
      </c>
      <c r="B3159" s="1127">
        <v>36</v>
      </c>
      <c r="C3159" s="1128">
        <v>34.89</v>
      </c>
      <c r="D3159" s="1128">
        <v>59.63</v>
      </c>
      <c r="E3159" s="1126" t="s">
        <v>669</v>
      </c>
    </row>
    <row r="3160" spans="1:5" x14ac:dyDescent="0.2">
      <c r="A3160" s="1126" t="s">
        <v>3742</v>
      </c>
      <c r="B3160" s="1127">
        <v>144</v>
      </c>
      <c r="C3160" s="1128">
        <v>8.33</v>
      </c>
      <c r="D3160" s="1128">
        <v>107.31</v>
      </c>
      <c r="E3160" s="1126"/>
    </row>
    <row r="3161" spans="1:5" x14ac:dyDescent="0.2">
      <c r="A3161" s="1126" t="s">
        <v>3743</v>
      </c>
      <c r="B3161" s="1127">
        <v>160</v>
      </c>
      <c r="C3161" s="1128">
        <v>329.17</v>
      </c>
      <c r="D3161" s="1128">
        <v>439.14</v>
      </c>
      <c r="E3161" s="1126"/>
    </row>
    <row r="3162" spans="1:5" x14ac:dyDescent="0.2">
      <c r="A3162" s="1126" t="s">
        <v>3744</v>
      </c>
      <c r="B3162" s="1127">
        <v>163</v>
      </c>
      <c r="C3162" s="1128">
        <v>566.79</v>
      </c>
      <c r="D3162" s="1128">
        <v>678.83</v>
      </c>
      <c r="E3162" s="1126"/>
    </row>
    <row r="3163" spans="1:5" x14ac:dyDescent="0.2">
      <c r="A3163" s="1126" t="s">
        <v>3745</v>
      </c>
      <c r="B3163" s="1127">
        <v>48</v>
      </c>
      <c r="C3163" s="1128">
        <v>103.22</v>
      </c>
      <c r="D3163" s="1128">
        <v>136.21</v>
      </c>
      <c r="E3163" s="1126"/>
    </row>
    <row r="3164" spans="1:5" x14ac:dyDescent="0.2">
      <c r="A3164" s="1126" t="s">
        <v>3746</v>
      </c>
      <c r="B3164" s="1127">
        <v>264</v>
      </c>
      <c r="C3164" s="1128">
        <v>17.16</v>
      </c>
      <c r="D3164" s="1128">
        <v>198.62</v>
      </c>
      <c r="E3164" s="1126"/>
    </row>
    <row r="3165" spans="1:5" x14ac:dyDescent="0.2">
      <c r="A3165" s="1126" t="s">
        <v>3747</v>
      </c>
      <c r="B3165" s="1127">
        <v>241</v>
      </c>
      <c r="C3165" s="1128">
        <v>236.1</v>
      </c>
      <c r="D3165" s="1128">
        <v>401.75</v>
      </c>
      <c r="E3165" s="1126"/>
    </row>
    <row r="3166" spans="1:5" x14ac:dyDescent="0.2">
      <c r="A3166" s="1126" t="s">
        <v>3748</v>
      </c>
      <c r="B3166" s="1127">
        <v>114</v>
      </c>
      <c r="C3166" s="1128">
        <v>17.079999999999998</v>
      </c>
      <c r="D3166" s="1128">
        <v>95.44</v>
      </c>
      <c r="E3166" s="1126"/>
    </row>
    <row r="3167" spans="1:5" x14ac:dyDescent="0.2">
      <c r="A3167" s="1126" t="s">
        <v>3749</v>
      </c>
      <c r="B3167" s="1127">
        <v>194</v>
      </c>
      <c r="C3167" s="1128">
        <v>162.94999999999999</v>
      </c>
      <c r="D3167" s="1128">
        <v>296.3</v>
      </c>
      <c r="E3167" s="1126"/>
    </row>
    <row r="3168" spans="1:5" x14ac:dyDescent="0.2">
      <c r="A3168" s="1126" t="s">
        <v>3750</v>
      </c>
      <c r="B3168" s="1127">
        <v>302</v>
      </c>
      <c r="C3168" s="1128">
        <v>268.33999999999997</v>
      </c>
      <c r="D3168" s="1128">
        <v>475.92</v>
      </c>
      <c r="E3168" s="1126"/>
    </row>
    <row r="3169" spans="1:5" x14ac:dyDescent="0.2">
      <c r="A3169" s="1126" t="s">
        <v>3751</v>
      </c>
      <c r="B3169" s="1127">
        <v>231</v>
      </c>
      <c r="C3169" s="1128">
        <v>16.37</v>
      </c>
      <c r="D3169" s="1128">
        <v>175.15</v>
      </c>
      <c r="E3169" s="1126"/>
    </row>
    <row r="3170" spans="1:5" x14ac:dyDescent="0.2">
      <c r="A3170" s="1126" t="s">
        <v>3752</v>
      </c>
      <c r="B3170" s="1127">
        <v>159</v>
      </c>
      <c r="C3170" s="1128">
        <v>0</v>
      </c>
      <c r="D3170" s="1128">
        <v>46.03</v>
      </c>
      <c r="E3170" s="1126"/>
    </row>
    <row r="3171" spans="1:5" x14ac:dyDescent="0.2">
      <c r="A3171" s="1126" t="s">
        <v>3753</v>
      </c>
      <c r="B3171" s="1127">
        <v>225</v>
      </c>
      <c r="C3171" s="1128">
        <v>0</v>
      </c>
      <c r="D3171" s="1128">
        <v>51.77</v>
      </c>
      <c r="E3171" s="1126"/>
    </row>
    <row r="3172" spans="1:5" x14ac:dyDescent="0.2">
      <c r="A3172" s="1126" t="s">
        <v>3754</v>
      </c>
      <c r="B3172" s="1127">
        <v>379</v>
      </c>
      <c r="C3172" s="1128">
        <v>0</v>
      </c>
      <c r="D3172" s="1128">
        <v>83.55</v>
      </c>
      <c r="E3172" s="1126"/>
    </row>
    <row r="3173" spans="1:5" x14ac:dyDescent="0.2">
      <c r="A3173" s="1126" t="s">
        <v>3755</v>
      </c>
      <c r="B3173" s="1127">
        <v>345</v>
      </c>
      <c r="C3173" s="1128">
        <v>0</v>
      </c>
      <c r="D3173" s="1128">
        <v>121.12</v>
      </c>
      <c r="E3173" s="1126"/>
    </row>
    <row r="3174" spans="1:5" x14ac:dyDescent="0.2">
      <c r="A3174" s="1126" t="s">
        <v>3756</v>
      </c>
      <c r="B3174" s="1127">
        <v>168</v>
      </c>
      <c r="C3174" s="1128">
        <v>0</v>
      </c>
      <c r="D3174" s="1128">
        <v>37.35</v>
      </c>
      <c r="E3174" s="1126"/>
    </row>
    <row r="3175" spans="1:5" x14ac:dyDescent="0.2">
      <c r="A3175" s="1126" t="s">
        <v>3757</v>
      </c>
      <c r="B3175" s="1127">
        <v>202</v>
      </c>
      <c r="C3175" s="1128">
        <v>0</v>
      </c>
      <c r="D3175" s="1128">
        <v>73.260000000000005</v>
      </c>
      <c r="E3175" s="1126"/>
    </row>
    <row r="3176" spans="1:5" x14ac:dyDescent="0.2">
      <c r="A3176" s="1126" t="s">
        <v>3758</v>
      </c>
      <c r="B3176" s="1127">
        <v>319</v>
      </c>
      <c r="C3176" s="1128">
        <v>0</v>
      </c>
      <c r="D3176" s="1128">
        <v>111.58</v>
      </c>
      <c r="E3176" s="1126"/>
    </row>
    <row r="3177" spans="1:5" x14ac:dyDescent="0.2">
      <c r="A3177" s="1126" t="s">
        <v>3759</v>
      </c>
      <c r="B3177" s="1127">
        <v>257</v>
      </c>
      <c r="C3177" s="1128">
        <v>0</v>
      </c>
      <c r="D3177" s="1128">
        <v>63.01</v>
      </c>
      <c r="E3177" s="1126"/>
    </row>
    <row r="3178" spans="1:5" x14ac:dyDescent="0.2">
      <c r="A3178" s="1126" t="s">
        <v>3760</v>
      </c>
      <c r="B3178" s="1127">
        <v>372</v>
      </c>
      <c r="C3178" s="1128">
        <v>266.83</v>
      </c>
      <c r="D3178" s="1128">
        <v>522.53</v>
      </c>
      <c r="E3178" s="1126"/>
    </row>
    <row r="3179" spans="1:5" x14ac:dyDescent="0.2">
      <c r="A3179" s="1126" t="s">
        <v>3761</v>
      </c>
      <c r="B3179" s="1127">
        <v>189</v>
      </c>
      <c r="C3179" s="1128">
        <v>2.56</v>
      </c>
      <c r="D3179" s="1128">
        <v>132.47</v>
      </c>
      <c r="E3179" s="1126"/>
    </row>
    <row r="3180" spans="1:5" x14ac:dyDescent="0.2">
      <c r="A3180" s="1126" t="s">
        <v>3762</v>
      </c>
      <c r="B3180" s="1127">
        <v>318</v>
      </c>
      <c r="C3180" s="1128">
        <v>232.23</v>
      </c>
      <c r="D3180" s="1128">
        <v>450.81</v>
      </c>
      <c r="E3180" s="1126"/>
    </row>
    <row r="3181" spans="1:5" x14ac:dyDescent="0.2">
      <c r="A3181" s="1126" t="s">
        <v>3763</v>
      </c>
      <c r="B3181" s="1127">
        <v>425</v>
      </c>
      <c r="C3181" s="1128">
        <v>0</v>
      </c>
      <c r="D3181" s="1128">
        <v>185.26</v>
      </c>
      <c r="E3181" s="1126"/>
    </row>
    <row r="3182" spans="1:5" x14ac:dyDescent="0.2">
      <c r="A3182" s="1126" t="s">
        <v>3764</v>
      </c>
      <c r="B3182" s="1127">
        <v>215</v>
      </c>
      <c r="C3182" s="1128">
        <v>695.19</v>
      </c>
      <c r="D3182" s="1128">
        <v>842.97</v>
      </c>
      <c r="E3182" s="1126"/>
    </row>
    <row r="3183" spans="1:5" x14ac:dyDescent="0.2">
      <c r="A3183" s="1126" t="s">
        <v>3765</v>
      </c>
      <c r="B3183" s="1127">
        <v>330</v>
      </c>
      <c r="C3183" s="1128">
        <v>0</v>
      </c>
      <c r="D3183" s="1128">
        <v>133.61000000000001</v>
      </c>
      <c r="E3183" s="1126"/>
    </row>
    <row r="3184" spans="1:5" x14ac:dyDescent="0.2">
      <c r="A3184" s="1126" t="s">
        <v>3766</v>
      </c>
      <c r="B3184" s="1127">
        <v>170</v>
      </c>
      <c r="C3184" s="1128">
        <v>39.65</v>
      </c>
      <c r="D3184" s="1128">
        <v>156.51</v>
      </c>
      <c r="E3184" s="1126"/>
    </row>
    <row r="3185" spans="1:5" x14ac:dyDescent="0.2">
      <c r="A3185" s="1126" t="s">
        <v>3767</v>
      </c>
      <c r="B3185" s="1127">
        <v>215</v>
      </c>
      <c r="C3185" s="1128">
        <v>70.62</v>
      </c>
      <c r="D3185" s="1128">
        <v>218.41</v>
      </c>
      <c r="E3185" s="1126"/>
    </row>
    <row r="3186" spans="1:5" x14ac:dyDescent="0.2">
      <c r="A3186" s="1126" t="s">
        <v>3768</v>
      </c>
      <c r="B3186" s="1127">
        <v>133</v>
      </c>
      <c r="C3186" s="1128">
        <v>0</v>
      </c>
      <c r="D3186" s="1128">
        <v>80.69</v>
      </c>
      <c r="E3186" s="1126"/>
    </row>
    <row r="3187" spans="1:5" x14ac:dyDescent="0.2">
      <c r="A3187" s="1126" t="s">
        <v>3769</v>
      </c>
      <c r="B3187" s="1127">
        <v>314</v>
      </c>
      <c r="C3187" s="1128">
        <v>0</v>
      </c>
      <c r="D3187" s="1128">
        <v>104.19</v>
      </c>
      <c r="E3187" s="1126"/>
    </row>
    <row r="3188" spans="1:5" x14ac:dyDescent="0.2">
      <c r="A3188" s="1126" t="s">
        <v>3770</v>
      </c>
      <c r="B3188" s="1127">
        <v>296</v>
      </c>
      <c r="C3188" s="1128">
        <v>0</v>
      </c>
      <c r="D3188" s="1128">
        <v>126.1</v>
      </c>
      <c r="E3188" s="1126"/>
    </row>
    <row r="3189" spans="1:5" x14ac:dyDescent="0.2">
      <c r="A3189" s="1126" t="s">
        <v>3771</v>
      </c>
      <c r="B3189" s="1127">
        <v>254</v>
      </c>
      <c r="C3189" s="1128">
        <v>0</v>
      </c>
      <c r="D3189" s="1128">
        <v>48.94</v>
      </c>
      <c r="E3189" s="1126"/>
    </row>
    <row r="3190" spans="1:5" x14ac:dyDescent="0.2">
      <c r="A3190" s="1126" t="s">
        <v>3772</v>
      </c>
      <c r="B3190" s="1127">
        <v>79</v>
      </c>
      <c r="C3190" s="1128">
        <v>8.3800000000000008</v>
      </c>
      <c r="D3190" s="1128">
        <v>62.68</v>
      </c>
      <c r="E3190" s="1126"/>
    </row>
    <row r="3191" spans="1:5" x14ac:dyDescent="0.2">
      <c r="A3191" s="1126" t="s">
        <v>3773</v>
      </c>
      <c r="B3191" s="1127">
        <v>189</v>
      </c>
      <c r="C3191" s="1128">
        <v>536.82000000000005</v>
      </c>
      <c r="D3191" s="1128">
        <v>666.73</v>
      </c>
      <c r="E3191" s="1126"/>
    </row>
    <row r="3192" spans="1:5" x14ac:dyDescent="0.2">
      <c r="A3192" s="1126" t="s">
        <v>3774</v>
      </c>
      <c r="B3192" s="1127">
        <v>185</v>
      </c>
      <c r="C3192" s="1128">
        <v>0</v>
      </c>
      <c r="D3192" s="1128">
        <v>48.94</v>
      </c>
      <c r="E3192" s="1126"/>
    </row>
    <row r="3193" spans="1:5" x14ac:dyDescent="0.2">
      <c r="A3193" s="1126" t="s">
        <v>3775</v>
      </c>
      <c r="B3193" s="1127">
        <v>222</v>
      </c>
      <c r="C3193" s="1128">
        <v>0</v>
      </c>
      <c r="D3193" s="1128">
        <v>118.73</v>
      </c>
      <c r="E3193" s="1126"/>
    </row>
    <row r="3194" spans="1:5" x14ac:dyDescent="0.2">
      <c r="A3194" s="1126" t="s">
        <v>3776</v>
      </c>
      <c r="B3194" s="1127">
        <v>358</v>
      </c>
      <c r="C3194" s="1128">
        <v>0</v>
      </c>
      <c r="D3194" s="1128">
        <v>146.55000000000001</v>
      </c>
      <c r="E3194" s="1126"/>
    </row>
    <row r="3195" spans="1:5" x14ac:dyDescent="0.2">
      <c r="A3195" s="1126" t="s">
        <v>3777</v>
      </c>
      <c r="B3195" s="1127">
        <v>278</v>
      </c>
      <c r="C3195" s="1128">
        <v>559.41</v>
      </c>
      <c r="D3195" s="1128">
        <v>750.5</v>
      </c>
      <c r="E3195" s="1126"/>
    </row>
    <row r="3196" spans="1:5" x14ac:dyDescent="0.2">
      <c r="A3196" s="1126" t="s">
        <v>3778</v>
      </c>
      <c r="B3196" s="1127">
        <v>254</v>
      </c>
      <c r="C3196" s="1128">
        <v>0</v>
      </c>
      <c r="D3196" s="1128">
        <v>62.56</v>
      </c>
      <c r="E3196" s="1126"/>
    </row>
    <row r="3197" spans="1:5" x14ac:dyDescent="0.2">
      <c r="A3197" s="1126" t="s">
        <v>3779</v>
      </c>
      <c r="B3197" s="1127">
        <v>230</v>
      </c>
      <c r="C3197" s="1128">
        <v>45.69</v>
      </c>
      <c r="D3197" s="1128">
        <v>203.78</v>
      </c>
      <c r="E3197" s="1126"/>
    </row>
    <row r="3198" spans="1:5" x14ac:dyDescent="0.2">
      <c r="A3198" s="1126" t="s">
        <v>3780</v>
      </c>
      <c r="B3198" s="1127">
        <v>387</v>
      </c>
      <c r="C3198" s="1128">
        <v>0</v>
      </c>
      <c r="D3198" s="1128">
        <v>134.88</v>
      </c>
      <c r="E3198" s="1126"/>
    </row>
    <row r="3199" spans="1:5" x14ac:dyDescent="0.2">
      <c r="A3199" s="1126" t="s">
        <v>3781</v>
      </c>
      <c r="B3199" s="1127">
        <v>236</v>
      </c>
      <c r="C3199" s="1128">
        <v>0</v>
      </c>
      <c r="D3199" s="1128">
        <v>0</v>
      </c>
      <c r="E3199" s="1126"/>
    </row>
    <row r="3200" spans="1:5" x14ac:dyDescent="0.2">
      <c r="A3200" s="1126" t="s">
        <v>3782</v>
      </c>
      <c r="B3200" s="1127">
        <v>111</v>
      </c>
      <c r="C3200" s="1128">
        <v>0</v>
      </c>
      <c r="D3200" s="1128">
        <v>64.349999999999994</v>
      </c>
      <c r="E3200" s="1126"/>
    </row>
    <row r="3201" spans="1:5" x14ac:dyDescent="0.2">
      <c r="A3201" s="1126" t="s">
        <v>3783</v>
      </c>
      <c r="B3201" s="1127">
        <v>177</v>
      </c>
      <c r="C3201" s="1128">
        <v>47.76</v>
      </c>
      <c r="D3201" s="1128">
        <v>169.42</v>
      </c>
      <c r="E3201" s="1126"/>
    </row>
    <row r="3202" spans="1:5" x14ac:dyDescent="0.2">
      <c r="A3202" s="1126" t="s">
        <v>3784</v>
      </c>
      <c r="B3202" s="1127">
        <v>122</v>
      </c>
      <c r="C3202" s="1128">
        <v>34.65</v>
      </c>
      <c r="D3202" s="1128">
        <v>118.51</v>
      </c>
      <c r="E3202" s="1126"/>
    </row>
    <row r="3203" spans="1:5" x14ac:dyDescent="0.2">
      <c r="A3203" s="1126" t="s">
        <v>3785</v>
      </c>
      <c r="B3203" s="1127">
        <v>380</v>
      </c>
      <c r="C3203" s="1128">
        <v>160.6</v>
      </c>
      <c r="D3203" s="1128">
        <v>421.8</v>
      </c>
      <c r="E3203" s="1126"/>
    </row>
    <row r="3204" spans="1:5" x14ac:dyDescent="0.2">
      <c r="A3204" s="1126" t="s">
        <v>3786</v>
      </c>
      <c r="B3204" s="1127">
        <v>192</v>
      </c>
      <c r="C3204" s="1128">
        <v>0</v>
      </c>
      <c r="D3204" s="1128">
        <v>46.26</v>
      </c>
      <c r="E3204" s="1126"/>
    </row>
    <row r="3205" spans="1:5" x14ac:dyDescent="0.2">
      <c r="A3205" s="1126" t="s">
        <v>3787</v>
      </c>
      <c r="B3205" s="1127">
        <v>250</v>
      </c>
      <c r="C3205" s="1128">
        <v>0</v>
      </c>
      <c r="D3205" s="1128">
        <v>47.86</v>
      </c>
      <c r="E3205" s="1126"/>
    </row>
    <row r="3206" spans="1:5" x14ac:dyDescent="0.2">
      <c r="A3206" s="1126" t="s">
        <v>3788</v>
      </c>
      <c r="B3206" s="1127">
        <v>209</v>
      </c>
      <c r="C3206" s="1128">
        <v>0</v>
      </c>
      <c r="D3206" s="1128">
        <v>52.42</v>
      </c>
      <c r="E3206" s="1126"/>
    </row>
    <row r="3207" spans="1:5" x14ac:dyDescent="0.2">
      <c r="A3207" s="1126" t="s">
        <v>3789</v>
      </c>
      <c r="B3207" s="1127">
        <v>223</v>
      </c>
      <c r="C3207" s="1128">
        <v>5.49</v>
      </c>
      <c r="D3207" s="1128">
        <v>158.77000000000001</v>
      </c>
      <c r="E3207" s="1126"/>
    </row>
    <row r="3208" spans="1:5" x14ac:dyDescent="0.2">
      <c r="A3208" s="1126" t="s">
        <v>3790</v>
      </c>
      <c r="B3208" s="1127">
        <v>194</v>
      </c>
      <c r="C3208" s="1128">
        <v>0</v>
      </c>
      <c r="D3208" s="1128">
        <v>49.39</v>
      </c>
      <c r="E3208" s="1126"/>
    </row>
    <row r="3209" spans="1:5" x14ac:dyDescent="0.2">
      <c r="A3209" s="1126" t="s">
        <v>3791</v>
      </c>
      <c r="B3209" s="1127">
        <v>268</v>
      </c>
      <c r="C3209" s="1128">
        <v>0</v>
      </c>
      <c r="D3209" s="1128">
        <v>71.58</v>
      </c>
      <c r="E3209" s="1126"/>
    </row>
    <row r="3210" spans="1:5" x14ac:dyDescent="0.2">
      <c r="A3210" s="1126" t="s">
        <v>3792</v>
      </c>
      <c r="B3210" s="1127">
        <v>290</v>
      </c>
      <c r="C3210" s="1128">
        <v>36.020000000000003</v>
      </c>
      <c r="D3210" s="1128">
        <v>235.35</v>
      </c>
      <c r="E3210" s="1126"/>
    </row>
    <row r="3211" spans="1:5" x14ac:dyDescent="0.2">
      <c r="A3211" s="1126" t="s">
        <v>3793</v>
      </c>
      <c r="B3211" s="1127">
        <v>120</v>
      </c>
      <c r="C3211" s="1128">
        <v>353.47</v>
      </c>
      <c r="D3211" s="1128">
        <v>435.96</v>
      </c>
      <c r="E3211" s="1126"/>
    </row>
    <row r="3212" spans="1:5" x14ac:dyDescent="0.2">
      <c r="A3212" s="1126" t="s">
        <v>3794</v>
      </c>
      <c r="B3212" s="1127">
        <v>169</v>
      </c>
      <c r="C3212" s="1128">
        <v>5.22</v>
      </c>
      <c r="D3212" s="1128">
        <v>121.38</v>
      </c>
      <c r="E3212" s="1126"/>
    </row>
    <row r="3213" spans="1:5" x14ac:dyDescent="0.2">
      <c r="A3213" s="1126" t="s">
        <v>3795</v>
      </c>
      <c r="B3213" s="1127">
        <v>451</v>
      </c>
      <c r="C3213" s="1128">
        <v>0</v>
      </c>
      <c r="D3213" s="1128">
        <v>160.11000000000001</v>
      </c>
      <c r="E3213" s="1126"/>
    </row>
    <row r="3214" spans="1:5" x14ac:dyDescent="0.2">
      <c r="A3214" s="1126" t="s">
        <v>3796</v>
      </c>
      <c r="B3214" s="1127">
        <v>105</v>
      </c>
      <c r="C3214" s="1128">
        <v>317.52999999999997</v>
      </c>
      <c r="D3214" s="1128">
        <v>389.71</v>
      </c>
      <c r="E3214" s="1126"/>
    </row>
    <row r="3215" spans="1:5" x14ac:dyDescent="0.2">
      <c r="A3215" s="1126" t="s">
        <v>3797</v>
      </c>
      <c r="B3215" s="1127">
        <v>95</v>
      </c>
      <c r="C3215" s="1128">
        <v>0</v>
      </c>
      <c r="D3215" s="1128">
        <v>20.48</v>
      </c>
      <c r="E3215" s="1126"/>
    </row>
    <row r="3216" spans="1:5" x14ac:dyDescent="0.2">
      <c r="A3216" s="1126" t="s">
        <v>3798</v>
      </c>
      <c r="B3216" s="1127">
        <v>102</v>
      </c>
      <c r="C3216" s="1128">
        <v>35.590000000000003</v>
      </c>
      <c r="D3216" s="1128">
        <v>105.7</v>
      </c>
      <c r="E3216" s="1126"/>
    </row>
    <row r="3217" spans="1:5" x14ac:dyDescent="0.2">
      <c r="A3217" s="1126" t="s">
        <v>3799</v>
      </c>
      <c r="B3217" s="1127">
        <v>221</v>
      </c>
      <c r="C3217" s="1128">
        <v>148.88</v>
      </c>
      <c r="D3217" s="1128">
        <v>300.79000000000002</v>
      </c>
      <c r="E3217" s="1126"/>
    </row>
    <row r="3218" spans="1:5" x14ac:dyDescent="0.2">
      <c r="A3218" s="1126" t="s">
        <v>3800</v>
      </c>
      <c r="B3218" s="1127">
        <v>386</v>
      </c>
      <c r="C3218" s="1128">
        <v>409.45</v>
      </c>
      <c r="D3218" s="1128">
        <v>674.77</v>
      </c>
      <c r="E3218" s="1126"/>
    </row>
    <row r="3219" spans="1:5" x14ac:dyDescent="0.2">
      <c r="A3219" s="1126" t="s">
        <v>3801</v>
      </c>
      <c r="B3219" s="1127">
        <v>317</v>
      </c>
      <c r="C3219" s="1128">
        <v>143.1</v>
      </c>
      <c r="D3219" s="1128">
        <v>360.99</v>
      </c>
      <c r="E3219" s="1126"/>
    </row>
    <row r="3220" spans="1:5" x14ac:dyDescent="0.2">
      <c r="A3220" s="1126" t="s">
        <v>3802</v>
      </c>
      <c r="B3220" s="1127">
        <v>235</v>
      </c>
      <c r="C3220" s="1128">
        <v>468.91</v>
      </c>
      <c r="D3220" s="1128">
        <v>630.44000000000005</v>
      </c>
      <c r="E3220" s="1126"/>
    </row>
    <row r="3221" spans="1:5" x14ac:dyDescent="0.2">
      <c r="A3221" s="1126" t="s">
        <v>3803</v>
      </c>
      <c r="B3221" s="1127">
        <v>218</v>
      </c>
      <c r="C3221" s="1128">
        <v>0</v>
      </c>
      <c r="D3221" s="1128">
        <v>34.369999999999997</v>
      </c>
      <c r="E3221" s="1126"/>
    </row>
    <row r="3222" spans="1:5" x14ac:dyDescent="0.2">
      <c r="A3222" s="1126" t="s">
        <v>3804</v>
      </c>
      <c r="B3222" s="1127">
        <v>67</v>
      </c>
      <c r="C3222" s="1128">
        <v>10.93</v>
      </c>
      <c r="D3222" s="1128">
        <v>56.98</v>
      </c>
      <c r="E3222" s="1126"/>
    </row>
    <row r="3223" spans="1:5" x14ac:dyDescent="0.2">
      <c r="A3223" s="1126" t="s">
        <v>3805</v>
      </c>
      <c r="B3223" s="1127">
        <v>207</v>
      </c>
      <c r="C3223" s="1128">
        <v>0</v>
      </c>
      <c r="D3223" s="1128">
        <v>66.5</v>
      </c>
      <c r="E3223" s="1126"/>
    </row>
    <row r="3224" spans="1:5" x14ac:dyDescent="0.2">
      <c r="A3224" s="1126" t="s">
        <v>3806</v>
      </c>
      <c r="B3224" s="1127">
        <v>279</v>
      </c>
      <c r="C3224" s="1128">
        <v>191.03</v>
      </c>
      <c r="D3224" s="1128">
        <v>382.81</v>
      </c>
      <c r="E3224" s="1126"/>
    </row>
    <row r="3225" spans="1:5" x14ac:dyDescent="0.2">
      <c r="A3225" s="1126" t="s">
        <v>3807</v>
      </c>
      <c r="B3225" s="1127">
        <v>23</v>
      </c>
      <c r="C3225" s="1128">
        <v>0</v>
      </c>
      <c r="D3225" s="1128">
        <v>14.61</v>
      </c>
      <c r="E3225" s="1126" t="s">
        <v>669</v>
      </c>
    </row>
    <row r="3226" spans="1:5" x14ac:dyDescent="0.2">
      <c r="A3226" s="1126" t="s">
        <v>3808</v>
      </c>
      <c r="B3226" s="1127">
        <v>76</v>
      </c>
      <c r="C3226" s="1128">
        <v>0</v>
      </c>
      <c r="D3226" s="1128">
        <v>15.69</v>
      </c>
      <c r="E3226" s="1126"/>
    </row>
    <row r="3227" spans="1:5" x14ac:dyDescent="0.2">
      <c r="A3227" s="1126" t="s">
        <v>3809</v>
      </c>
      <c r="B3227" s="1127">
        <v>67</v>
      </c>
      <c r="C3227" s="1128">
        <v>0</v>
      </c>
      <c r="D3227" s="1128">
        <v>45.15</v>
      </c>
      <c r="E3227" s="1126"/>
    </row>
    <row r="3228" spans="1:5" x14ac:dyDescent="0.2">
      <c r="A3228" s="1126" t="s">
        <v>3810</v>
      </c>
      <c r="B3228" s="1127">
        <v>52</v>
      </c>
      <c r="C3228" s="1128">
        <v>0</v>
      </c>
      <c r="D3228" s="1128">
        <v>0</v>
      </c>
      <c r="E3228" s="1126"/>
    </row>
    <row r="3229" spans="1:5" x14ac:dyDescent="0.2">
      <c r="A3229" s="1126" t="s">
        <v>3811</v>
      </c>
      <c r="B3229" s="1127">
        <v>97</v>
      </c>
      <c r="C3229" s="1128">
        <v>0</v>
      </c>
      <c r="D3229" s="1128">
        <v>15.1</v>
      </c>
      <c r="E3229" s="1126"/>
    </row>
    <row r="3230" spans="1:5" x14ac:dyDescent="0.2">
      <c r="A3230" s="1126" t="s">
        <v>3812</v>
      </c>
      <c r="B3230" s="1127">
        <v>333</v>
      </c>
      <c r="C3230" s="1128">
        <v>0</v>
      </c>
      <c r="D3230" s="1128">
        <v>104.86</v>
      </c>
      <c r="E3230" s="1126"/>
    </row>
    <row r="3231" spans="1:5" x14ac:dyDescent="0.2">
      <c r="A3231" s="1126" t="s">
        <v>3813</v>
      </c>
      <c r="B3231" s="1127">
        <v>254</v>
      </c>
      <c r="C3231" s="1128">
        <v>71.94</v>
      </c>
      <c r="D3231" s="1128">
        <v>246.53</v>
      </c>
      <c r="E3231" s="1126"/>
    </row>
    <row r="3232" spans="1:5" x14ac:dyDescent="0.2">
      <c r="A3232" s="1126" t="s">
        <v>3814</v>
      </c>
      <c r="B3232" s="1127">
        <v>89</v>
      </c>
      <c r="C3232" s="1128">
        <v>104.93</v>
      </c>
      <c r="D3232" s="1128">
        <v>166.1</v>
      </c>
      <c r="E3232" s="1126"/>
    </row>
    <row r="3233" spans="1:5" x14ac:dyDescent="0.2">
      <c r="A3233" s="1126" t="s">
        <v>3815</v>
      </c>
      <c r="B3233" s="1127">
        <v>144</v>
      </c>
      <c r="C3233" s="1128">
        <v>0</v>
      </c>
      <c r="D3233" s="1128">
        <v>65.47</v>
      </c>
      <c r="E3233" s="1126"/>
    </row>
    <row r="3234" spans="1:5" x14ac:dyDescent="0.2">
      <c r="A3234" s="1126" t="s">
        <v>3816</v>
      </c>
      <c r="B3234" s="1127">
        <v>31</v>
      </c>
      <c r="C3234" s="1128">
        <v>0</v>
      </c>
      <c r="D3234" s="1128">
        <v>10.79</v>
      </c>
      <c r="E3234" s="1126" t="s">
        <v>669</v>
      </c>
    </row>
    <row r="3235" spans="1:5" x14ac:dyDescent="0.2">
      <c r="A3235" s="1126" t="s">
        <v>3817</v>
      </c>
      <c r="B3235" s="1127">
        <v>209</v>
      </c>
      <c r="C3235" s="1128">
        <v>830.03</v>
      </c>
      <c r="D3235" s="1128">
        <v>973.69</v>
      </c>
      <c r="E3235" s="1126"/>
    </row>
    <row r="3236" spans="1:5" x14ac:dyDescent="0.2">
      <c r="A3236" s="1126" t="s">
        <v>3818</v>
      </c>
      <c r="B3236" s="1127">
        <v>78</v>
      </c>
      <c r="C3236" s="1128">
        <v>71.12</v>
      </c>
      <c r="D3236" s="1128">
        <v>124.73</v>
      </c>
      <c r="E3236" s="1126"/>
    </row>
    <row r="3237" spans="1:5" x14ac:dyDescent="0.2">
      <c r="A3237" s="1126" t="s">
        <v>3819</v>
      </c>
      <c r="B3237" s="1127">
        <v>164</v>
      </c>
      <c r="C3237" s="1128">
        <v>164.91</v>
      </c>
      <c r="D3237" s="1128">
        <v>277.63</v>
      </c>
      <c r="E3237" s="1126"/>
    </row>
    <row r="3238" spans="1:5" x14ac:dyDescent="0.2">
      <c r="A3238" s="1126" t="s">
        <v>3820</v>
      </c>
      <c r="B3238" s="1127">
        <v>71</v>
      </c>
      <c r="C3238" s="1128">
        <v>240.27</v>
      </c>
      <c r="D3238" s="1128">
        <v>289.08</v>
      </c>
      <c r="E3238" s="1126"/>
    </row>
    <row r="3239" spans="1:5" x14ac:dyDescent="0.2">
      <c r="A3239" s="1126" t="s">
        <v>3821</v>
      </c>
      <c r="B3239" s="1127">
        <v>107</v>
      </c>
      <c r="C3239" s="1128">
        <v>343.72</v>
      </c>
      <c r="D3239" s="1128">
        <v>417.26</v>
      </c>
      <c r="E3239" s="1126"/>
    </row>
    <row r="3240" spans="1:5" x14ac:dyDescent="0.2">
      <c r="A3240" s="1126" t="s">
        <v>3822</v>
      </c>
      <c r="B3240" s="1127">
        <v>28</v>
      </c>
      <c r="C3240" s="1128">
        <v>0</v>
      </c>
      <c r="D3240" s="1128">
        <v>16.12</v>
      </c>
      <c r="E3240" s="1126" t="s">
        <v>669</v>
      </c>
    </row>
    <row r="3241" spans="1:5" x14ac:dyDescent="0.2">
      <c r="A3241" s="1126" t="s">
        <v>3823</v>
      </c>
      <c r="B3241" s="1127">
        <v>131</v>
      </c>
      <c r="C3241" s="1128">
        <v>0</v>
      </c>
      <c r="D3241" s="1128">
        <v>53.7</v>
      </c>
      <c r="E3241" s="1126"/>
    </row>
    <row r="3242" spans="1:5" x14ac:dyDescent="0.2">
      <c r="A3242" s="1126" t="s">
        <v>3824</v>
      </c>
      <c r="B3242" s="1127">
        <v>66</v>
      </c>
      <c r="C3242" s="1128">
        <v>2.0099999999999998</v>
      </c>
      <c r="D3242" s="1128">
        <v>47.37</v>
      </c>
      <c r="E3242" s="1126"/>
    </row>
    <row r="3243" spans="1:5" x14ac:dyDescent="0.2">
      <c r="A3243" s="1126" t="s">
        <v>3825</v>
      </c>
      <c r="B3243" s="1127">
        <v>146</v>
      </c>
      <c r="C3243" s="1128">
        <v>98.71</v>
      </c>
      <c r="D3243" s="1128">
        <v>199.06</v>
      </c>
      <c r="E3243" s="1126"/>
    </row>
    <row r="3244" spans="1:5" x14ac:dyDescent="0.2">
      <c r="A3244" s="1126" t="s">
        <v>3826</v>
      </c>
      <c r="B3244" s="1127">
        <v>93</v>
      </c>
      <c r="C3244" s="1128">
        <v>0</v>
      </c>
      <c r="D3244" s="1128">
        <v>26.53</v>
      </c>
      <c r="E3244" s="1126"/>
    </row>
    <row r="3245" spans="1:5" x14ac:dyDescent="0.2">
      <c r="A3245" s="1126" t="s">
        <v>3827</v>
      </c>
      <c r="B3245" s="1127">
        <v>184</v>
      </c>
      <c r="C3245" s="1128">
        <v>0</v>
      </c>
      <c r="D3245" s="1128">
        <v>58.36</v>
      </c>
      <c r="E3245" s="1126"/>
    </row>
    <row r="3246" spans="1:5" x14ac:dyDescent="0.2">
      <c r="A3246" s="1126" t="s">
        <v>3828</v>
      </c>
      <c r="B3246" s="1127">
        <v>101</v>
      </c>
      <c r="C3246" s="1128">
        <v>0</v>
      </c>
      <c r="D3246" s="1128">
        <v>37.54</v>
      </c>
      <c r="E3246" s="1126"/>
    </row>
    <row r="3247" spans="1:5" x14ac:dyDescent="0.2">
      <c r="A3247" s="1126" t="s">
        <v>3829</v>
      </c>
      <c r="B3247" s="1127">
        <v>51</v>
      </c>
      <c r="C3247" s="1128">
        <v>0</v>
      </c>
      <c r="D3247" s="1128">
        <v>4.75</v>
      </c>
      <c r="E3247" s="1126"/>
    </row>
    <row r="3248" spans="1:5" x14ac:dyDescent="0.2">
      <c r="A3248" s="1126" t="s">
        <v>3830</v>
      </c>
      <c r="B3248" s="1127">
        <v>56</v>
      </c>
      <c r="C3248" s="1128">
        <v>0</v>
      </c>
      <c r="D3248" s="1128">
        <v>9.3800000000000008</v>
      </c>
      <c r="E3248" s="1126"/>
    </row>
    <row r="3249" spans="1:5" x14ac:dyDescent="0.2">
      <c r="A3249" s="1126" t="s">
        <v>3831</v>
      </c>
      <c r="B3249" s="1127">
        <v>255</v>
      </c>
      <c r="C3249" s="1128">
        <v>212.77</v>
      </c>
      <c r="D3249" s="1128">
        <v>388.05</v>
      </c>
      <c r="E3249" s="1126"/>
    </row>
    <row r="3250" spans="1:5" x14ac:dyDescent="0.2">
      <c r="A3250" s="1126" t="s">
        <v>3832</v>
      </c>
      <c r="B3250" s="1127">
        <v>107</v>
      </c>
      <c r="C3250" s="1128">
        <v>0</v>
      </c>
      <c r="D3250" s="1128">
        <v>65.61</v>
      </c>
      <c r="E3250" s="1126"/>
    </row>
    <row r="3251" spans="1:5" x14ac:dyDescent="0.2">
      <c r="A3251" s="1126" t="s">
        <v>3833</v>
      </c>
      <c r="B3251" s="1127">
        <v>80</v>
      </c>
      <c r="C3251" s="1128">
        <v>58.62</v>
      </c>
      <c r="D3251" s="1128">
        <v>113.61</v>
      </c>
      <c r="E3251" s="1126"/>
    </row>
    <row r="3252" spans="1:5" x14ac:dyDescent="0.2">
      <c r="A3252" s="1126" t="s">
        <v>3834</v>
      </c>
      <c r="B3252" s="1127">
        <v>234</v>
      </c>
      <c r="C3252" s="1128">
        <v>57.55</v>
      </c>
      <c r="D3252" s="1128">
        <v>218.39</v>
      </c>
      <c r="E3252" s="1126"/>
    </row>
    <row r="3253" spans="1:5" x14ac:dyDescent="0.2">
      <c r="A3253" s="1126" t="s">
        <v>3835</v>
      </c>
      <c r="B3253" s="1127">
        <v>221</v>
      </c>
      <c r="C3253" s="1128">
        <v>112.75</v>
      </c>
      <c r="D3253" s="1128">
        <v>264.64999999999998</v>
      </c>
      <c r="E3253" s="1126"/>
    </row>
    <row r="3254" spans="1:5" x14ac:dyDescent="0.2">
      <c r="A3254" s="1126" t="s">
        <v>3836</v>
      </c>
      <c r="B3254" s="1127">
        <v>219</v>
      </c>
      <c r="C3254" s="1128">
        <v>0</v>
      </c>
      <c r="D3254" s="1128">
        <v>142.59</v>
      </c>
      <c r="E3254" s="1126"/>
    </row>
    <row r="3255" spans="1:5" x14ac:dyDescent="0.2">
      <c r="A3255" s="1126" t="s">
        <v>3837</v>
      </c>
      <c r="B3255" s="1127">
        <v>241</v>
      </c>
      <c r="C3255" s="1128">
        <v>0</v>
      </c>
      <c r="D3255" s="1128">
        <v>73.03</v>
      </c>
      <c r="E3255" s="1126"/>
    </row>
    <row r="3256" spans="1:5" x14ac:dyDescent="0.2">
      <c r="A3256" s="1126" t="s">
        <v>3838</v>
      </c>
      <c r="B3256" s="1127">
        <v>265</v>
      </c>
      <c r="C3256" s="1128">
        <v>0</v>
      </c>
      <c r="D3256" s="1128">
        <v>95.96</v>
      </c>
      <c r="E3256" s="1126"/>
    </row>
    <row r="3257" spans="1:5" x14ac:dyDescent="0.2">
      <c r="A3257" s="1126" t="s">
        <v>3839</v>
      </c>
      <c r="B3257" s="1127">
        <v>114</v>
      </c>
      <c r="C3257" s="1128">
        <v>21.33</v>
      </c>
      <c r="D3257" s="1128">
        <v>99.68</v>
      </c>
      <c r="E3257" s="1126"/>
    </row>
    <row r="3258" spans="1:5" x14ac:dyDescent="0.2">
      <c r="A3258" s="1126" t="s">
        <v>3840</v>
      </c>
      <c r="B3258" s="1127">
        <v>162</v>
      </c>
      <c r="C3258" s="1128">
        <v>242.6</v>
      </c>
      <c r="D3258" s="1128">
        <v>353.95</v>
      </c>
      <c r="E3258" s="1126"/>
    </row>
    <row r="3259" spans="1:5" x14ac:dyDescent="0.2">
      <c r="A3259" s="1126" t="s">
        <v>3841</v>
      </c>
      <c r="B3259" s="1127">
        <v>465</v>
      </c>
      <c r="C3259" s="1128">
        <v>199.67</v>
      </c>
      <c r="D3259" s="1128">
        <v>519.29</v>
      </c>
      <c r="E3259" s="1126"/>
    </row>
    <row r="3260" spans="1:5" x14ac:dyDescent="0.2">
      <c r="A3260" s="1126" t="s">
        <v>3842</v>
      </c>
      <c r="B3260" s="1127">
        <v>349</v>
      </c>
      <c r="C3260" s="1128">
        <v>0</v>
      </c>
      <c r="D3260" s="1128">
        <v>213.01</v>
      </c>
      <c r="E3260" s="1126"/>
    </row>
    <row r="3261" spans="1:5" x14ac:dyDescent="0.2">
      <c r="A3261" s="1126" t="s">
        <v>3843</v>
      </c>
      <c r="B3261" s="1127">
        <v>199</v>
      </c>
      <c r="C3261" s="1128">
        <v>0</v>
      </c>
      <c r="D3261" s="1128">
        <v>60.15</v>
      </c>
      <c r="E3261" s="1126"/>
    </row>
    <row r="3262" spans="1:5" x14ac:dyDescent="0.2">
      <c r="A3262" s="1126" t="s">
        <v>3844</v>
      </c>
      <c r="B3262" s="1127">
        <v>258</v>
      </c>
      <c r="C3262" s="1128">
        <v>149.09</v>
      </c>
      <c r="D3262" s="1128">
        <v>326.43</v>
      </c>
      <c r="E3262" s="1126"/>
    </row>
    <row r="3263" spans="1:5" x14ac:dyDescent="0.2">
      <c r="A3263" s="1126" t="s">
        <v>3845</v>
      </c>
      <c r="B3263" s="1127">
        <v>250</v>
      </c>
      <c r="C3263" s="1128">
        <v>77.010000000000005</v>
      </c>
      <c r="D3263" s="1128">
        <v>248.85</v>
      </c>
      <c r="E3263" s="1126"/>
    </row>
    <row r="3264" spans="1:5" x14ac:dyDescent="0.2">
      <c r="A3264" s="1126" t="s">
        <v>3846</v>
      </c>
      <c r="B3264" s="1127">
        <v>98</v>
      </c>
      <c r="C3264" s="1128">
        <v>0</v>
      </c>
      <c r="D3264" s="1128">
        <v>28.62</v>
      </c>
      <c r="E3264" s="1126"/>
    </row>
    <row r="3265" spans="1:5" x14ac:dyDescent="0.2">
      <c r="A3265" s="1126" t="s">
        <v>3847</v>
      </c>
      <c r="B3265" s="1127">
        <v>359</v>
      </c>
      <c r="C3265" s="1128">
        <v>0</v>
      </c>
      <c r="D3265" s="1128">
        <v>149.25</v>
      </c>
      <c r="E3265" s="1126"/>
    </row>
    <row r="3266" spans="1:5" x14ac:dyDescent="0.2">
      <c r="A3266" s="1126" t="s">
        <v>3848</v>
      </c>
      <c r="B3266" s="1127">
        <v>132</v>
      </c>
      <c r="C3266" s="1128">
        <v>156.69</v>
      </c>
      <c r="D3266" s="1128">
        <v>247.42</v>
      </c>
      <c r="E3266" s="1126"/>
    </row>
    <row r="3267" spans="1:5" x14ac:dyDescent="0.2">
      <c r="A3267" s="1126" t="s">
        <v>3849</v>
      </c>
      <c r="B3267" s="1127">
        <v>179</v>
      </c>
      <c r="C3267" s="1128">
        <v>0</v>
      </c>
      <c r="D3267" s="1128">
        <v>115.55</v>
      </c>
      <c r="E3267" s="1126"/>
    </row>
    <row r="3268" spans="1:5" x14ac:dyDescent="0.2">
      <c r="A3268" s="1126" t="s">
        <v>3850</v>
      </c>
      <c r="B3268" s="1127">
        <v>200</v>
      </c>
      <c r="C3268" s="1128">
        <v>0</v>
      </c>
      <c r="D3268" s="1128">
        <v>132.4</v>
      </c>
      <c r="E3268" s="1126"/>
    </row>
    <row r="3269" spans="1:5" x14ac:dyDescent="0.2">
      <c r="A3269" s="1126" t="s">
        <v>3851</v>
      </c>
      <c r="B3269" s="1127">
        <v>602</v>
      </c>
      <c r="C3269" s="1128">
        <v>0</v>
      </c>
      <c r="D3269" s="1128">
        <v>234.4</v>
      </c>
      <c r="E3269" s="1126"/>
    </row>
    <row r="3270" spans="1:5" x14ac:dyDescent="0.2">
      <c r="A3270" s="1126" t="s">
        <v>3852</v>
      </c>
      <c r="B3270" s="1127">
        <v>282</v>
      </c>
      <c r="C3270" s="1128">
        <v>0</v>
      </c>
      <c r="D3270" s="1128">
        <v>57.89</v>
      </c>
      <c r="E3270" s="1126"/>
    </row>
    <row r="3271" spans="1:5" x14ac:dyDescent="0.2">
      <c r="A3271" s="1126" t="s">
        <v>3853</v>
      </c>
      <c r="B3271" s="1127">
        <v>49</v>
      </c>
      <c r="C3271" s="1128">
        <v>0</v>
      </c>
      <c r="D3271" s="1128">
        <v>4.2300000000000004</v>
      </c>
      <c r="E3271" s="1126"/>
    </row>
    <row r="3272" spans="1:5" x14ac:dyDescent="0.2">
      <c r="A3272" s="1126" t="s">
        <v>3854</v>
      </c>
      <c r="B3272" s="1127">
        <v>143</v>
      </c>
      <c r="C3272" s="1128">
        <v>363.84</v>
      </c>
      <c r="D3272" s="1128">
        <v>462.13</v>
      </c>
      <c r="E3272" s="1126"/>
    </row>
    <row r="3273" spans="1:5" x14ac:dyDescent="0.2">
      <c r="A3273" s="1126" t="s">
        <v>3855</v>
      </c>
      <c r="B3273" s="1127">
        <v>143</v>
      </c>
      <c r="C3273" s="1128">
        <v>21.18</v>
      </c>
      <c r="D3273" s="1128">
        <v>119.47</v>
      </c>
      <c r="E3273" s="1126"/>
    </row>
    <row r="3274" spans="1:5" x14ac:dyDescent="0.2">
      <c r="A3274" s="1126" t="s">
        <v>3856</v>
      </c>
      <c r="B3274" s="1127">
        <v>417</v>
      </c>
      <c r="C3274" s="1128">
        <v>0</v>
      </c>
      <c r="D3274" s="1128">
        <v>214.46</v>
      </c>
      <c r="E3274" s="1126"/>
    </row>
    <row r="3275" spans="1:5" x14ac:dyDescent="0.2">
      <c r="A3275" s="1126" t="s">
        <v>3857</v>
      </c>
      <c r="B3275" s="1127">
        <v>269</v>
      </c>
      <c r="C3275" s="1128">
        <v>0</v>
      </c>
      <c r="D3275" s="1128">
        <v>107.97</v>
      </c>
      <c r="E3275" s="1126"/>
    </row>
    <row r="3276" spans="1:5" x14ac:dyDescent="0.2">
      <c r="A3276" s="1126" t="s">
        <v>3858</v>
      </c>
      <c r="B3276" s="1127">
        <v>209</v>
      </c>
      <c r="C3276" s="1128">
        <v>52.93</v>
      </c>
      <c r="D3276" s="1128">
        <v>196.59</v>
      </c>
      <c r="E3276" s="1126"/>
    </row>
    <row r="3277" spans="1:5" x14ac:dyDescent="0.2">
      <c r="A3277" s="1126" t="s">
        <v>3859</v>
      </c>
      <c r="B3277" s="1127">
        <v>274</v>
      </c>
      <c r="C3277" s="1128">
        <v>0</v>
      </c>
      <c r="D3277" s="1128">
        <v>128.38</v>
      </c>
      <c r="E3277" s="1126"/>
    </row>
    <row r="3278" spans="1:5" x14ac:dyDescent="0.2">
      <c r="A3278" s="1126" t="s">
        <v>3860</v>
      </c>
      <c r="B3278" s="1127">
        <v>56</v>
      </c>
      <c r="C3278" s="1128">
        <v>0</v>
      </c>
      <c r="D3278" s="1128">
        <v>26.59</v>
      </c>
      <c r="E3278" s="1126"/>
    </row>
    <row r="3279" spans="1:5" x14ac:dyDescent="0.2">
      <c r="A3279" s="1126" t="s">
        <v>3861</v>
      </c>
      <c r="B3279" s="1127">
        <v>416</v>
      </c>
      <c r="C3279" s="1128">
        <v>0</v>
      </c>
      <c r="D3279" s="1128">
        <v>107.53</v>
      </c>
      <c r="E3279" s="1126"/>
    </row>
    <row r="3280" spans="1:5" x14ac:dyDescent="0.2">
      <c r="A3280" s="1126" t="s">
        <v>3862</v>
      </c>
      <c r="B3280" s="1127">
        <v>137</v>
      </c>
      <c r="C3280" s="1128">
        <v>75.2</v>
      </c>
      <c r="D3280" s="1128">
        <v>169.37</v>
      </c>
      <c r="E3280" s="1126"/>
    </row>
    <row r="3281" spans="1:5" x14ac:dyDescent="0.2">
      <c r="A3281" s="1126" t="s">
        <v>3863</v>
      </c>
      <c r="B3281" s="1127">
        <v>195</v>
      </c>
      <c r="C3281" s="1128">
        <v>0</v>
      </c>
      <c r="D3281" s="1128">
        <v>89.83</v>
      </c>
      <c r="E3281" s="1126"/>
    </row>
    <row r="3282" spans="1:5" x14ac:dyDescent="0.2">
      <c r="A3282" s="1126" t="s">
        <v>3864</v>
      </c>
      <c r="B3282" s="1127">
        <v>115</v>
      </c>
      <c r="C3282" s="1128">
        <v>0</v>
      </c>
      <c r="D3282" s="1128">
        <v>40.29</v>
      </c>
      <c r="E3282" s="1126"/>
    </row>
    <row r="3283" spans="1:5" x14ac:dyDescent="0.2">
      <c r="A3283" s="1126" t="s">
        <v>3865</v>
      </c>
      <c r="B3283" s="1127">
        <v>212</v>
      </c>
      <c r="C3283" s="1128">
        <v>104.87</v>
      </c>
      <c r="D3283" s="1128">
        <v>250.59</v>
      </c>
      <c r="E3283" s="1126"/>
    </row>
    <row r="3284" spans="1:5" x14ac:dyDescent="0.2">
      <c r="A3284" s="1126" t="s">
        <v>3866</v>
      </c>
      <c r="B3284" s="1127">
        <v>215</v>
      </c>
      <c r="C3284" s="1128">
        <v>0</v>
      </c>
      <c r="D3284" s="1128">
        <v>82.51</v>
      </c>
      <c r="E3284" s="1126"/>
    </row>
    <row r="3285" spans="1:5" x14ac:dyDescent="0.2">
      <c r="A3285" s="1126" t="s">
        <v>3867</v>
      </c>
      <c r="B3285" s="1127">
        <v>183</v>
      </c>
      <c r="C3285" s="1128">
        <v>4.5999999999999996</v>
      </c>
      <c r="D3285" s="1128">
        <v>130.38999999999999</v>
      </c>
      <c r="E3285" s="1126"/>
    </row>
    <row r="3286" spans="1:5" x14ac:dyDescent="0.2">
      <c r="A3286" s="1126" t="s">
        <v>3868</v>
      </c>
      <c r="B3286" s="1127">
        <v>204</v>
      </c>
      <c r="C3286" s="1128">
        <v>0</v>
      </c>
      <c r="D3286" s="1128">
        <v>63.04</v>
      </c>
      <c r="E3286" s="1126"/>
    </row>
    <row r="3287" spans="1:5" x14ac:dyDescent="0.2">
      <c r="A3287" s="1126" t="s">
        <v>3869</v>
      </c>
      <c r="B3287" s="1127">
        <v>143</v>
      </c>
      <c r="C3287" s="1128">
        <v>359.7</v>
      </c>
      <c r="D3287" s="1128">
        <v>457.99</v>
      </c>
      <c r="E3287" s="1126"/>
    </row>
    <row r="3288" spans="1:5" x14ac:dyDescent="0.2">
      <c r="A3288" s="1126" t="s">
        <v>3870</v>
      </c>
      <c r="B3288" s="1127">
        <v>169</v>
      </c>
      <c r="C3288" s="1128">
        <v>0</v>
      </c>
      <c r="D3288" s="1128">
        <v>105.97</v>
      </c>
      <c r="E3288" s="1126"/>
    </row>
    <row r="3289" spans="1:5" x14ac:dyDescent="0.2">
      <c r="A3289" s="1126" t="s">
        <v>3871</v>
      </c>
      <c r="B3289" s="1127">
        <v>72</v>
      </c>
      <c r="C3289" s="1128">
        <v>1.51</v>
      </c>
      <c r="D3289" s="1128">
        <v>51</v>
      </c>
      <c r="E3289" s="1126"/>
    </row>
    <row r="3290" spans="1:5" x14ac:dyDescent="0.2">
      <c r="A3290" s="1126" t="s">
        <v>3872</v>
      </c>
      <c r="B3290" s="1127">
        <v>246</v>
      </c>
      <c r="C3290" s="1128">
        <v>0</v>
      </c>
      <c r="D3290" s="1128">
        <v>88.19</v>
      </c>
      <c r="E3290" s="1126"/>
    </row>
    <row r="3291" spans="1:5" x14ac:dyDescent="0.2">
      <c r="A3291" s="1126" t="s">
        <v>3873</v>
      </c>
      <c r="B3291" s="1127">
        <v>236</v>
      </c>
      <c r="C3291" s="1128">
        <v>86.52</v>
      </c>
      <c r="D3291" s="1128">
        <v>248.74</v>
      </c>
      <c r="E3291" s="1126"/>
    </row>
    <row r="3292" spans="1:5" x14ac:dyDescent="0.2">
      <c r="A3292" s="1126" t="s">
        <v>3874</v>
      </c>
      <c r="B3292" s="1127">
        <v>215</v>
      </c>
      <c r="C3292" s="1128">
        <v>33.07</v>
      </c>
      <c r="D3292" s="1128">
        <v>180.85</v>
      </c>
      <c r="E3292" s="1126"/>
    </row>
    <row r="3293" spans="1:5" x14ac:dyDescent="0.2">
      <c r="A3293" s="1126" t="s">
        <v>3875</v>
      </c>
      <c r="B3293" s="1127">
        <v>315</v>
      </c>
      <c r="C3293" s="1128">
        <v>0</v>
      </c>
      <c r="D3293" s="1128">
        <v>96.76</v>
      </c>
      <c r="E3293" s="1126"/>
    </row>
    <row r="3294" spans="1:5" x14ac:dyDescent="0.2">
      <c r="A3294" s="1126" t="s">
        <v>3876</v>
      </c>
      <c r="B3294" s="1127">
        <v>146</v>
      </c>
      <c r="C3294" s="1128">
        <v>25.78</v>
      </c>
      <c r="D3294" s="1128">
        <v>126.14</v>
      </c>
      <c r="E3294" s="1126"/>
    </row>
    <row r="3295" spans="1:5" x14ac:dyDescent="0.2">
      <c r="A3295" s="1126" t="s">
        <v>3877</v>
      </c>
      <c r="B3295" s="1127">
        <v>110</v>
      </c>
      <c r="C3295" s="1128">
        <v>0</v>
      </c>
      <c r="D3295" s="1128">
        <v>61.04</v>
      </c>
      <c r="E3295" s="1126"/>
    </row>
    <row r="3296" spans="1:5" x14ac:dyDescent="0.2">
      <c r="A3296" s="1126" t="s">
        <v>3878</v>
      </c>
      <c r="B3296" s="1127">
        <v>149</v>
      </c>
      <c r="C3296" s="1128">
        <v>91</v>
      </c>
      <c r="D3296" s="1128">
        <v>193.41</v>
      </c>
      <c r="E3296" s="1126"/>
    </row>
    <row r="3297" spans="1:5" x14ac:dyDescent="0.2">
      <c r="A3297" s="1126" t="s">
        <v>3879</v>
      </c>
      <c r="B3297" s="1127">
        <v>116</v>
      </c>
      <c r="C3297" s="1128">
        <v>62.28</v>
      </c>
      <c r="D3297" s="1128">
        <v>142.01</v>
      </c>
      <c r="E3297" s="1126"/>
    </row>
    <row r="3298" spans="1:5" x14ac:dyDescent="0.2">
      <c r="A3298" s="1126" t="s">
        <v>3880</v>
      </c>
      <c r="B3298" s="1127">
        <v>152</v>
      </c>
      <c r="C3298" s="1128">
        <v>77.34</v>
      </c>
      <c r="D3298" s="1128">
        <v>181.82</v>
      </c>
      <c r="E3298" s="1126"/>
    </row>
    <row r="3299" spans="1:5" x14ac:dyDescent="0.2">
      <c r="A3299" s="1126" t="s">
        <v>3881</v>
      </c>
      <c r="B3299" s="1127">
        <v>214</v>
      </c>
      <c r="C3299" s="1128">
        <v>0</v>
      </c>
      <c r="D3299" s="1128">
        <v>62.45</v>
      </c>
      <c r="E3299" s="1126"/>
    </row>
    <row r="3300" spans="1:5" x14ac:dyDescent="0.2">
      <c r="A3300" s="1126" t="s">
        <v>3882</v>
      </c>
      <c r="B3300" s="1127">
        <v>80</v>
      </c>
      <c r="C3300" s="1128">
        <v>149.09</v>
      </c>
      <c r="D3300" s="1128">
        <v>204.08</v>
      </c>
      <c r="E3300" s="1126"/>
    </row>
    <row r="3301" spans="1:5" x14ac:dyDescent="0.2">
      <c r="A3301" s="1126" t="s">
        <v>3883</v>
      </c>
      <c r="B3301" s="1127">
        <v>221</v>
      </c>
      <c r="C3301" s="1128">
        <v>0</v>
      </c>
      <c r="D3301" s="1128">
        <v>20.72</v>
      </c>
      <c r="E3301" s="1126"/>
    </row>
    <row r="3302" spans="1:5" x14ac:dyDescent="0.2">
      <c r="A3302" s="1126" t="s">
        <v>3884</v>
      </c>
      <c r="B3302" s="1127">
        <v>572</v>
      </c>
      <c r="C3302" s="1128">
        <v>0</v>
      </c>
      <c r="D3302" s="1128">
        <v>190.45</v>
      </c>
      <c r="E3302" s="1126"/>
    </row>
    <row r="3303" spans="1:5" x14ac:dyDescent="0.2">
      <c r="A3303" s="1126" t="s">
        <v>3885</v>
      </c>
      <c r="B3303" s="1127">
        <v>183</v>
      </c>
      <c r="C3303" s="1128">
        <v>0</v>
      </c>
      <c r="D3303" s="1128">
        <v>42.06</v>
      </c>
      <c r="E3303" s="1126"/>
    </row>
    <row r="3304" spans="1:5" x14ac:dyDescent="0.2">
      <c r="A3304" s="1126" t="s">
        <v>3886</v>
      </c>
      <c r="B3304" s="1127">
        <v>177</v>
      </c>
      <c r="C3304" s="1128">
        <v>43.3</v>
      </c>
      <c r="D3304" s="1128">
        <v>164.96</v>
      </c>
      <c r="E3304" s="1126"/>
    </row>
    <row r="3305" spans="1:5" x14ac:dyDescent="0.2">
      <c r="A3305" s="1126" t="s">
        <v>3887</v>
      </c>
      <c r="B3305" s="1127">
        <v>177</v>
      </c>
      <c r="C3305" s="1128">
        <v>17.97</v>
      </c>
      <c r="D3305" s="1128">
        <v>139.63999999999999</v>
      </c>
      <c r="E3305" s="1126"/>
    </row>
    <row r="3306" spans="1:5" x14ac:dyDescent="0.2">
      <c r="A3306" s="1126" t="s">
        <v>3888</v>
      </c>
      <c r="B3306" s="1127">
        <v>181</v>
      </c>
      <c r="C3306" s="1128">
        <v>128.51</v>
      </c>
      <c r="D3306" s="1128">
        <v>252.92</v>
      </c>
      <c r="E3306" s="1126"/>
    </row>
    <row r="3307" spans="1:5" x14ac:dyDescent="0.2">
      <c r="A3307" s="1126" t="s">
        <v>3889</v>
      </c>
      <c r="B3307" s="1127">
        <v>236</v>
      </c>
      <c r="C3307" s="1128">
        <v>78.33</v>
      </c>
      <c r="D3307" s="1128">
        <v>240.54</v>
      </c>
      <c r="E3307" s="1126"/>
    </row>
    <row r="3308" spans="1:5" x14ac:dyDescent="0.2">
      <c r="A3308" s="1126" t="s">
        <v>3890</v>
      </c>
      <c r="B3308" s="1127">
        <v>226</v>
      </c>
      <c r="C3308" s="1128">
        <v>0</v>
      </c>
      <c r="D3308" s="1128">
        <v>140.96</v>
      </c>
      <c r="E3308" s="1126"/>
    </row>
    <row r="3309" spans="1:5" x14ac:dyDescent="0.2">
      <c r="A3309" s="1126" t="s">
        <v>3891</v>
      </c>
      <c r="B3309" s="1127">
        <v>135</v>
      </c>
      <c r="C3309" s="1128">
        <v>0</v>
      </c>
      <c r="D3309" s="1128">
        <v>75.33</v>
      </c>
      <c r="E3309" s="1126"/>
    </row>
    <row r="3310" spans="1:5" x14ac:dyDescent="0.2">
      <c r="A3310" s="1126" t="s">
        <v>3892</v>
      </c>
      <c r="B3310" s="1127">
        <v>258</v>
      </c>
      <c r="C3310" s="1128">
        <v>0</v>
      </c>
      <c r="D3310" s="1128">
        <v>109.28</v>
      </c>
      <c r="E3310" s="1126"/>
    </row>
    <row r="3311" spans="1:5" x14ac:dyDescent="0.2">
      <c r="A3311" s="1126" t="s">
        <v>3893</v>
      </c>
      <c r="B3311" s="1127">
        <v>346</v>
      </c>
      <c r="C3311" s="1128">
        <v>104.8</v>
      </c>
      <c r="D3311" s="1128">
        <v>342.63</v>
      </c>
      <c r="E3311" s="1126"/>
    </row>
    <row r="3312" spans="1:5" x14ac:dyDescent="0.2">
      <c r="A3312" s="1126" t="s">
        <v>3894</v>
      </c>
      <c r="B3312" s="1127">
        <v>302</v>
      </c>
      <c r="C3312" s="1128">
        <v>277.38</v>
      </c>
      <c r="D3312" s="1128">
        <v>484.97</v>
      </c>
      <c r="E3312" s="1126"/>
    </row>
    <row r="3313" spans="1:5" x14ac:dyDescent="0.2">
      <c r="A3313" s="1126" t="s">
        <v>3895</v>
      </c>
      <c r="B3313" s="1127">
        <v>177</v>
      </c>
      <c r="C3313" s="1128">
        <v>16.52</v>
      </c>
      <c r="D3313" s="1128">
        <v>138.19</v>
      </c>
      <c r="E3313" s="1126"/>
    </row>
    <row r="3314" spans="1:5" x14ac:dyDescent="0.2">
      <c r="A3314" s="1126" t="s">
        <v>3896</v>
      </c>
      <c r="B3314" s="1127">
        <v>511</v>
      </c>
      <c r="C3314" s="1128">
        <v>0</v>
      </c>
      <c r="D3314" s="1128">
        <v>60.92</v>
      </c>
      <c r="E3314" s="1126"/>
    </row>
    <row r="3315" spans="1:5" x14ac:dyDescent="0.2">
      <c r="A3315" s="1126" t="s">
        <v>3897</v>
      </c>
      <c r="B3315" s="1127">
        <v>217</v>
      </c>
      <c r="C3315" s="1128">
        <v>302.42</v>
      </c>
      <c r="D3315" s="1128">
        <v>451.58</v>
      </c>
      <c r="E3315" s="1126"/>
    </row>
    <row r="3316" spans="1:5" x14ac:dyDescent="0.2">
      <c r="A3316" s="1126" t="s">
        <v>3898</v>
      </c>
      <c r="B3316" s="1127">
        <v>444</v>
      </c>
      <c r="C3316" s="1128">
        <v>0</v>
      </c>
      <c r="D3316" s="1128">
        <v>86.09</v>
      </c>
      <c r="E3316" s="1126"/>
    </row>
    <row r="3317" spans="1:5" x14ac:dyDescent="0.2">
      <c r="A3317" s="1126" t="s">
        <v>3899</v>
      </c>
      <c r="B3317" s="1127">
        <v>379</v>
      </c>
      <c r="C3317" s="1128">
        <v>0</v>
      </c>
      <c r="D3317" s="1128">
        <v>70.47</v>
      </c>
      <c r="E3317" s="1126"/>
    </row>
    <row r="3318" spans="1:5" x14ac:dyDescent="0.2">
      <c r="A3318" s="1126" t="s">
        <v>3900</v>
      </c>
      <c r="B3318" s="1127">
        <v>261</v>
      </c>
      <c r="C3318" s="1128">
        <v>0</v>
      </c>
      <c r="D3318" s="1128">
        <v>26.35</v>
      </c>
      <c r="E3318" s="1126"/>
    </row>
    <row r="3319" spans="1:5" x14ac:dyDescent="0.2">
      <c r="A3319" s="1126" t="s">
        <v>3901</v>
      </c>
      <c r="B3319" s="1127">
        <v>466</v>
      </c>
      <c r="C3319" s="1128">
        <v>0</v>
      </c>
      <c r="D3319" s="1128">
        <v>31.84</v>
      </c>
      <c r="E3319" s="1126"/>
    </row>
    <row r="3320" spans="1:5" x14ac:dyDescent="0.2">
      <c r="A3320" s="1126" t="s">
        <v>3902</v>
      </c>
      <c r="B3320" s="1127">
        <v>293</v>
      </c>
      <c r="C3320" s="1128">
        <v>0</v>
      </c>
      <c r="D3320" s="1128">
        <v>65.22</v>
      </c>
      <c r="E3320" s="1126"/>
    </row>
    <row r="3321" spans="1:5" x14ac:dyDescent="0.2">
      <c r="A3321" s="1126" t="s">
        <v>3903</v>
      </c>
      <c r="B3321" s="1127">
        <v>277</v>
      </c>
      <c r="C3321" s="1128">
        <v>0.99</v>
      </c>
      <c r="D3321" s="1128">
        <v>191.39</v>
      </c>
      <c r="E3321" s="1126"/>
    </row>
    <row r="3322" spans="1:5" x14ac:dyDescent="0.2">
      <c r="A3322" s="1126" t="s">
        <v>3904</v>
      </c>
      <c r="B3322" s="1127">
        <v>92</v>
      </c>
      <c r="C3322" s="1128">
        <v>0</v>
      </c>
      <c r="D3322" s="1128">
        <v>18.75</v>
      </c>
      <c r="E3322" s="1126"/>
    </row>
    <row r="3323" spans="1:5" x14ac:dyDescent="0.2">
      <c r="A3323" s="1126" t="s">
        <v>3905</v>
      </c>
      <c r="B3323" s="1127">
        <v>228</v>
      </c>
      <c r="C3323" s="1128">
        <v>186.19</v>
      </c>
      <c r="D3323" s="1128">
        <v>342.91</v>
      </c>
      <c r="E3323" s="1126"/>
    </row>
    <row r="3324" spans="1:5" x14ac:dyDescent="0.2">
      <c r="A3324" s="1126" t="s">
        <v>3906</v>
      </c>
      <c r="B3324" s="1127">
        <v>116</v>
      </c>
      <c r="C3324" s="1128">
        <v>161.15</v>
      </c>
      <c r="D3324" s="1128">
        <v>240.88</v>
      </c>
      <c r="E3324" s="1126"/>
    </row>
    <row r="3325" spans="1:5" x14ac:dyDescent="0.2">
      <c r="A3325" s="1126" t="s">
        <v>3907</v>
      </c>
      <c r="B3325" s="1127">
        <v>359</v>
      </c>
      <c r="C3325" s="1128">
        <v>142.12</v>
      </c>
      <c r="D3325" s="1128">
        <v>388.89</v>
      </c>
      <c r="E3325" s="1126"/>
    </row>
    <row r="3326" spans="1:5" x14ac:dyDescent="0.2">
      <c r="A3326" s="1126" t="s">
        <v>3908</v>
      </c>
      <c r="B3326" s="1127">
        <v>167</v>
      </c>
      <c r="C3326" s="1128">
        <v>0</v>
      </c>
      <c r="D3326" s="1128">
        <v>65.58</v>
      </c>
      <c r="E3326" s="1126"/>
    </row>
    <row r="3327" spans="1:5" x14ac:dyDescent="0.2">
      <c r="A3327" s="1126" t="s">
        <v>3909</v>
      </c>
      <c r="B3327" s="1127">
        <v>176</v>
      </c>
      <c r="C3327" s="1128">
        <v>89.62</v>
      </c>
      <c r="D3327" s="1128">
        <v>210.59</v>
      </c>
      <c r="E3327" s="1126"/>
    </row>
    <row r="3328" spans="1:5" x14ac:dyDescent="0.2">
      <c r="A3328" s="1126" t="s">
        <v>3910</v>
      </c>
      <c r="B3328" s="1127">
        <v>445</v>
      </c>
      <c r="C3328" s="1128">
        <v>0</v>
      </c>
      <c r="D3328" s="1128">
        <v>195.01</v>
      </c>
      <c r="E3328" s="1126"/>
    </row>
    <row r="3329" spans="1:5" x14ac:dyDescent="0.2">
      <c r="A3329" s="1126" t="s">
        <v>3911</v>
      </c>
      <c r="B3329" s="1127">
        <v>388</v>
      </c>
      <c r="C3329" s="1128">
        <v>704.36</v>
      </c>
      <c r="D3329" s="1128">
        <v>971.06</v>
      </c>
      <c r="E3329" s="1126"/>
    </row>
    <row r="3330" spans="1:5" x14ac:dyDescent="0.2">
      <c r="A3330" s="1126" t="s">
        <v>3912</v>
      </c>
      <c r="B3330" s="1127">
        <v>187</v>
      </c>
      <c r="C3330" s="1128">
        <v>0</v>
      </c>
      <c r="D3330" s="1128">
        <v>84.22</v>
      </c>
      <c r="E3330" s="1126"/>
    </row>
    <row r="3331" spans="1:5" x14ac:dyDescent="0.2">
      <c r="A3331" s="1126" t="s">
        <v>3913</v>
      </c>
      <c r="B3331" s="1127">
        <v>346</v>
      </c>
      <c r="C3331" s="1128">
        <v>121.54</v>
      </c>
      <c r="D3331" s="1128">
        <v>359.36</v>
      </c>
      <c r="E3331" s="1126"/>
    </row>
    <row r="3332" spans="1:5" x14ac:dyDescent="0.2">
      <c r="A3332" s="1126" t="s">
        <v>3914</v>
      </c>
      <c r="B3332" s="1127">
        <v>105</v>
      </c>
      <c r="C3332" s="1128">
        <v>54.45</v>
      </c>
      <c r="D3332" s="1128">
        <v>126.63</v>
      </c>
      <c r="E3332" s="1126"/>
    </row>
    <row r="3333" spans="1:5" x14ac:dyDescent="0.2">
      <c r="A3333" s="1126" t="s">
        <v>3915</v>
      </c>
      <c r="B3333" s="1127">
        <v>292</v>
      </c>
      <c r="C3333" s="1128">
        <v>0</v>
      </c>
      <c r="D3333" s="1128">
        <v>64.37</v>
      </c>
      <c r="E3333" s="1126"/>
    </row>
    <row r="3334" spans="1:5" x14ac:dyDescent="0.2">
      <c r="A3334" s="1126" t="s">
        <v>3916</v>
      </c>
      <c r="B3334" s="1127">
        <v>110</v>
      </c>
      <c r="C3334" s="1128">
        <v>0</v>
      </c>
      <c r="D3334" s="1128">
        <v>53.66</v>
      </c>
      <c r="E3334" s="1126"/>
    </row>
    <row r="3335" spans="1:5" x14ac:dyDescent="0.2">
      <c r="A3335" s="1126" t="s">
        <v>3917</v>
      </c>
      <c r="B3335" s="1127">
        <v>243</v>
      </c>
      <c r="C3335" s="1128">
        <v>61.4</v>
      </c>
      <c r="D3335" s="1128">
        <v>228.43</v>
      </c>
      <c r="E3335" s="1126"/>
    </row>
    <row r="3336" spans="1:5" x14ac:dyDescent="0.2">
      <c r="A3336" s="1126" t="s">
        <v>3918</v>
      </c>
      <c r="B3336" s="1127">
        <v>71</v>
      </c>
      <c r="C3336" s="1128">
        <v>2.67</v>
      </c>
      <c r="D3336" s="1128">
        <v>51.48</v>
      </c>
      <c r="E3336" s="1126"/>
    </row>
    <row r="3337" spans="1:5" x14ac:dyDescent="0.2">
      <c r="A3337" s="1126" t="s">
        <v>3919</v>
      </c>
      <c r="B3337" s="1127">
        <v>90</v>
      </c>
      <c r="C3337" s="1128">
        <v>0</v>
      </c>
      <c r="D3337" s="1128">
        <v>50.54</v>
      </c>
      <c r="E3337" s="1126"/>
    </row>
    <row r="3338" spans="1:5" x14ac:dyDescent="0.2">
      <c r="A3338" s="1126" t="s">
        <v>3920</v>
      </c>
      <c r="B3338" s="1127">
        <v>101</v>
      </c>
      <c r="C3338" s="1128">
        <v>137.97</v>
      </c>
      <c r="D3338" s="1128">
        <v>207.4</v>
      </c>
      <c r="E3338" s="1126"/>
    </row>
    <row r="3339" spans="1:5" x14ac:dyDescent="0.2">
      <c r="A3339" s="1126" t="s">
        <v>3921</v>
      </c>
      <c r="B3339" s="1127">
        <v>175</v>
      </c>
      <c r="C3339" s="1128">
        <v>0</v>
      </c>
      <c r="D3339" s="1128">
        <v>91.5</v>
      </c>
      <c r="E3339" s="1126"/>
    </row>
    <row r="3340" spans="1:5" x14ac:dyDescent="0.2">
      <c r="A3340" s="1126" t="s">
        <v>3922</v>
      </c>
      <c r="B3340" s="1127">
        <v>446</v>
      </c>
      <c r="C3340" s="1128">
        <v>545.13</v>
      </c>
      <c r="D3340" s="1128">
        <v>851.69</v>
      </c>
      <c r="E3340" s="1126"/>
    </row>
    <row r="3341" spans="1:5" x14ac:dyDescent="0.2">
      <c r="A3341" s="1126" t="s">
        <v>3923</v>
      </c>
      <c r="B3341" s="1127">
        <v>236</v>
      </c>
      <c r="C3341" s="1128">
        <v>297.95999999999998</v>
      </c>
      <c r="D3341" s="1128">
        <v>460.17</v>
      </c>
      <c r="E3341" s="1126"/>
    </row>
    <row r="3342" spans="1:5" x14ac:dyDescent="0.2">
      <c r="A3342" s="1126" t="s">
        <v>3924</v>
      </c>
      <c r="B3342" s="1127">
        <v>60</v>
      </c>
      <c r="C3342" s="1128">
        <v>0</v>
      </c>
      <c r="D3342" s="1128">
        <v>0</v>
      </c>
      <c r="E3342" s="1126"/>
    </row>
    <row r="3343" spans="1:5" x14ac:dyDescent="0.2">
      <c r="A3343" s="1126" t="s">
        <v>3925</v>
      </c>
      <c r="B3343" s="1127">
        <v>358</v>
      </c>
      <c r="C3343" s="1128">
        <v>0</v>
      </c>
      <c r="D3343" s="1128">
        <v>59.51</v>
      </c>
      <c r="E3343" s="1126"/>
    </row>
    <row r="3344" spans="1:5" x14ac:dyDescent="0.2">
      <c r="A3344" s="1126" t="s">
        <v>3926</v>
      </c>
      <c r="B3344" s="1127">
        <v>47</v>
      </c>
      <c r="C3344" s="1128">
        <v>0</v>
      </c>
      <c r="D3344" s="1128">
        <v>26.06</v>
      </c>
      <c r="E3344" s="1126"/>
    </row>
    <row r="3345" spans="1:5" x14ac:dyDescent="0.2">
      <c r="A3345" s="1126" t="s">
        <v>3927</v>
      </c>
      <c r="B3345" s="1127">
        <v>131</v>
      </c>
      <c r="C3345" s="1128">
        <v>0.4</v>
      </c>
      <c r="D3345" s="1128">
        <v>90.45</v>
      </c>
      <c r="E3345" s="1126"/>
    </row>
    <row r="3346" spans="1:5" x14ac:dyDescent="0.2">
      <c r="A3346" s="1126" t="s">
        <v>3928</v>
      </c>
      <c r="B3346" s="1127">
        <v>338</v>
      </c>
      <c r="C3346" s="1128">
        <v>0</v>
      </c>
      <c r="D3346" s="1128">
        <v>64.09</v>
      </c>
      <c r="E3346" s="1126"/>
    </row>
    <row r="3347" spans="1:5" x14ac:dyDescent="0.2">
      <c r="A3347" s="1126" t="s">
        <v>3929</v>
      </c>
      <c r="B3347" s="1127">
        <v>224</v>
      </c>
      <c r="C3347" s="1128">
        <v>87.56</v>
      </c>
      <c r="D3347" s="1128">
        <v>241.53</v>
      </c>
      <c r="E3347" s="1126"/>
    </row>
    <row r="3348" spans="1:5" x14ac:dyDescent="0.2">
      <c r="A3348" s="1126" t="s">
        <v>3930</v>
      </c>
      <c r="B3348" s="1127">
        <v>53</v>
      </c>
      <c r="C3348" s="1128">
        <v>10.78</v>
      </c>
      <c r="D3348" s="1128">
        <v>47.21</v>
      </c>
      <c r="E3348" s="1126"/>
    </row>
    <row r="3349" spans="1:5" x14ac:dyDescent="0.2">
      <c r="A3349" s="1126" t="s">
        <v>3931</v>
      </c>
      <c r="B3349" s="1127">
        <v>172</v>
      </c>
      <c r="C3349" s="1128">
        <v>539.77</v>
      </c>
      <c r="D3349" s="1128">
        <v>658</v>
      </c>
      <c r="E3349" s="1126"/>
    </row>
    <row r="3350" spans="1:5" x14ac:dyDescent="0.2">
      <c r="A3350" s="1126" t="s">
        <v>3932</v>
      </c>
      <c r="B3350" s="1127">
        <v>284</v>
      </c>
      <c r="C3350" s="1128">
        <v>0</v>
      </c>
      <c r="D3350" s="1128">
        <v>36.72</v>
      </c>
      <c r="E3350" s="1126"/>
    </row>
    <row r="3351" spans="1:5" x14ac:dyDescent="0.2">
      <c r="A3351" s="1126" t="s">
        <v>3933</v>
      </c>
      <c r="B3351" s="1127">
        <v>172</v>
      </c>
      <c r="C3351" s="1128">
        <v>0</v>
      </c>
      <c r="D3351" s="1128">
        <v>38.03</v>
      </c>
      <c r="E3351" s="1126"/>
    </row>
    <row r="3352" spans="1:5" x14ac:dyDescent="0.2">
      <c r="A3352" s="1126" t="s">
        <v>3934</v>
      </c>
      <c r="B3352" s="1127">
        <v>137</v>
      </c>
      <c r="C3352" s="1128">
        <v>102.06</v>
      </c>
      <c r="D3352" s="1128">
        <v>196.23</v>
      </c>
      <c r="E3352" s="1126"/>
    </row>
    <row r="3353" spans="1:5" x14ac:dyDescent="0.2">
      <c r="A3353" s="1126" t="s">
        <v>3935</v>
      </c>
      <c r="B3353" s="1127">
        <v>43</v>
      </c>
      <c r="C3353" s="1128">
        <v>0</v>
      </c>
      <c r="D3353" s="1128">
        <v>4.72</v>
      </c>
      <c r="E3353" s="1126"/>
    </row>
    <row r="3354" spans="1:5" x14ac:dyDescent="0.2">
      <c r="A3354" s="1126" t="s">
        <v>3936</v>
      </c>
      <c r="B3354" s="1127">
        <v>345</v>
      </c>
      <c r="C3354" s="1128">
        <v>552.16</v>
      </c>
      <c r="D3354" s="1128">
        <v>789.3</v>
      </c>
      <c r="E3354" s="1126"/>
    </row>
    <row r="3355" spans="1:5" x14ac:dyDescent="0.2">
      <c r="A3355" s="1126" t="s">
        <v>3937</v>
      </c>
      <c r="B3355" s="1127">
        <v>85</v>
      </c>
      <c r="C3355" s="1128">
        <v>0</v>
      </c>
      <c r="D3355" s="1128">
        <v>40.659999999999997</v>
      </c>
      <c r="E3355" s="1126"/>
    </row>
    <row r="3356" spans="1:5" x14ac:dyDescent="0.2">
      <c r="A3356" s="1126" t="s">
        <v>3938</v>
      </c>
      <c r="B3356" s="1127">
        <v>177</v>
      </c>
      <c r="C3356" s="1128">
        <v>113.95</v>
      </c>
      <c r="D3356" s="1128">
        <v>235.62</v>
      </c>
      <c r="E3356" s="1126"/>
    </row>
    <row r="3357" spans="1:5" x14ac:dyDescent="0.2">
      <c r="A3357" s="1126" t="s">
        <v>3939</v>
      </c>
      <c r="B3357" s="1127">
        <v>182</v>
      </c>
      <c r="C3357" s="1128">
        <v>0</v>
      </c>
      <c r="D3357" s="1128">
        <v>82.06</v>
      </c>
      <c r="E3357" s="1126"/>
    </row>
    <row r="3358" spans="1:5" x14ac:dyDescent="0.2">
      <c r="A3358" s="1126" t="s">
        <v>3940</v>
      </c>
      <c r="B3358" s="1127">
        <v>97</v>
      </c>
      <c r="C3358" s="1128">
        <v>28.3</v>
      </c>
      <c r="D3358" s="1128">
        <v>94.98</v>
      </c>
      <c r="E3358" s="1126"/>
    </row>
    <row r="3359" spans="1:5" x14ac:dyDescent="0.2">
      <c r="A3359" s="1126" t="s">
        <v>3941</v>
      </c>
      <c r="B3359" s="1127">
        <v>69</v>
      </c>
      <c r="C3359" s="1128">
        <v>0</v>
      </c>
      <c r="D3359" s="1128">
        <v>40.299999999999997</v>
      </c>
      <c r="E3359" s="1126"/>
    </row>
    <row r="3360" spans="1:5" x14ac:dyDescent="0.2">
      <c r="A3360" s="1126" t="s">
        <v>3942</v>
      </c>
      <c r="B3360" s="1127">
        <v>407</v>
      </c>
      <c r="C3360" s="1128">
        <v>104.26</v>
      </c>
      <c r="D3360" s="1128">
        <v>384.02</v>
      </c>
      <c r="E3360" s="1126"/>
    </row>
    <row r="3361" spans="1:5" x14ac:dyDescent="0.2">
      <c r="A3361" s="1126" t="s">
        <v>3943</v>
      </c>
      <c r="B3361" s="1127">
        <v>62</v>
      </c>
      <c r="C3361" s="1128">
        <v>0</v>
      </c>
      <c r="D3361" s="1128">
        <v>16.45</v>
      </c>
      <c r="E3361" s="1126"/>
    </row>
    <row r="3362" spans="1:5" x14ac:dyDescent="0.2">
      <c r="A3362" s="1126" t="s">
        <v>3944</v>
      </c>
      <c r="B3362" s="1127">
        <v>204</v>
      </c>
      <c r="C3362" s="1128">
        <v>0</v>
      </c>
      <c r="D3362" s="1128">
        <v>125.04</v>
      </c>
      <c r="E3362" s="1126"/>
    </row>
    <row r="3363" spans="1:5" x14ac:dyDescent="0.2">
      <c r="A3363" s="1126" t="s">
        <v>3945</v>
      </c>
      <c r="B3363" s="1127">
        <v>393</v>
      </c>
      <c r="C3363" s="1128">
        <v>34.729999999999997</v>
      </c>
      <c r="D3363" s="1128">
        <v>304.87</v>
      </c>
      <c r="E3363" s="1126"/>
    </row>
    <row r="3364" spans="1:5" x14ac:dyDescent="0.2">
      <c r="A3364" s="1126" t="s">
        <v>3946</v>
      </c>
      <c r="B3364" s="1127">
        <v>524</v>
      </c>
      <c r="C3364" s="1128">
        <v>0</v>
      </c>
      <c r="D3364" s="1128">
        <v>160.03</v>
      </c>
      <c r="E3364" s="1126"/>
    </row>
    <row r="3365" spans="1:5" x14ac:dyDescent="0.2">
      <c r="A3365" s="1126" t="s">
        <v>3947</v>
      </c>
      <c r="B3365" s="1127">
        <v>168</v>
      </c>
      <c r="C3365" s="1128">
        <v>0</v>
      </c>
      <c r="D3365" s="1128">
        <v>75.12</v>
      </c>
      <c r="E3365" s="1126"/>
    </row>
    <row r="3366" spans="1:5" x14ac:dyDescent="0.2">
      <c r="A3366" s="1126" t="s">
        <v>3948</v>
      </c>
      <c r="B3366" s="1127">
        <v>308</v>
      </c>
      <c r="C3366" s="1128">
        <v>181.14</v>
      </c>
      <c r="D3366" s="1128">
        <v>392.85</v>
      </c>
      <c r="E3366" s="1126"/>
    </row>
    <row r="3367" spans="1:5" x14ac:dyDescent="0.2">
      <c r="A3367" s="1126" t="s">
        <v>3949</v>
      </c>
      <c r="B3367" s="1127">
        <v>49</v>
      </c>
      <c r="C3367" s="1128">
        <v>0</v>
      </c>
      <c r="D3367" s="1128">
        <v>5.18</v>
      </c>
      <c r="E3367" s="1126"/>
    </row>
    <row r="3368" spans="1:5" x14ac:dyDescent="0.2">
      <c r="A3368" s="1126" t="s">
        <v>3950</v>
      </c>
      <c r="B3368" s="1127">
        <v>168</v>
      </c>
      <c r="C3368" s="1128">
        <v>23.55</v>
      </c>
      <c r="D3368" s="1128">
        <v>139.03</v>
      </c>
      <c r="E3368" s="1126"/>
    </row>
    <row r="3369" spans="1:5" x14ac:dyDescent="0.2">
      <c r="A3369" s="1126" t="s">
        <v>3951</v>
      </c>
      <c r="B3369" s="1127">
        <v>144</v>
      </c>
      <c r="C3369" s="1128">
        <v>0</v>
      </c>
      <c r="D3369" s="1128">
        <v>58.01</v>
      </c>
      <c r="E3369" s="1126"/>
    </row>
    <row r="3370" spans="1:5" x14ac:dyDescent="0.2">
      <c r="A3370" s="1126" t="s">
        <v>3952</v>
      </c>
      <c r="B3370" s="1127">
        <v>233</v>
      </c>
      <c r="C3370" s="1128">
        <v>0</v>
      </c>
      <c r="D3370" s="1128">
        <v>89.02</v>
      </c>
      <c r="E3370" s="1126"/>
    </row>
    <row r="3371" spans="1:5" x14ac:dyDescent="0.2">
      <c r="A3371" s="1126" t="s">
        <v>3953</v>
      </c>
      <c r="B3371" s="1127">
        <v>364</v>
      </c>
      <c r="C3371" s="1128">
        <v>0</v>
      </c>
      <c r="D3371" s="1128">
        <v>31.56</v>
      </c>
      <c r="E3371" s="1126"/>
    </row>
    <row r="3372" spans="1:5" x14ac:dyDescent="0.2">
      <c r="A3372" s="1126" t="s">
        <v>3954</v>
      </c>
      <c r="B3372" s="1127">
        <v>175</v>
      </c>
      <c r="C3372" s="1128">
        <v>237.29</v>
      </c>
      <c r="D3372" s="1128">
        <v>357.58</v>
      </c>
      <c r="E3372" s="1126"/>
    </row>
    <row r="3373" spans="1:5" x14ac:dyDescent="0.2">
      <c r="A3373" s="1126" t="s">
        <v>3955</v>
      </c>
      <c r="B3373" s="1127">
        <v>258</v>
      </c>
      <c r="C3373" s="1128">
        <v>164.96</v>
      </c>
      <c r="D3373" s="1128">
        <v>342.3</v>
      </c>
      <c r="E3373" s="1126"/>
    </row>
    <row r="3374" spans="1:5" x14ac:dyDescent="0.2">
      <c r="A3374" s="1126" t="s">
        <v>3956</v>
      </c>
      <c r="B3374" s="1127">
        <v>412</v>
      </c>
      <c r="C3374" s="1128">
        <v>15.52</v>
      </c>
      <c r="D3374" s="1128">
        <v>298.70999999999998</v>
      </c>
      <c r="E3374" s="1126"/>
    </row>
    <row r="3375" spans="1:5" x14ac:dyDescent="0.2">
      <c r="A3375" s="1126" t="s">
        <v>3957</v>
      </c>
      <c r="B3375" s="1127">
        <v>172</v>
      </c>
      <c r="C3375" s="1128">
        <v>0</v>
      </c>
      <c r="D3375" s="1128">
        <v>30.01</v>
      </c>
      <c r="E3375" s="1126"/>
    </row>
    <row r="3376" spans="1:5" x14ac:dyDescent="0.2">
      <c r="A3376" s="1126" t="s">
        <v>3958</v>
      </c>
      <c r="B3376" s="1127">
        <v>248</v>
      </c>
      <c r="C3376" s="1128">
        <v>59.8</v>
      </c>
      <c r="D3376" s="1128">
        <v>230.26</v>
      </c>
      <c r="E3376" s="1126"/>
    </row>
    <row r="3377" spans="1:5" x14ac:dyDescent="0.2">
      <c r="A3377" s="1126" t="s">
        <v>3959</v>
      </c>
      <c r="B3377" s="1127">
        <v>169</v>
      </c>
      <c r="C3377" s="1128">
        <v>0</v>
      </c>
      <c r="D3377" s="1128">
        <v>104.03</v>
      </c>
      <c r="E3377" s="1126"/>
    </row>
    <row r="3378" spans="1:5" x14ac:dyDescent="0.2">
      <c r="A3378" s="1126" t="s">
        <v>3960</v>
      </c>
      <c r="B3378" s="1127">
        <v>59</v>
      </c>
      <c r="C3378" s="1128">
        <v>0</v>
      </c>
      <c r="D3378" s="1128">
        <v>19.3</v>
      </c>
      <c r="E3378" s="1126"/>
    </row>
    <row r="3379" spans="1:5" x14ac:dyDescent="0.2">
      <c r="A3379" s="1126" t="s">
        <v>3961</v>
      </c>
      <c r="B3379" s="1127">
        <v>384</v>
      </c>
      <c r="C3379" s="1128">
        <v>811.11</v>
      </c>
      <c r="D3379" s="1128">
        <v>1075.06</v>
      </c>
      <c r="E3379" s="1126"/>
    </row>
    <row r="3380" spans="1:5" x14ac:dyDescent="0.2">
      <c r="A3380" s="1126" t="s">
        <v>3962</v>
      </c>
      <c r="B3380" s="1127">
        <v>165</v>
      </c>
      <c r="C3380" s="1128">
        <v>0</v>
      </c>
      <c r="D3380" s="1128">
        <v>33.71</v>
      </c>
      <c r="E3380" s="1126"/>
    </row>
    <row r="3381" spans="1:5" x14ac:dyDescent="0.2">
      <c r="A3381" s="1126" t="s">
        <v>3963</v>
      </c>
      <c r="B3381" s="1127">
        <v>257</v>
      </c>
      <c r="C3381" s="1128">
        <v>423.86</v>
      </c>
      <c r="D3381" s="1128">
        <v>600.51</v>
      </c>
      <c r="E3381" s="1126"/>
    </row>
    <row r="3382" spans="1:5" x14ac:dyDescent="0.2">
      <c r="A3382" s="1126" t="s">
        <v>3964</v>
      </c>
      <c r="B3382" s="1127">
        <v>301</v>
      </c>
      <c r="C3382" s="1128">
        <v>0</v>
      </c>
      <c r="D3382" s="1128">
        <v>161.94999999999999</v>
      </c>
      <c r="E3382" s="1126"/>
    </row>
    <row r="3383" spans="1:5" x14ac:dyDescent="0.2">
      <c r="A3383" s="1126" t="s">
        <v>3965</v>
      </c>
      <c r="B3383" s="1127">
        <v>74</v>
      </c>
      <c r="C3383" s="1128">
        <v>1.23</v>
      </c>
      <c r="D3383" s="1128">
        <v>52.1</v>
      </c>
      <c r="E3383" s="1126"/>
    </row>
    <row r="3384" spans="1:5" x14ac:dyDescent="0.2">
      <c r="A3384" s="1126" t="s">
        <v>3966</v>
      </c>
      <c r="B3384" s="1127">
        <v>41</v>
      </c>
      <c r="C3384" s="1128">
        <v>47.51</v>
      </c>
      <c r="D3384" s="1128">
        <v>75.69</v>
      </c>
      <c r="E3384" s="1126"/>
    </row>
    <row r="3385" spans="1:5" x14ac:dyDescent="0.2">
      <c r="A3385" s="1126" t="s">
        <v>3967</v>
      </c>
      <c r="B3385" s="1127">
        <v>150</v>
      </c>
      <c r="C3385" s="1128">
        <v>40.1</v>
      </c>
      <c r="D3385" s="1128">
        <v>143.19999999999999</v>
      </c>
      <c r="E3385" s="1126"/>
    </row>
    <row r="3386" spans="1:5" x14ac:dyDescent="0.2">
      <c r="A3386" s="1126" t="s">
        <v>3968</v>
      </c>
      <c r="B3386" s="1127">
        <v>103</v>
      </c>
      <c r="C3386" s="1128">
        <v>8.07</v>
      </c>
      <c r="D3386" s="1128">
        <v>78.87</v>
      </c>
      <c r="E3386" s="1126"/>
    </row>
    <row r="3387" spans="1:5" x14ac:dyDescent="0.2">
      <c r="A3387" s="1126" t="s">
        <v>3969</v>
      </c>
      <c r="B3387" s="1127">
        <v>124</v>
      </c>
      <c r="C3387" s="1128">
        <v>1.62</v>
      </c>
      <c r="D3387" s="1128">
        <v>86.85</v>
      </c>
      <c r="E3387" s="1126"/>
    </row>
    <row r="3388" spans="1:5" x14ac:dyDescent="0.2">
      <c r="A3388" s="1126" t="s">
        <v>3970</v>
      </c>
      <c r="B3388" s="1127">
        <v>322</v>
      </c>
      <c r="C3388" s="1128">
        <v>0</v>
      </c>
      <c r="D3388" s="1128">
        <v>205.71</v>
      </c>
      <c r="E3388" s="1126"/>
    </row>
    <row r="3389" spans="1:5" x14ac:dyDescent="0.2">
      <c r="A3389" s="1126" t="s">
        <v>3971</v>
      </c>
      <c r="B3389" s="1127">
        <v>141</v>
      </c>
      <c r="C3389" s="1128">
        <v>0</v>
      </c>
      <c r="D3389" s="1128">
        <v>42.24</v>
      </c>
      <c r="E3389" s="1126"/>
    </row>
    <row r="3390" spans="1:5" x14ac:dyDescent="0.2">
      <c r="A3390" s="1126" t="s">
        <v>3972</v>
      </c>
      <c r="B3390" s="1127">
        <v>232</v>
      </c>
      <c r="C3390" s="1128">
        <v>185.95</v>
      </c>
      <c r="D3390" s="1128">
        <v>345.42</v>
      </c>
      <c r="E3390" s="1126"/>
    </row>
    <row r="3391" spans="1:5" x14ac:dyDescent="0.2">
      <c r="A3391" s="1126" t="s">
        <v>3973</v>
      </c>
      <c r="B3391" s="1127">
        <v>111</v>
      </c>
      <c r="C3391" s="1128">
        <v>0</v>
      </c>
      <c r="D3391" s="1128">
        <v>73.209999999999994</v>
      </c>
      <c r="E3391" s="1126"/>
    </row>
    <row r="3392" spans="1:5" x14ac:dyDescent="0.2">
      <c r="A3392" s="1126" t="s">
        <v>3974</v>
      </c>
      <c r="B3392" s="1127">
        <v>360</v>
      </c>
      <c r="C3392" s="1128">
        <v>575.36</v>
      </c>
      <c r="D3392" s="1128">
        <v>822.82</v>
      </c>
      <c r="E3392" s="1126"/>
    </row>
    <row r="3393" spans="1:5" x14ac:dyDescent="0.2">
      <c r="A3393" s="1126" t="s">
        <v>3975</v>
      </c>
      <c r="B3393" s="1127">
        <v>197</v>
      </c>
      <c r="C3393" s="1128">
        <v>0</v>
      </c>
      <c r="D3393" s="1128">
        <v>76.92</v>
      </c>
      <c r="E3393" s="1126"/>
    </row>
    <row r="3394" spans="1:5" x14ac:dyDescent="0.2">
      <c r="A3394" s="1126" t="s">
        <v>3976</v>
      </c>
      <c r="B3394" s="1127">
        <v>73</v>
      </c>
      <c r="C3394" s="1128">
        <v>0</v>
      </c>
      <c r="D3394" s="1128">
        <v>7.41</v>
      </c>
      <c r="E3394" s="1126"/>
    </row>
    <row r="3395" spans="1:5" x14ac:dyDescent="0.2">
      <c r="A3395" s="1126" t="s">
        <v>3977</v>
      </c>
      <c r="B3395" s="1127">
        <v>202</v>
      </c>
      <c r="C3395" s="1128">
        <v>0</v>
      </c>
      <c r="D3395" s="1128">
        <v>97.53</v>
      </c>
      <c r="E3395" s="1126"/>
    </row>
    <row r="3396" spans="1:5" x14ac:dyDescent="0.2">
      <c r="A3396" s="1126" t="s">
        <v>3978</v>
      </c>
      <c r="B3396" s="1127">
        <v>180</v>
      </c>
      <c r="C3396" s="1128">
        <v>0</v>
      </c>
      <c r="D3396" s="1128">
        <v>0</v>
      </c>
      <c r="E3396" s="1126"/>
    </row>
    <row r="3397" spans="1:5" x14ac:dyDescent="0.2">
      <c r="A3397" s="1126" t="s">
        <v>3979</v>
      </c>
      <c r="B3397" s="1127">
        <v>79</v>
      </c>
      <c r="C3397" s="1128">
        <v>0</v>
      </c>
      <c r="D3397" s="1128">
        <v>42.55</v>
      </c>
      <c r="E3397" s="1126"/>
    </row>
    <row r="3398" spans="1:5" x14ac:dyDescent="0.2">
      <c r="A3398" s="1126" t="s">
        <v>3980</v>
      </c>
      <c r="B3398" s="1127">
        <v>190</v>
      </c>
      <c r="C3398" s="1128">
        <v>0</v>
      </c>
      <c r="D3398" s="1128">
        <v>67.069999999999993</v>
      </c>
      <c r="E3398" s="1126"/>
    </row>
    <row r="3399" spans="1:5" x14ac:dyDescent="0.2">
      <c r="A3399" s="1126" t="s">
        <v>3981</v>
      </c>
      <c r="B3399" s="1127">
        <v>99</v>
      </c>
      <c r="C3399" s="1128">
        <v>161.03</v>
      </c>
      <c r="D3399" s="1128">
        <v>229.08</v>
      </c>
      <c r="E3399" s="1126"/>
    </row>
    <row r="3400" spans="1:5" x14ac:dyDescent="0.2">
      <c r="A3400" s="1126" t="s">
        <v>3982</v>
      </c>
      <c r="B3400" s="1127">
        <v>85</v>
      </c>
      <c r="C3400" s="1128">
        <v>0</v>
      </c>
      <c r="D3400" s="1128">
        <v>19.37</v>
      </c>
      <c r="E3400" s="1126"/>
    </row>
    <row r="3401" spans="1:5" x14ac:dyDescent="0.2">
      <c r="A3401" s="1126" t="s">
        <v>3983</v>
      </c>
      <c r="B3401" s="1127">
        <v>291</v>
      </c>
      <c r="C3401" s="1128">
        <v>0</v>
      </c>
      <c r="D3401" s="1128">
        <v>103.42</v>
      </c>
      <c r="E3401" s="1126"/>
    </row>
    <row r="3402" spans="1:5" x14ac:dyDescent="0.2">
      <c r="A3402" s="1126" t="s">
        <v>3984</v>
      </c>
      <c r="B3402" s="1127">
        <v>147</v>
      </c>
      <c r="C3402" s="1128">
        <v>12.83</v>
      </c>
      <c r="D3402" s="1128">
        <v>113.87</v>
      </c>
      <c r="E3402" s="1126"/>
    </row>
    <row r="3403" spans="1:5" x14ac:dyDescent="0.2">
      <c r="A3403" s="1126" t="s">
        <v>3985</v>
      </c>
      <c r="B3403" s="1127">
        <v>348</v>
      </c>
      <c r="C3403" s="1128">
        <v>1000.35</v>
      </c>
      <c r="D3403" s="1128">
        <v>1239.55</v>
      </c>
      <c r="E3403" s="1126"/>
    </row>
    <row r="3404" spans="1:5" x14ac:dyDescent="0.2">
      <c r="A3404" s="1126" t="s">
        <v>3986</v>
      </c>
      <c r="B3404" s="1127">
        <v>171</v>
      </c>
      <c r="C3404" s="1128">
        <v>364.75</v>
      </c>
      <c r="D3404" s="1128">
        <v>482.29</v>
      </c>
      <c r="E3404" s="1126"/>
    </row>
    <row r="3405" spans="1:5" x14ac:dyDescent="0.2">
      <c r="A3405" s="1126" t="s">
        <v>3987</v>
      </c>
      <c r="B3405" s="1127">
        <v>39</v>
      </c>
      <c r="C3405" s="1128">
        <v>115.25</v>
      </c>
      <c r="D3405" s="1128">
        <v>142.06</v>
      </c>
      <c r="E3405" s="1126" t="s">
        <v>669</v>
      </c>
    </row>
    <row r="3406" spans="1:5" x14ac:dyDescent="0.2">
      <c r="A3406" s="1126" t="s">
        <v>3988</v>
      </c>
      <c r="B3406" s="1127">
        <v>93</v>
      </c>
      <c r="C3406" s="1128">
        <v>116</v>
      </c>
      <c r="D3406" s="1128">
        <v>179.92</v>
      </c>
      <c r="E3406" s="1126"/>
    </row>
    <row r="3407" spans="1:5" x14ac:dyDescent="0.2">
      <c r="A3407" s="1126" t="s">
        <v>3989</v>
      </c>
      <c r="B3407" s="1127">
        <v>89</v>
      </c>
      <c r="C3407" s="1128">
        <v>73.95</v>
      </c>
      <c r="D3407" s="1128">
        <v>135.13</v>
      </c>
      <c r="E3407" s="1126"/>
    </row>
    <row r="3408" spans="1:5" x14ac:dyDescent="0.2">
      <c r="A3408" s="1126" t="s">
        <v>3990</v>
      </c>
      <c r="B3408" s="1127">
        <v>39</v>
      </c>
      <c r="C3408" s="1128">
        <v>9.34</v>
      </c>
      <c r="D3408" s="1128">
        <v>36.15</v>
      </c>
      <c r="E3408" s="1126" t="s">
        <v>669</v>
      </c>
    </row>
    <row r="3409" spans="1:5" x14ac:dyDescent="0.2">
      <c r="A3409" s="1126" t="s">
        <v>3991</v>
      </c>
      <c r="B3409" s="1127">
        <v>584</v>
      </c>
      <c r="C3409" s="1128">
        <v>0</v>
      </c>
      <c r="D3409" s="1128">
        <v>311.60000000000002</v>
      </c>
      <c r="E3409" s="1126"/>
    </row>
    <row r="3410" spans="1:5" x14ac:dyDescent="0.2">
      <c r="A3410" s="1126" t="s">
        <v>3992</v>
      </c>
      <c r="B3410" s="1127">
        <v>92</v>
      </c>
      <c r="C3410" s="1128">
        <v>147.02000000000001</v>
      </c>
      <c r="D3410" s="1128">
        <v>210.26</v>
      </c>
      <c r="E3410" s="1126"/>
    </row>
    <row r="3411" spans="1:5" x14ac:dyDescent="0.2">
      <c r="A3411" s="1126" t="s">
        <v>3993</v>
      </c>
      <c r="B3411" s="1127">
        <v>84</v>
      </c>
      <c r="C3411" s="1128">
        <v>90.11</v>
      </c>
      <c r="D3411" s="1128">
        <v>147.85</v>
      </c>
      <c r="E3411" s="1126"/>
    </row>
    <row r="3412" spans="1:5" x14ac:dyDescent="0.2">
      <c r="A3412" s="1126" t="s">
        <v>3994</v>
      </c>
      <c r="B3412" s="1127">
        <v>181</v>
      </c>
      <c r="C3412" s="1128">
        <v>67.91</v>
      </c>
      <c r="D3412" s="1128">
        <v>192.33</v>
      </c>
      <c r="E3412" s="1126"/>
    </row>
    <row r="3413" spans="1:5" x14ac:dyDescent="0.2">
      <c r="A3413" s="1126" t="s">
        <v>3995</v>
      </c>
      <c r="B3413" s="1127">
        <v>425</v>
      </c>
      <c r="C3413" s="1128">
        <v>0</v>
      </c>
      <c r="D3413" s="1128">
        <v>158.85</v>
      </c>
      <c r="E3413" s="1126"/>
    </row>
    <row r="3414" spans="1:5" x14ac:dyDescent="0.2">
      <c r="A3414" s="1126" t="s">
        <v>3996</v>
      </c>
      <c r="B3414" s="1127">
        <v>636</v>
      </c>
      <c r="C3414" s="1128">
        <v>0</v>
      </c>
      <c r="D3414" s="1128">
        <v>204.21</v>
      </c>
      <c r="E3414" s="1126"/>
    </row>
    <row r="3415" spans="1:5" x14ac:dyDescent="0.2">
      <c r="A3415" s="1126" t="s">
        <v>3997</v>
      </c>
      <c r="B3415" s="1127">
        <v>267</v>
      </c>
      <c r="C3415" s="1128">
        <v>0</v>
      </c>
      <c r="D3415" s="1128">
        <v>55.13</v>
      </c>
      <c r="E3415" s="1126"/>
    </row>
    <row r="3416" spans="1:5" x14ac:dyDescent="0.2">
      <c r="A3416" s="1126" t="s">
        <v>3998</v>
      </c>
      <c r="B3416" s="1127">
        <v>241</v>
      </c>
      <c r="C3416" s="1128">
        <v>0</v>
      </c>
      <c r="D3416" s="1128">
        <v>132.94999999999999</v>
      </c>
      <c r="E3416" s="1126"/>
    </row>
    <row r="3417" spans="1:5" x14ac:dyDescent="0.2">
      <c r="A3417" s="1126" t="s">
        <v>3999</v>
      </c>
      <c r="B3417" s="1127">
        <v>334</v>
      </c>
      <c r="C3417" s="1128">
        <v>0</v>
      </c>
      <c r="D3417" s="1128">
        <v>18.62</v>
      </c>
      <c r="E3417" s="1126"/>
    </row>
    <row r="3418" spans="1:5" x14ac:dyDescent="0.2">
      <c r="A3418" s="1126" t="s">
        <v>4000</v>
      </c>
      <c r="B3418" s="1127">
        <v>77</v>
      </c>
      <c r="C3418" s="1128">
        <v>0</v>
      </c>
      <c r="D3418" s="1128">
        <v>20.69</v>
      </c>
      <c r="E3418" s="1126"/>
    </row>
    <row r="3419" spans="1:5" x14ac:dyDescent="0.2">
      <c r="A3419" s="1126" t="s">
        <v>4001</v>
      </c>
      <c r="B3419" s="1127">
        <v>129</v>
      </c>
      <c r="C3419" s="1128">
        <v>156.86000000000001</v>
      </c>
      <c r="D3419" s="1128">
        <v>245.53</v>
      </c>
      <c r="E3419" s="1126"/>
    </row>
    <row r="3420" spans="1:5" x14ac:dyDescent="0.2">
      <c r="A3420" s="1126" t="s">
        <v>4002</v>
      </c>
      <c r="B3420" s="1127">
        <v>514</v>
      </c>
      <c r="C3420" s="1128">
        <v>0</v>
      </c>
      <c r="D3420" s="1128">
        <v>107.31</v>
      </c>
      <c r="E3420" s="1126"/>
    </row>
    <row r="3421" spans="1:5" x14ac:dyDescent="0.2">
      <c r="A3421" s="1126" t="s">
        <v>4003</v>
      </c>
      <c r="B3421" s="1127">
        <v>458</v>
      </c>
      <c r="C3421" s="1128">
        <v>61.5</v>
      </c>
      <c r="D3421" s="1128">
        <v>376.31</v>
      </c>
      <c r="E3421" s="1126"/>
    </row>
    <row r="3422" spans="1:5" x14ac:dyDescent="0.2">
      <c r="A3422" s="1126" t="s">
        <v>4004</v>
      </c>
      <c r="B3422" s="1127">
        <v>297</v>
      </c>
      <c r="C3422" s="1128">
        <v>947.23</v>
      </c>
      <c r="D3422" s="1128">
        <v>1151.3800000000001</v>
      </c>
      <c r="E3422" s="1126"/>
    </row>
    <row r="3423" spans="1:5" x14ac:dyDescent="0.2">
      <c r="A3423" s="1126" t="s">
        <v>4005</v>
      </c>
      <c r="B3423" s="1127">
        <v>219</v>
      </c>
      <c r="C3423" s="1128">
        <v>329.18</v>
      </c>
      <c r="D3423" s="1128">
        <v>479.72</v>
      </c>
      <c r="E3423" s="1126"/>
    </row>
    <row r="3424" spans="1:5" x14ac:dyDescent="0.2">
      <c r="A3424" s="1126" t="s">
        <v>4006</v>
      </c>
      <c r="B3424" s="1127">
        <v>376</v>
      </c>
      <c r="C3424" s="1128">
        <v>0</v>
      </c>
      <c r="D3424" s="1128">
        <v>190.62</v>
      </c>
      <c r="E3424" s="1126"/>
    </row>
    <row r="3425" spans="1:5" x14ac:dyDescent="0.2">
      <c r="A3425" s="1126" t="s">
        <v>4007</v>
      </c>
      <c r="B3425" s="1127">
        <v>325</v>
      </c>
      <c r="C3425" s="1128">
        <v>0</v>
      </c>
      <c r="D3425" s="1128">
        <v>177.53</v>
      </c>
      <c r="E3425" s="1126"/>
    </row>
    <row r="3426" spans="1:5" x14ac:dyDescent="0.2">
      <c r="A3426" s="1126" t="s">
        <v>4008</v>
      </c>
      <c r="B3426" s="1127">
        <v>203</v>
      </c>
      <c r="C3426" s="1128">
        <v>40.17</v>
      </c>
      <c r="D3426" s="1128">
        <v>179.71</v>
      </c>
      <c r="E3426" s="1126"/>
    </row>
    <row r="3427" spans="1:5" x14ac:dyDescent="0.2">
      <c r="A3427" s="1126" t="s">
        <v>4009</v>
      </c>
      <c r="B3427" s="1127">
        <v>314</v>
      </c>
      <c r="C3427" s="1128">
        <v>0</v>
      </c>
      <c r="D3427" s="1128">
        <v>94.79</v>
      </c>
      <c r="E3427" s="1126"/>
    </row>
    <row r="3428" spans="1:5" x14ac:dyDescent="0.2">
      <c r="A3428" s="1126" t="s">
        <v>4010</v>
      </c>
      <c r="B3428" s="1127">
        <v>247</v>
      </c>
      <c r="C3428" s="1128">
        <v>91.65</v>
      </c>
      <c r="D3428" s="1128">
        <v>261.43</v>
      </c>
      <c r="E3428" s="1126"/>
    </row>
    <row r="3429" spans="1:5" x14ac:dyDescent="0.2">
      <c r="A3429" s="1126" t="s">
        <v>4011</v>
      </c>
      <c r="B3429" s="1127">
        <v>245</v>
      </c>
      <c r="C3429" s="1128">
        <v>0</v>
      </c>
      <c r="D3429" s="1128">
        <v>122.75</v>
      </c>
      <c r="E3429" s="1126"/>
    </row>
    <row r="3430" spans="1:5" x14ac:dyDescent="0.2">
      <c r="A3430" s="1126" t="s">
        <v>4012</v>
      </c>
      <c r="B3430" s="1127">
        <v>125</v>
      </c>
      <c r="C3430" s="1128">
        <v>0</v>
      </c>
      <c r="D3430" s="1128">
        <v>72.569999999999993</v>
      </c>
      <c r="E3430" s="1126"/>
    </row>
    <row r="3431" spans="1:5" x14ac:dyDescent="0.2">
      <c r="A3431" s="1126" t="s">
        <v>4013</v>
      </c>
      <c r="B3431" s="1127">
        <v>151</v>
      </c>
      <c r="C3431" s="1128">
        <v>0</v>
      </c>
      <c r="D3431" s="1128">
        <v>67.63</v>
      </c>
      <c r="E3431" s="1126"/>
    </row>
    <row r="3432" spans="1:5" x14ac:dyDescent="0.2">
      <c r="A3432" s="1126" t="s">
        <v>4014</v>
      </c>
      <c r="B3432" s="1127">
        <v>193</v>
      </c>
      <c r="C3432" s="1128">
        <v>53.03</v>
      </c>
      <c r="D3432" s="1128">
        <v>185.69</v>
      </c>
      <c r="E3432" s="1126"/>
    </row>
    <row r="3433" spans="1:5" x14ac:dyDescent="0.2">
      <c r="A3433" s="1126" t="s">
        <v>4015</v>
      </c>
      <c r="B3433" s="1127">
        <v>200</v>
      </c>
      <c r="C3433" s="1128">
        <v>0</v>
      </c>
      <c r="D3433" s="1128">
        <v>102.19</v>
      </c>
      <c r="E3433" s="1126"/>
    </row>
    <row r="3434" spans="1:5" x14ac:dyDescent="0.2">
      <c r="A3434" s="1126" t="s">
        <v>4016</v>
      </c>
      <c r="B3434" s="1127">
        <v>393</v>
      </c>
      <c r="C3434" s="1128">
        <v>67.87</v>
      </c>
      <c r="D3434" s="1128">
        <v>338</v>
      </c>
      <c r="E3434" s="1126"/>
    </row>
    <row r="3435" spans="1:5" x14ac:dyDescent="0.2">
      <c r="A3435" s="1126" t="s">
        <v>4017</v>
      </c>
      <c r="B3435" s="1127">
        <v>469</v>
      </c>
      <c r="C3435" s="1128">
        <v>68.72</v>
      </c>
      <c r="D3435" s="1128">
        <v>391.09</v>
      </c>
      <c r="E3435" s="1126"/>
    </row>
    <row r="3436" spans="1:5" x14ac:dyDescent="0.2">
      <c r="A3436" s="1126" t="s">
        <v>4018</v>
      </c>
      <c r="B3436" s="1127">
        <v>601</v>
      </c>
      <c r="C3436" s="1128">
        <v>0</v>
      </c>
      <c r="D3436" s="1128">
        <v>161.13</v>
      </c>
      <c r="E3436" s="1126"/>
    </row>
    <row r="3437" spans="1:5" x14ac:dyDescent="0.2">
      <c r="A3437" s="1126" t="s">
        <v>4019</v>
      </c>
      <c r="B3437" s="1127">
        <v>274</v>
      </c>
      <c r="C3437" s="1128">
        <v>436.63</v>
      </c>
      <c r="D3437" s="1128">
        <v>624.97</v>
      </c>
      <c r="E3437" s="1126"/>
    </row>
    <row r="3438" spans="1:5" x14ac:dyDescent="0.2">
      <c r="A3438" s="1126" t="s">
        <v>4020</v>
      </c>
      <c r="B3438" s="1127">
        <v>182</v>
      </c>
      <c r="C3438" s="1128">
        <v>26.46</v>
      </c>
      <c r="D3438" s="1128">
        <v>151.56</v>
      </c>
      <c r="E3438" s="1126"/>
    </row>
    <row r="3439" spans="1:5" x14ac:dyDescent="0.2">
      <c r="A3439" s="1126" t="s">
        <v>4021</v>
      </c>
      <c r="B3439" s="1127">
        <v>140</v>
      </c>
      <c r="C3439" s="1128">
        <v>26.42</v>
      </c>
      <c r="D3439" s="1128">
        <v>122.65</v>
      </c>
      <c r="E3439" s="1126"/>
    </row>
    <row r="3440" spans="1:5" x14ac:dyDescent="0.2">
      <c r="A3440" s="1126" t="s">
        <v>4022</v>
      </c>
      <c r="B3440" s="1127">
        <v>287</v>
      </c>
      <c r="C3440" s="1128">
        <v>0</v>
      </c>
      <c r="D3440" s="1128">
        <v>130.99</v>
      </c>
      <c r="E3440" s="1126"/>
    </row>
    <row r="3441" spans="1:5" x14ac:dyDescent="0.2">
      <c r="A3441" s="1126" t="s">
        <v>4023</v>
      </c>
      <c r="B3441" s="1127">
        <v>177</v>
      </c>
      <c r="C3441" s="1128">
        <v>353.37</v>
      </c>
      <c r="D3441" s="1128">
        <v>475.03</v>
      </c>
      <c r="E3441" s="1126"/>
    </row>
    <row r="3442" spans="1:5" x14ac:dyDescent="0.2">
      <c r="A3442" s="1126" t="s">
        <v>4024</v>
      </c>
      <c r="B3442" s="1127">
        <v>331</v>
      </c>
      <c r="C3442" s="1128">
        <v>0</v>
      </c>
      <c r="D3442" s="1128">
        <v>155.46</v>
      </c>
      <c r="E3442" s="1126"/>
    </row>
    <row r="3443" spans="1:5" x14ac:dyDescent="0.2">
      <c r="A3443" s="1126" t="s">
        <v>4025</v>
      </c>
      <c r="B3443" s="1127">
        <v>93</v>
      </c>
      <c r="C3443" s="1128">
        <v>0</v>
      </c>
      <c r="D3443" s="1128">
        <v>31.62</v>
      </c>
      <c r="E3443" s="1126"/>
    </row>
    <row r="3444" spans="1:5" x14ac:dyDescent="0.2">
      <c r="A3444" s="1126" t="s">
        <v>4026</v>
      </c>
      <c r="B3444" s="1127">
        <v>84</v>
      </c>
      <c r="C3444" s="1128">
        <v>0</v>
      </c>
      <c r="D3444" s="1128">
        <v>0</v>
      </c>
      <c r="E3444" s="1126"/>
    </row>
    <row r="3445" spans="1:5" x14ac:dyDescent="0.2">
      <c r="A3445" s="1126" t="s">
        <v>4027</v>
      </c>
      <c r="B3445" s="1127">
        <v>81</v>
      </c>
      <c r="C3445" s="1128">
        <v>0</v>
      </c>
      <c r="D3445" s="1128">
        <v>18.52</v>
      </c>
      <c r="E3445" s="1126"/>
    </row>
    <row r="3446" spans="1:5" x14ac:dyDescent="0.2">
      <c r="A3446" s="1126" t="s">
        <v>4028</v>
      </c>
      <c r="B3446" s="1127">
        <v>54</v>
      </c>
      <c r="C3446" s="1128">
        <v>40.72</v>
      </c>
      <c r="D3446" s="1128">
        <v>77.84</v>
      </c>
      <c r="E3446" s="1126"/>
    </row>
    <row r="3447" spans="1:5" x14ac:dyDescent="0.2">
      <c r="A3447" s="1126" t="s">
        <v>4029</v>
      </c>
      <c r="B3447" s="1127">
        <v>515</v>
      </c>
      <c r="C3447" s="1128">
        <v>0</v>
      </c>
      <c r="D3447" s="1128">
        <v>248.28</v>
      </c>
      <c r="E3447" s="1126"/>
    </row>
    <row r="3448" spans="1:5" x14ac:dyDescent="0.2">
      <c r="A3448" s="1126" t="s">
        <v>4030</v>
      </c>
      <c r="B3448" s="1127">
        <v>492</v>
      </c>
      <c r="C3448" s="1128">
        <v>0</v>
      </c>
      <c r="D3448" s="1128">
        <v>237.27</v>
      </c>
      <c r="E3448" s="1126"/>
    </row>
    <row r="3449" spans="1:5" x14ac:dyDescent="0.2">
      <c r="A3449" s="1126" t="s">
        <v>4031</v>
      </c>
      <c r="B3449" s="1127">
        <v>244</v>
      </c>
      <c r="C3449" s="1128">
        <v>0</v>
      </c>
      <c r="D3449" s="1128">
        <v>114.04</v>
      </c>
      <c r="E3449" s="1126"/>
    </row>
    <row r="3450" spans="1:5" x14ac:dyDescent="0.2">
      <c r="A3450" s="1126" t="s">
        <v>4032</v>
      </c>
      <c r="B3450" s="1127">
        <v>263</v>
      </c>
      <c r="C3450" s="1128">
        <v>708.1</v>
      </c>
      <c r="D3450" s="1128">
        <v>888.88</v>
      </c>
      <c r="E3450" s="1126"/>
    </row>
    <row r="3451" spans="1:5" x14ac:dyDescent="0.2">
      <c r="A3451" s="1126" t="s">
        <v>4033</v>
      </c>
      <c r="B3451" s="1127">
        <v>213</v>
      </c>
      <c r="C3451" s="1128">
        <v>89.42</v>
      </c>
      <c r="D3451" s="1128">
        <v>235.82</v>
      </c>
      <c r="E3451" s="1126"/>
    </row>
    <row r="3452" spans="1:5" x14ac:dyDescent="0.2">
      <c r="A3452" s="1126" t="s">
        <v>4034</v>
      </c>
      <c r="B3452" s="1127">
        <v>130</v>
      </c>
      <c r="C3452" s="1128">
        <v>0</v>
      </c>
      <c r="D3452" s="1128">
        <v>74.540000000000006</v>
      </c>
      <c r="E3452" s="1126"/>
    </row>
    <row r="3453" spans="1:5" x14ac:dyDescent="0.2">
      <c r="A3453" s="1126" t="s">
        <v>4035</v>
      </c>
      <c r="B3453" s="1127">
        <v>104</v>
      </c>
      <c r="C3453" s="1128">
        <v>0</v>
      </c>
      <c r="D3453" s="1128">
        <v>22.76</v>
      </c>
      <c r="E3453" s="1126"/>
    </row>
    <row r="3454" spans="1:5" x14ac:dyDescent="0.2">
      <c r="A3454" s="1126" t="s">
        <v>4036</v>
      </c>
      <c r="B3454" s="1127">
        <v>102</v>
      </c>
      <c r="C3454" s="1128">
        <v>102.62</v>
      </c>
      <c r="D3454" s="1128">
        <v>172.74</v>
      </c>
      <c r="E3454" s="1126"/>
    </row>
    <row r="3455" spans="1:5" x14ac:dyDescent="0.2">
      <c r="A3455" s="1126" t="s">
        <v>4037</v>
      </c>
      <c r="B3455" s="1127">
        <v>104</v>
      </c>
      <c r="C3455" s="1128">
        <v>13.87</v>
      </c>
      <c r="D3455" s="1128">
        <v>85.36</v>
      </c>
      <c r="E3455" s="1126"/>
    </row>
    <row r="3456" spans="1:5" x14ac:dyDescent="0.2">
      <c r="A3456" s="1126" t="s">
        <v>4038</v>
      </c>
      <c r="B3456" s="1127">
        <v>92</v>
      </c>
      <c r="C3456" s="1128">
        <v>0</v>
      </c>
      <c r="D3456" s="1128">
        <v>34.72</v>
      </c>
      <c r="E3456" s="1126"/>
    </row>
    <row r="3457" spans="1:5" x14ac:dyDescent="0.2">
      <c r="A3457" s="1126" t="s">
        <v>4039</v>
      </c>
      <c r="B3457" s="1127">
        <v>389</v>
      </c>
      <c r="C3457" s="1128">
        <v>129.71</v>
      </c>
      <c r="D3457" s="1128">
        <v>397.1</v>
      </c>
      <c r="E3457" s="1126"/>
    </row>
    <row r="3458" spans="1:5" x14ac:dyDescent="0.2">
      <c r="A3458" s="1126" t="s">
        <v>4040</v>
      </c>
      <c r="B3458" s="1127">
        <v>575</v>
      </c>
      <c r="C3458" s="1128">
        <v>132.09</v>
      </c>
      <c r="D3458" s="1128">
        <v>527.32000000000005</v>
      </c>
      <c r="E3458" s="1126"/>
    </row>
    <row r="3459" spans="1:5" x14ac:dyDescent="0.2">
      <c r="A3459" s="1126" t="s">
        <v>4041</v>
      </c>
      <c r="B3459" s="1127">
        <v>178</v>
      </c>
      <c r="C3459" s="1128">
        <v>0</v>
      </c>
      <c r="D3459" s="1128">
        <v>22.72</v>
      </c>
      <c r="E3459" s="1126"/>
    </row>
    <row r="3460" spans="1:5" x14ac:dyDescent="0.2">
      <c r="A3460" s="1126" t="s">
        <v>4042</v>
      </c>
      <c r="B3460" s="1127">
        <v>187</v>
      </c>
      <c r="C3460" s="1128">
        <v>515.36</v>
      </c>
      <c r="D3460" s="1128">
        <v>643.9</v>
      </c>
      <c r="E3460" s="1126"/>
    </row>
    <row r="3461" spans="1:5" x14ac:dyDescent="0.2">
      <c r="A3461" s="1126" t="s">
        <v>4043</v>
      </c>
      <c r="B3461" s="1127">
        <v>69</v>
      </c>
      <c r="C3461" s="1128">
        <v>45.15</v>
      </c>
      <c r="D3461" s="1128">
        <v>92.58</v>
      </c>
      <c r="E3461" s="1126"/>
    </row>
    <row r="3462" spans="1:5" x14ac:dyDescent="0.2">
      <c r="A3462" s="1126" t="s">
        <v>4044</v>
      </c>
      <c r="B3462" s="1127">
        <v>114</v>
      </c>
      <c r="C3462" s="1128">
        <v>0</v>
      </c>
      <c r="D3462" s="1128">
        <v>24.48</v>
      </c>
      <c r="E3462" s="1126"/>
    </row>
    <row r="3463" spans="1:5" x14ac:dyDescent="0.2">
      <c r="A3463" s="1126" t="s">
        <v>4045</v>
      </c>
      <c r="B3463" s="1127">
        <v>37</v>
      </c>
      <c r="C3463" s="1128">
        <v>0</v>
      </c>
      <c r="D3463" s="1128">
        <v>9.25</v>
      </c>
      <c r="E3463" s="1126" t="s">
        <v>669</v>
      </c>
    </row>
    <row r="3464" spans="1:5" x14ac:dyDescent="0.2">
      <c r="A3464" s="1126" t="s">
        <v>4046</v>
      </c>
      <c r="B3464" s="1127">
        <v>34</v>
      </c>
      <c r="C3464" s="1128">
        <v>0.89</v>
      </c>
      <c r="D3464" s="1128">
        <v>24.26</v>
      </c>
      <c r="E3464" s="1126" t="s">
        <v>669</v>
      </c>
    </row>
    <row r="3465" spans="1:5" x14ac:dyDescent="0.2">
      <c r="A3465" s="1126" t="s">
        <v>4047</v>
      </c>
      <c r="B3465" s="1127">
        <v>222</v>
      </c>
      <c r="C3465" s="1128">
        <v>131.47999999999999</v>
      </c>
      <c r="D3465" s="1128">
        <v>284.07</v>
      </c>
      <c r="E3465" s="1126"/>
    </row>
    <row r="3466" spans="1:5" x14ac:dyDescent="0.2">
      <c r="A3466" s="1126" t="s">
        <v>4048</v>
      </c>
      <c r="B3466" s="1127">
        <v>95</v>
      </c>
      <c r="C3466" s="1128">
        <v>23.43</v>
      </c>
      <c r="D3466" s="1128">
        <v>88.73</v>
      </c>
      <c r="E3466" s="1126"/>
    </row>
    <row r="3467" spans="1:5" x14ac:dyDescent="0.2">
      <c r="A3467" s="1126" t="s">
        <v>4049</v>
      </c>
      <c r="B3467" s="1127">
        <v>52</v>
      </c>
      <c r="C3467" s="1128">
        <v>27.11</v>
      </c>
      <c r="D3467" s="1128">
        <v>62.85</v>
      </c>
      <c r="E3467" s="1126"/>
    </row>
    <row r="3468" spans="1:5" x14ac:dyDescent="0.2">
      <c r="A3468" s="1126" t="s">
        <v>4050</v>
      </c>
      <c r="B3468" s="1127">
        <v>135</v>
      </c>
      <c r="C3468" s="1128">
        <v>49.49</v>
      </c>
      <c r="D3468" s="1128">
        <v>142.28</v>
      </c>
      <c r="E3468" s="1126"/>
    </row>
    <row r="3469" spans="1:5" x14ac:dyDescent="0.2">
      <c r="A3469" s="1126" t="s">
        <v>4051</v>
      </c>
      <c r="B3469" s="1127">
        <v>95</v>
      </c>
      <c r="C3469" s="1128">
        <v>0</v>
      </c>
      <c r="D3469" s="1128">
        <v>4.5199999999999996</v>
      </c>
      <c r="E3469" s="1126"/>
    </row>
    <row r="3470" spans="1:5" x14ac:dyDescent="0.2">
      <c r="A3470" s="1126" t="s">
        <v>4052</v>
      </c>
      <c r="B3470" s="1127">
        <v>156</v>
      </c>
      <c r="C3470" s="1128">
        <v>19.39</v>
      </c>
      <c r="D3470" s="1128">
        <v>126.62</v>
      </c>
      <c r="E3470" s="1126"/>
    </row>
    <row r="3471" spans="1:5" x14ac:dyDescent="0.2">
      <c r="A3471" s="1126" t="s">
        <v>4053</v>
      </c>
      <c r="B3471" s="1127">
        <v>253</v>
      </c>
      <c r="C3471" s="1128">
        <v>82.61</v>
      </c>
      <c r="D3471" s="1128">
        <v>256.51</v>
      </c>
      <c r="E3471" s="1126"/>
    </row>
    <row r="3472" spans="1:5" x14ac:dyDescent="0.2">
      <c r="A3472" s="1126" t="s">
        <v>4054</v>
      </c>
      <c r="B3472" s="1127">
        <v>152</v>
      </c>
      <c r="C3472" s="1128">
        <v>0</v>
      </c>
      <c r="D3472" s="1128">
        <v>67.17</v>
      </c>
      <c r="E3472" s="1126"/>
    </row>
    <row r="3473" spans="1:5" x14ac:dyDescent="0.2">
      <c r="A3473" s="1126" t="s">
        <v>4055</v>
      </c>
      <c r="B3473" s="1127">
        <v>80</v>
      </c>
      <c r="C3473" s="1128">
        <v>0</v>
      </c>
      <c r="D3473" s="1128">
        <v>39.76</v>
      </c>
      <c r="E3473" s="1126"/>
    </row>
    <row r="3474" spans="1:5" x14ac:dyDescent="0.2">
      <c r="A3474" s="1126" t="s">
        <v>4056</v>
      </c>
      <c r="B3474" s="1127">
        <v>194</v>
      </c>
      <c r="C3474" s="1128">
        <v>12.41</v>
      </c>
      <c r="D3474" s="1128">
        <v>145.76</v>
      </c>
      <c r="E3474" s="1126"/>
    </row>
    <row r="3475" spans="1:5" x14ac:dyDescent="0.2">
      <c r="A3475" s="1126" t="s">
        <v>4057</v>
      </c>
      <c r="B3475" s="1127">
        <v>40</v>
      </c>
      <c r="C3475" s="1128">
        <v>0</v>
      </c>
      <c r="D3475" s="1128">
        <v>17.18</v>
      </c>
      <c r="E3475" s="1126" t="s">
        <v>669</v>
      </c>
    </row>
    <row r="3476" spans="1:5" x14ac:dyDescent="0.2">
      <c r="A3476" s="1126" t="s">
        <v>4058</v>
      </c>
      <c r="B3476" s="1127">
        <v>200</v>
      </c>
      <c r="C3476" s="1128">
        <v>375.29</v>
      </c>
      <c r="D3476" s="1128">
        <v>512.76</v>
      </c>
      <c r="E3476" s="1126"/>
    </row>
    <row r="3477" spans="1:5" x14ac:dyDescent="0.2">
      <c r="A3477" s="1126" t="s">
        <v>4059</v>
      </c>
      <c r="B3477" s="1127">
        <v>60</v>
      </c>
      <c r="C3477" s="1128">
        <v>23.94</v>
      </c>
      <c r="D3477" s="1128">
        <v>65.19</v>
      </c>
      <c r="E3477" s="1126"/>
    </row>
    <row r="3478" spans="1:5" x14ac:dyDescent="0.2">
      <c r="A3478" s="1126" t="s">
        <v>4060</v>
      </c>
      <c r="B3478" s="1127">
        <v>308</v>
      </c>
      <c r="C3478" s="1128">
        <v>321.33999999999997</v>
      </c>
      <c r="D3478" s="1128">
        <v>533.04999999999995</v>
      </c>
      <c r="E3478" s="1126"/>
    </row>
    <row r="3479" spans="1:5" x14ac:dyDescent="0.2">
      <c r="A3479" s="1126" t="s">
        <v>4061</v>
      </c>
      <c r="B3479" s="1127">
        <v>348</v>
      </c>
      <c r="C3479" s="1128">
        <v>0</v>
      </c>
      <c r="D3479" s="1128">
        <v>220.82</v>
      </c>
      <c r="E3479" s="1126"/>
    </row>
    <row r="3480" spans="1:5" x14ac:dyDescent="0.2">
      <c r="A3480" s="1126" t="s">
        <v>4062</v>
      </c>
      <c r="B3480" s="1127">
        <v>239</v>
      </c>
      <c r="C3480" s="1128">
        <v>128.12</v>
      </c>
      <c r="D3480" s="1128">
        <v>292.39999999999998</v>
      </c>
      <c r="E3480" s="1126"/>
    </row>
    <row r="3481" spans="1:5" x14ac:dyDescent="0.2">
      <c r="A3481" s="1126" t="s">
        <v>4063</v>
      </c>
      <c r="B3481" s="1127">
        <v>181</v>
      </c>
      <c r="C3481" s="1128">
        <v>0</v>
      </c>
      <c r="D3481" s="1128">
        <v>57.59</v>
      </c>
      <c r="E3481" s="1126"/>
    </row>
    <row r="3482" spans="1:5" x14ac:dyDescent="0.2">
      <c r="A3482" s="1126" t="s">
        <v>4064</v>
      </c>
      <c r="B3482" s="1127">
        <v>363</v>
      </c>
      <c r="C3482" s="1128">
        <v>17.059999999999999</v>
      </c>
      <c r="D3482" s="1128">
        <v>266.57</v>
      </c>
      <c r="E3482" s="1126"/>
    </row>
    <row r="3483" spans="1:5" x14ac:dyDescent="0.2">
      <c r="A3483" s="1126" t="s">
        <v>4065</v>
      </c>
      <c r="B3483" s="1127">
        <v>156</v>
      </c>
      <c r="C3483" s="1128">
        <v>78.38</v>
      </c>
      <c r="D3483" s="1128">
        <v>185.61</v>
      </c>
      <c r="E3483" s="1126"/>
    </row>
    <row r="3484" spans="1:5" x14ac:dyDescent="0.2">
      <c r="A3484" s="1126" t="s">
        <v>4066</v>
      </c>
      <c r="B3484" s="1127">
        <v>382</v>
      </c>
      <c r="C3484" s="1128">
        <v>221.29</v>
      </c>
      <c r="D3484" s="1128">
        <v>483.86</v>
      </c>
      <c r="E3484" s="1126"/>
    </row>
    <row r="3485" spans="1:5" x14ac:dyDescent="0.2">
      <c r="A3485" s="1126" t="s">
        <v>4067</v>
      </c>
      <c r="B3485" s="1127">
        <v>130</v>
      </c>
      <c r="C3485" s="1128">
        <v>0</v>
      </c>
      <c r="D3485" s="1128">
        <v>38.71</v>
      </c>
      <c r="E3485" s="1126"/>
    </row>
    <row r="3486" spans="1:5" x14ac:dyDescent="0.2">
      <c r="A3486" s="1126" t="s">
        <v>4068</v>
      </c>
      <c r="B3486" s="1127">
        <v>216</v>
      </c>
      <c r="C3486" s="1128">
        <v>0</v>
      </c>
      <c r="D3486" s="1128">
        <v>136.05000000000001</v>
      </c>
      <c r="E3486" s="1126"/>
    </row>
    <row r="3487" spans="1:5" x14ac:dyDescent="0.2">
      <c r="A3487" s="1126" t="s">
        <v>4069</v>
      </c>
      <c r="B3487" s="1127">
        <v>265</v>
      </c>
      <c r="C3487" s="1128">
        <v>0</v>
      </c>
      <c r="D3487" s="1128">
        <v>78.19</v>
      </c>
      <c r="E3487" s="1126"/>
    </row>
    <row r="3488" spans="1:5" x14ac:dyDescent="0.2">
      <c r="A3488" s="1126" t="s">
        <v>4070</v>
      </c>
      <c r="B3488" s="1127">
        <v>205</v>
      </c>
      <c r="C3488" s="1128">
        <v>0</v>
      </c>
      <c r="D3488" s="1128">
        <v>106.6</v>
      </c>
      <c r="E3488" s="1126"/>
    </row>
    <row r="3489" spans="1:5" x14ac:dyDescent="0.2">
      <c r="A3489" s="1126" t="s">
        <v>4071</v>
      </c>
      <c r="B3489" s="1127">
        <v>333</v>
      </c>
      <c r="C3489" s="1128">
        <v>0</v>
      </c>
      <c r="D3489" s="1128">
        <v>202.63</v>
      </c>
      <c r="E3489" s="1126"/>
    </row>
    <row r="3490" spans="1:5" x14ac:dyDescent="0.2">
      <c r="A3490" s="1126" t="s">
        <v>4072</v>
      </c>
      <c r="B3490" s="1127">
        <v>144</v>
      </c>
      <c r="C3490" s="1128">
        <v>0</v>
      </c>
      <c r="D3490" s="1128">
        <v>59.8</v>
      </c>
      <c r="E3490" s="1126"/>
    </row>
    <row r="3491" spans="1:5" x14ac:dyDescent="0.2">
      <c r="A3491" s="1126" t="s">
        <v>4073</v>
      </c>
      <c r="B3491" s="1127">
        <v>312</v>
      </c>
      <c r="C3491" s="1128">
        <v>655.77</v>
      </c>
      <c r="D3491" s="1128">
        <v>870.23</v>
      </c>
      <c r="E3491" s="1126"/>
    </row>
    <row r="3492" spans="1:5" x14ac:dyDescent="0.2">
      <c r="A3492" s="1126" t="s">
        <v>4074</v>
      </c>
      <c r="B3492" s="1127">
        <v>228</v>
      </c>
      <c r="C3492" s="1128">
        <v>0</v>
      </c>
      <c r="D3492" s="1128">
        <v>53.98</v>
      </c>
      <c r="E3492" s="1126"/>
    </row>
    <row r="3493" spans="1:5" x14ac:dyDescent="0.2">
      <c r="A3493" s="1126" t="s">
        <v>4075</v>
      </c>
      <c r="B3493" s="1127">
        <v>180</v>
      </c>
      <c r="C3493" s="1128">
        <v>32.119999999999997</v>
      </c>
      <c r="D3493" s="1128">
        <v>155.85</v>
      </c>
      <c r="E3493" s="1126"/>
    </row>
    <row r="3494" spans="1:5" x14ac:dyDescent="0.2">
      <c r="A3494" s="1126" t="s">
        <v>4076</v>
      </c>
      <c r="B3494" s="1127">
        <v>436</v>
      </c>
      <c r="C3494" s="1128">
        <v>113.3</v>
      </c>
      <c r="D3494" s="1128">
        <v>412.99</v>
      </c>
      <c r="E3494" s="1126"/>
    </row>
    <row r="3495" spans="1:5" x14ac:dyDescent="0.2">
      <c r="A3495" s="1126" t="s">
        <v>4077</v>
      </c>
      <c r="B3495" s="1127">
        <v>103</v>
      </c>
      <c r="C3495" s="1128">
        <v>111.21</v>
      </c>
      <c r="D3495" s="1128">
        <v>182.01</v>
      </c>
      <c r="E3495" s="1126"/>
    </row>
    <row r="3496" spans="1:5" x14ac:dyDescent="0.2">
      <c r="A3496" s="1126" t="s">
        <v>4078</v>
      </c>
      <c r="B3496" s="1127">
        <v>218</v>
      </c>
      <c r="C3496" s="1128">
        <v>0</v>
      </c>
      <c r="D3496" s="1128">
        <v>31.63</v>
      </c>
      <c r="E3496" s="1126"/>
    </row>
    <row r="3497" spans="1:5" x14ac:dyDescent="0.2">
      <c r="A3497" s="1126" t="s">
        <v>4079</v>
      </c>
      <c r="B3497" s="1127">
        <v>194</v>
      </c>
      <c r="C3497" s="1128">
        <v>0</v>
      </c>
      <c r="D3497" s="1128">
        <v>90.64</v>
      </c>
      <c r="E3497" s="1126"/>
    </row>
    <row r="3498" spans="1:5" x14ac:dyDescent="0.2">
      <c r="A3498" s="1126" t="s">
        <v>4080</v>
      </c>
      <c r="B3498" s="1127">
        <v>162</v>
      </c>
      <c r="C3498" s="1128">
        <v>0</v>
      </c>
      <c r="D3498" s="1128">
        <v>31.7</v>
      </c>
      <c r="E3498" s="1126"/>
    </row>
    <row r="3499" spans="1:5" x14ac:dyDescent="0.2">
      <c r="A3499" s="1126" t="s">
        <v>4081</v>
      </c>
      <c r="B3499" s="1127">
        <v>164</v>
      </c>
      <c r="C3499" s="1128">
        <v>261.3</v>
      </c>
      <c r="D3499" s="1128">
        <v>374.03</v>
      </c>
      <c r="E3499" s="1126"/>
    </row>
    <row r="3500" spans="1:5" x14ac:dyDescent="0.2">
      <c r="A3500" s="1126" t="s">
        <v>4082</v>
      </c>
      <c r="B3500" s="1127">
        <v>104</v>
      </c>
      <c r="C3500" s="1128">
        <v>0</v>
      </c>
      <c r="D3500" s="1128">
        <v>51.15</v>
      </c>
      <c r="E3500" s="1126"/>
    </row>
    <row r="3501" spans="1:5" x14ac:dyDescent="0.2">
      <c r="A3501" s="1126" t="s">
        <v>4083</v>
      </c>
      <c r="B3501" s="1127">
        <v>332</v>
      </c>
      <c r="C3501" s="1128">
        <v>9.6999999999999993</v>
      </c>
      <c r="D3501" s="1128">
        <v>237.91</v>
      </c>
      <c r="E3501" s="1126"/>
    </row>
    <row r="3502" spans="1:5" x14ac:dyDescent="0.2">
      <c r="A3502" s="1126" t="s">
        <v>4084</v>
      </c>
      <c r="B3502" s="1127">
        <v>271</v>
      </c>
      <c r="C3502" s="1128">
        <v>151.12</v>
      </c>
      <c r="D3502" s="1128">
        <v>337.39</v>
      </c>
      <c r="E3502" s="1126"/>
    </row>
    <row r="3503" spans="1:5" x14ac:dyDescent="0.2">
      <c r="A3503" s="1126" t="s">
        <v>4085</v>
      </c>
      <c r="B3503" s="1127">
        <v>262</v>
      </c>
      <c r="C3503" s="1128">
        <v>541.95000000000005</v>
      </c>
      <c r="D3503" s="1128">
        <v>722.04</v>
      </c>
      <c r="E3503" s="1126"/>
    </row>
    <row r="3504" spans="1:5" x14ac:dyDescent="0.2">
      <c r="A3504" s="1126" t="s">
        <v>4086</v>
      </c>
      <c r="B3504" s="1127">
        <v>185</v>
      </c>
      <c r="C3504" s="1128">
        <v>278.82</v>
      </c>
      <c r="D3504" s="1128">
        <v>405.98</v>
      </c>
      <c r="E3504" s="1126"/>
    </row>
    <row r="3505" spans="1:5" x14ac:dyDescent="0.2">
      <c r="A3505" s="1126" t="s">
        <v>4087</v>
      </c>
      <c r="B3505" s="1127">
        <v>397</v>
      </c>
      <c r="C3505" s="1128">
        <v>0</v>
      </c>
      <c r="D3505" s="1128">
        <v>93.32</v>
      </c>
      <c r="E3505" s="1126"/>
    </row>
    <row r="3506" spans="1:5" x14ac:dyDescent="0.2">
      <c r="A3506" s="1126" t="s">
        <v>4088</v>
      </c>
      <c r="B3506" s="1127">
        <v>121</v>
      </c>
      <c r="C3506" s="1128">
        <v>21.75</v>
      </c>
      <c r="D3506" s="1128">
        <v>104.92</v>
      </c>
      <c r="E3506" s="1126"/>
    </row>
    <row r="3507" spans="1:5" x14ac:dyDescent="0.2">
      <c r="A3507" s="1126" t="s">
        <v>4089</v>
      </c>
      <c r="B3507" s="1127">
        <v>85</v>
      </c>
      <c r="C3507" s="1128">
        <v>12.78</v>
      </c>
      <c r="D3507" s="1128">
        <v>71.209999999999994</v>
      </c>
      <c r="E3507" s="1126"/>
    </row>
    <row r="3508" spans="1:5" x14ac:dyDescent="0.2">
      <c r="A3508" s="1126" t="s">
        <v>4090</v>
      </c>
      <c r="B3508" s="1127">
        <v>254</v>
      </c>
      <c r="C3508" s="1128">
        <v>35.450000000000003</v>
      </c>
      <c r="D3508" s="1128">
        <v>210.04</v>
      </c>
      <c r="E3508" s="1126"/>
    </row>
    <row r="3509" spans="1:5" x14ac:dyDescent="0.2">
      <c r="A3509" s="1126" t="s">
        <v>4091</v>
      </c>
      <c r="B3509" s="1127">
        <v>486</v>
      </c>
      <c r="C3509" s="1128">
        <v>266.5</v>
      </c>
      <c r="D3509" s="1128">
        <v>600.54999999999995</v>
      </c>
      <c r="E3509" s="1126"/>
    </row>
    <row r="3510" spans="1:5" x14ac:dyDescent="0.2">
      <c r="A3510" s="1126" t="s">
        <v>4092</v>
      </c>
      <c r="B3510" s="1127">
        <v>238</v>
      </c>
      <c r="C3510" s="1128">
        <v>8.4600000000000009</v>
      </c>
      <c r="D3510" s="1128">
        <v>172.05</v>
      </c>
      <c r="E3510" s="1126"/>
    </row>
    <row r="3511" spans="1:5" x14ac:dyDescent="0.2">
      <c r="A3511" s="1126" t="s">
        <v>4093</v>
      </c>
      <c r="B3511" s="1127">
        <v>212</v>
      </c>
      <c r="C3511" s="1128">
        <v>0</v>
      </c>
      <c r="D3511" s="1128">
        <v>106.02</v>
      </c>
      <c r="E3511" s="1126"/>
    </row>
    <row r="3512" spans="1:5" x14ac:dyDescent="0.2">
      <c r="A3512" s="1126" t="s">
        <v>4094</v>
      </c>
      <c r="B3512" s="1127">
        <v>110</v>
      </c>
      <c r="C3512" s="1128">
        <v>0</v>
      </c>
      <c r="D3512" s="1128">
        <v>34.03</v>
      </c>
      <c r="E3512" s="1126"/>
    </row>
    <row r="3513" spans="1:5" x14ac:dyDescent="0.2">
      <c r="A3513" s="1126" t="s">
        <v>4095</v>
      </c>
      <c r="B3513" s="1127">
        <v>199</v>
      </c>
      <c r="C3513" s="1128">
        <v>108.99</v>
      </c>
      <c r="D3513" s="1128">
        <v>245.77</v>
      </c>
      <c r="E3513" s="1126"/>
    </row>
    <row r="3514" spans="1:5" x14ac:dyDescent="0.2">
      <c r="A3514" s="1126" t="s">
        <v>4096</v>
      </c>
      <c r="B3514" s="1127">
        <v>101</v>
      </c>
      <c r="C3514" s="1128">
        <v>17.96</v>
      </c>
      <c r="D3514" s="1128">
        <v>87.39</v>
      </c>
      <c r="E3514" s="1126"/>
    </row>
    <row r="3515" spans="1:5" x14ac:dyDescent="0.2">
      <c r="A3515" s="1126" t="s">
        <v>4097</v>
      </c>
      <c r="B3515" s="1127">
        <v>425</v>
      </c>
      <c r="C3515" s="1128">
        <v>0</v>
      </c>
      <c r="D3515" s="1128">
        <v>61.02</v>
      </c>
      <c r="E3515" s="1126"/>
    </row>
    <row r="3516" spans="1:5" x14ac:dyDescent="0.2">
      <c r="A3516" s="1126" t="s">
        <v>4098</v>
      </c>
      <c r="B3516" s="1127">
        <v>98</v>
      </c>
      <c r="C3516" s="1128">
        <v>0</v>
      </c>
      <c r="D3516" s="1128">
        <v>43.87</v>
      </c>
      <c r="E3516" s="1126"/>
    </row>
    <row r="3517" spans="1:5" x14ac:dyDescent="0.2">
      <c r="A3517" s="1126" t="s">
        <v>4099</v>
      </c>
      <c r="B3517" s="1127">
        <v>186</v>
      </c>
      <c r="C3517" s="1128">
        <v>57.64</v>
      </c>
      <c r="D3517" s="1128">
        <v>185.49</v>
      </c>
      <c r="E3517" s="1126"/>
    </row>
    <row r="3518" spans="1:5" x14ac:dyDescent="0.2">
      <c r="A3518" s="1126" t="s">
        <v>4100</v>
      </c>
      <c r="B3518" s="1127">
        <v>134</v>
      </c>
      <c r="C3518" s="1128">
        <v>18.38</v>
      </c>
      <c r="D3518" s="1128">
        <v>110.49</v>
      </c>
      <c r="E3518" s="1126"/>
    </row>
    <row r="3519" spans="1:5" x14ac:dyDescent="0.2">
      <c r="A3519" s="1126" t="s">
        <v>4101</v>
      </c>
      <c r="B3519" s="1127">
        <v>103</v>
      </c>
      <c r="C3519" s="1128">
        <v>283.97000000000003</v>
      </c>
      <c r="D3519" s="1128">
        <v>354.77</v>
      </c>
      <c r="E3519" s="1126"/>
    </row>
    <row r="3520" spans="1:5" x14ac:dyDescent="0.2">
      <c r="A3520" s="1126" t="s">
        <v>4102</v>
      </c>
      <c r="B3520" s="1127">
        <v>85</v>
      </c>
      <c r="C3520" s="1128">
        <v>8.35</v>
      </c>
      <c r="D3520" s="1128">
        <v>66.78</v>
      </c>
      <c r="E3520" s="1126"/>
    </row>
    <row r="3521" spans="1:5" x14ac:dyDescent="0.2">
      <c r="A3521" s="1126" t="s">
        <v>4103</v>
      </c>
      <c r="B3521" s="1127">
        <v>144</v>
      </c>
      <c r="C3521" s="1128">
        <v>42.52</v>
      </c>
      <c r="D3521" s="1128">
        <v>141.5</v>
      </c>
      <c r="E3521" s="1126"/>
    </row>
    <row r="3522" spans="1:5" x14ac:dyDescent="0.2">
      <c r="A3522" s="1126" t="s">
        <v>4104</v>
      </c>
      <c r="B3522" s="1127">
        <v>57</v>
      </c>
      <c r="C3522" s="1128">
        <v>67.39</v>
      </c>
      <c r="D3522" s="1128">
        <v>106.57</v>
      </c>
      <c r="E3522" s="1126"/>
    </row>
    <row r="3523" spans="1:5" x14ac:dyDescent="0.2">
      <c r="A3523" s="1126" t="s">
        <v>4105</v>
      </c>
      <c r="B3523" s="1127">
        <v>198</v>
      </c>
      <c r="C3523" s="1128">
        <v>0</v>
      </c>
      <c r="D3523" s="1128">
        <v>123.78</v>
      </c>
      <c r="E3523" s="1126"/>
    </row>
    <row r="3524" spans="1:5" x14ac:dyDescent="0.2">
      <c r="A3524" s="1126" t="s">
        <v>4106</v>
      </c>
      <c r="B3524" s="1127">
        <v>254</v>
      </c>
      <c r="C3524" s="1128">
        <v>9.56</v>
      </c>
      <c r="D3524" s="1128">
        <v>184.15</v>
      </c>
      <c r="E3524" s="1126"/>
    </row>
    <row r="3525" spans="1:5" x14ac:dyDescent="0.2">
      <c r="A3525" s="1126" t="s">
        <v>4107</v>
      </c>
      <c r="B3525" s="1127">
        <v>118</v>
      </c>
      <c r="C3525" s="1128">
        <v>0</v>
      </c>
      <c r="D3525" s="1128">
        <v>0</v>
      </c>
      <c r="E3525" s="1126"/>
    </row>
    <row r="3526" spans="1:5" x14ac:dyDescent="0.2">
      <c r="A3526" s="1126" t="s">
        <v>4108</v>
      </c>
      <c r="B3526" s="1127">
        <v>146</v>
      </c>
      <c r="C3526" s="1128">
        <v>100.7</v>
      </c>
      <c r="D3526" s="1128">
        <v>201.06</v>
      </c>
      <c r="E3526" s="1126"/>
    </row>
    <row r="3527" spans="1:5" x14ac:dyDescent="0.2">
      <c r="A3527" s="1126" t="s">
        <v>4109</v>
      </c>
      <c r="B3527" s="1127">
        <v>189</v>
      </c>
      <c r="C3527" s="1128">
        <v>30.08</v>
      </c>
      <c r="D3527" s="1128">
        <v>159.99</v>
      </c>
      <c r="E3527" s="1126"/>
    </row>
    <row r="3528" spans="1:5" x14ac:dyDescent="0.2">
      <c r="A3528" s="1126" t="s">
        <v>4110</v>
      </c>
      <c r="B3528" s="1127">
        <v>286</v>
      </c>
      <c r="C3528" s="1128">
        <v>0</v>
      </c>
      <c r="D3528" s="1128">
        <v>152.5</v>
      </c>
      <c r="E3528" s="1126"/>
    </row>
    <row r="3529" spans="1:5" x14ac:dyDescent="0.2">
      <c r="A3529" s="1126" t="s">
        <v>4111</v>
      </c>
      <c r="B3529" s="1127">
        <v>222</v>
      </c>
      <c r="C3529" s="1128">
        <v>0</v>
      </c>
      <c r="D3529" s="1128">
        <v>42.74</v>
      </c>
      <c r="E3529" s="1126"/>
    </row>
    <row r="3530" spans="1:5" x14ac:dyDescent="0.2">
      <c r="A3530" s="1126" t="s">
        <v>4112</v>
      </c>
      <c r="B3530" s="1127">
        <v>189</v>
      </c>
      <c r="C3530" s="1128">
        <v>0</v>
      </c>
      <c r="D3530" s="1128">
        <v>46.25</v>
      </c>
      <c r="E3530" s="1126"/>
    </row>
    <row r="3531" spans="1:5" x14ac:dyDescent="0.2">
      <c r="A3531" s="1126" t="s">
        <v>4113</v>
      </c>
      <c r="B3531" s="1127">
        <v>325</v>
      </c>
      <c r="C3531" s="1128">
        <v>0</v>
      </c>
      <c r="D3531" s="1128">
        <v>15.79</v>
      </c>
      <c r="E3531" s="1126"/>
    </row>
    <row r="3532" spans="1:5" x14ac:dyDescent="0.2">
      <c r="A3532" s="1126" t="s">
        <v>4114</v>
      </c>
      <c r="B3532" s="1127">
        <v>409</v>
      </c>
      <c r="C3532" s="1128">
        <v>131.13999999999999</v>
      </c>
      <c r="D3532" s="1128">
        <v>412.27</v>
      </c>
      <c r="E3532" s="1126"/>
    </row>
    <row r="3533" spans="1:5" x14ac:dyDescent="0.2">
      <c r="A3533" s="1126" t="s">
        <v>4115</v>
      </c>
      <c r="B3533" s="1127">
        <v>143</v>
      </c>
      <c r="C3533" s="1128">
        <v>24.45</v>
      </c>
      <c r="D3533" s="1128">
        <v>122.75</v>
      </c>
      <c r="E3533" s="1126"/>
    </row>
    <row r="3534" spans="1:5" x14ac:dyDescent="0.2">
      <c r="A3534" s="1126" t="s">
        <v>4116</v>
      </c>
      <c r="B3534" s="1127">
        <v>289</v>
      </c>
      <c r="C3534" s="1128">
        <v>27.37</v>
      </c>
      <c r="D3534" s="1128">
        <v>226.02</v>
      </c>
      <c r="E3534" s="1126"/>
    </row>
    <row r="3535" spans="1:5" x14ac:dyDescent="0.2">
      <c r="A3535" s="1126" t="s">
        <v>4117</v>
      </c>
      <c r="B3535" s="1127">
        <v>183</v>
      </c>
      <c r="C3535" s="1128">
        <v>0</v>
      </c>
      <c r="D3535" s="1128">
        <v>90.29</v>
      </c>
      <c r="E3535" s="1126"/>
    </row>
    <row r="3536" spans="1:5" x14ac:dyDescent="0.2">
      <c r="A3536" s="1126" t="s">
        <v>4118</v>
      </c>
      <c r="B3536" s="1127">
        <v>210</v>
      </c>
      <c r="C3536" s="1128">
        <v>0</v>
      </c>
      <c r="D3536" s="1128">
        <v>141.69</v>
      </c>
      <c r="E3536" s="1126"/>
    </row>
    <row r="3537" spans="1:5" x14ac:dyDescent="0.2">
      <c r="A3537" s="1126" t="s">
        <v>4119</v>
      </c>
      <c r="B3537" s="1127">
        <v>239</v>
      </c>
      <c r="C3537" s="1128">
        <v>68.61</v>
      </c>
      <c r="D3537" s="1128">
        <v>232.89</v>
      </c>
      <c r="E3537" s="1126"/>
    </row>
    <row r="3538" spans="1:5" x14ac:dyDescent="0.2">
      <c r="A3538" s="1126" t="s">
        <v>4120</v>
      </c>
      <c r="B3538" s="1127">
        <v>365</v>
      </c>
      <c r="C3538" s="1128">
        <v>71.48</v>
      </c>
      <c r="D3538" s="1128">
        <v>322.37</v>
      </c>
      <c r="E3538" s="1126"/>
    </row>
    <row r="3539" spans="1:5" x14ac:dyDescent="0.2">
      <c r="A3539" s="1126" t="s">
        <v>4121</v>
      </c>
      <c r="B3539" s="1127">
        <v>461</v>
      </c>
      <c r="C3539" s="1128">
        <v>0</v>
      </c>
      <c r="D3539" s="1128">
        <v>120.99</v>
      </c>
      <c r="E3539" s="1126"/>
    </row>
    <row r="3540" spans="1:5" x14ac:dyDescent="0.2">
      <c r="A3540" s="1126" t="s">
        <v>4122</v>
      </c>
      <c r="B3540" s="1127">
        <v>250</v>
      </c>
      <c r="C3540" s="1128">
        <v>230.12</v>
      </c>
      <c r="D3540" s="1128">
        <v>401.96</v>
      </c>
      <c r="E3540" s="1126"/>
    </row>
    <row r="3541" spans="1:5" x14ac:dyDescent="0.2">
      <c r="A3541" s="1126" t="s">
        <v>4123</v>
      </c>
      <c r="B3541" s="1127">
        <v>93</v>
      </c>
      <c r="C3541" s="1128">
        <v>4</v>
      </c>
      <c r="D3541" s="1128">
        <v>67.92</v>
      </c>
      <c r="E3541" s="1126"/>
    </row>
    <row r="3542" spans="1:5" x14ac:dyDescent="0.2">
      <c r="A3542" s="1126" t="s">
        <v>4124</v>
      </c>
      <c r="B3542" s="1127">
        <v>428</v>
      </c>
      <c r="C3542" s="1128">
        <v>0</v>
      </c>
      <c r="D3542" s="1128">
        <v>154.29</v>
      </c>
      <c r="E3542" s="1126"/>
    </row>
    <row r="3543" spans="1:5" x14ac:dyDescent="0.2">
      <c r="A3543" s="1126" t="s">
        <v>4125</v>
      </c>
      <c r="B3543" s="1127">
        <v>258</v>
      </c>
      <c r="C3543" s="1128">
        <v>0</v>
      </c>
      <c r="D3543" s="1128">
        <v>80.73</v>
      </c>
      <c r="E3543" s="1126"/>
    </row>
    <row r="3544" spans="1:5" x14ac:dyDescent="0.2">
      <c r="A3544" s="1126" t="s">
        <v>4126</v>
      </c>
      <c r="B3544" s="1127">
        <v>405</v>
      </c>
      <c r="C3544" s="1128">
        <v>170.96</v>
      </c>
      <c r="D3544" s="1128">
        <v>449.34</v>
      </c>
      <c r="E3544" s="1126"/>
    </row>
    <row r="3545" spans="1:5" x14ac:dyDescent="0.2">
      <c r="A3545" s="1126" t="s">
        <v>4127</v>
      </c>
      <c r="B3545" s="1127">
        <v>327</v>
      </c>
      <c r="C3545" s="1128">
        <v>406.23</v>
      </c>
      <c r="D3545" s="1128">
        <v>630.99</v>
      </c>
      <c r="E3545" s="1126"/>
    </row>
    <row r="3546" spans="1:5" x14ac:dyDescent="0.2">
      <c r="A3546" s="1126" t="s">
        <v>4128</v>
      </c>
      <c r="B3546" s="1127">
        <v>138</v>
      </c>
      <c r="C3546" s="1128">
        <v>0</v>
      </c>
      <c r="D3546" s="1128">
        <v>34.57</v>
      </c>
      <c r="E3546" s="1126"/>
    </row>
    <row r="3547" spans="1:5" x14ac:dyDescent="0.2">
      <c r="A3547" s="1126" t="s">
        <v>4129</v>
      </c>
      <c r="B3547" s="1127">
        <v>106</v>
      </c>
      <c r="C3547" s="1128">
        <v>130.5</v>
      </c>
      <c r="D3547" s="1128">
        <v>203.36</v>
      </c>
      <c r="E3547" s="1126"/>
    </row>
    <row r="3548" spans="1:5" x14ac:dyDescent="0.2">
      <c r="A3548" s="1126" t="s">
        <v>4130</v>
      </c>
      <c r="B3548" s="1127">
        <v>321</v>
      </c>
      <c r="C3548" s="1128">
        <v>346.45</v>
      </c>
      <c r="D3548" s="1128">
        <v>567.09</v>
      </c>
      <c r="E3548" s="1126"/>
    </row>
    <row r="3549" spans="1:5" x14ac:dyDescent="0.2">
      <c r="A3549" s="1126" t="s">
        <v>4131</v>
      </c>
      <c r="B3549" s="1127">
        <v>211</v>
      </c>
      <c r="C3549" s="1128">
        <v>0</v>
      </c>
      <c r="D3549" s="1128">
        <v>121.87</v>
      </c>
      <c r="E3549" s="1126"/>
    </row>
    <row r="3550" spans="1:5" x14ac:dyDescent="0.2">
      <c r="A3550" s="1126" t="s">
        <v>4132</v>
      </c>
      <c r="B3550" s="1127">
        <v>95</v>
      </c>
      <c r="C3550" s="1128">
        <v>74.09</v>
      </c>
      <c r="D3550" s="1128">
        <v>139.38999999999999</v>
      </c>
      <c r="E3550" s="1126"/>
    </row>
    <row r="3551" spans="1:5" x14ac:dyDescent="0.2">
      <c r="A3551" s="1126" t="s">
        <v>4133</v>
      </c>
      <c r="B3551" s="1127">
        <v>87</v>
      </c>
      <c r="C3551" s="1128">
        <v>0</v>
      </c>
      <c r="D3551" s="1128">
        <v>50.9</v>
      </c>
      <c r="E3551" s="1126"/>
    </row>
    <row r="3552" spans="1:5" x14ac:dyDescent="0.2">
      <c r="A3552" s="1126" t="s">
        <v>4134</v>
      </c>
      <c r="B3552" s="1127">
        <v>365</v>
      </c>
      <c r="C3552" s="1128">
        <v>421.06</v>
      </c>
      <c r="D3552" s="1128">
        <v>671.95</v>
      </c>
      <c r="E3552" s="1126"/>
    </row>
    <row r="3553" spans="1:5" x14ac:dyDescent="0.2">
      <c r="A3553" s="1126" t="s">
        <v>4135</v>
      </c>
      <c r="B3553" s="1127">
        <v>320</v>
      </c>
      <c r="C3553" s="1128">
        <v>0</v>
      </c>
      <c r="D3553" s="1128">
        <v>119.74</v>
      </c>
      <c r="E3553" s="1126"/>
    </row>
    <row r="3554" spans="1:5" x14ac:dyDescent="0.2">
      <c r="A3554" s="1126" t="s">
        <v>4136</v>
      </c>
      <c r="B3554" s="1127">
        <v>475</v>
      </c>
      <c r="C3554" s="1128">
        <v>0</v>
      </c>
      <c r="D3554" s="1128">
        <v>308.68</v>
      </c>
      <c r="E3554" s="1126"/>
    </row>
    <row r="3555" spans="1:5" x14ac:dyDescent="0.2">
      <c r="A3555" s="1126" t="s">
        <v>4137</v>
      </c>
      <c r="B3555" s="1127">
        <v>101</v>
      </c>
      <c r="C3555" s="1128">
        <v>14.71</v>
      </c>
      <c r="D3555" s="1128">
        <v>84.14</v>
      </c>
      <c r="E3555" s="1126"/>
    </row>
    <row r="3556" spans="1:5" x14ac:dyDescent="0.2">
      <c r="A3556" s="1126" t="s">
        <v>4138</v>
      </c>
      <c r="B3556" s="1127">
        <v>194</v>
      </c>
      <c r="C3556" s="1128">
        <v>114.18</v>
      </c>
      <c r="D3556" s="1128">
        <v>247.53</v>
      </c>
      <c r="E3556" s="1126"/>
    </row>
    <row r="3557" spans="1:5" x14ac:dyDescent="0.2">
      <c r="A3557" s="1126" t="s">
        <v>4139</v>
      </c>
      <c r="B3557" s="1127">
        <v>59</v>
      </c>
      <c r="C3557" s="1128">
        <v>0</v>
      </c>
      <c r="D3557" s="1128">
        <v>15.06</v>
      </c>
      <c r="E3557" s="1126"/>
    </row>
    <row r="3558" spans="1:5" x14ac:dyDescent="0.2">
      <c r="A3558" s="1126" t="s">
        <v>4140</v>
      </c>
      <c r="B3558" s="1127">
        <v>190</v>
      </c>
      <c r="C3558" s="1128">
        <v>0</v>
      </c>
      <c r="D3558" s="1128">
        <v>34.47</v>
      </c>
      <c r="E3558" s="1126"/>
    </row>
    <row r="3559" spans="1:5" x14ac:dyDescent="0.2">
      <c r="A3559" s="1126" t="s">
        <v>4141</v>
      </c>
      <c r="B3559" s="1127">
        <v>131</v>
      </c>
      <c r="C3559" s="1128">
        <v>0</v>
      </c>
      <c r="D3559" s="1128">
        <v>79.44</v>
      </c>
      <c r="E3559" s="1126"/>
    </row>
    <row r="3560" spans="1:5" x14ac:dyDescent="0.2">
      <c r="A3560" s="1126" t="s">
        <v>4142</v>
      </c>
      <c r="B3560" s="1127">
        <v>170</v>
      </c>
      <c r="C3560" s="1128">
        <v>260.68</v>
      </c>
      <c r="D3560" s="1128">
        <v>377.53</v>
      </c>
      <c r="E3560" s="1126"/>
    </row>
    <row r="3561" spans="1:5" x14ac:dyDescent="0.2">
      <c r="A3561" s="1126" t="s">
        <v>4143</v>
      </c>
      <c r="B3561" s="1127">
        <v>120</v>
      </c>
      <c r="C3561" s="1128">
        <v>10.37</v>
      </c>
      <c r="D3561" s="1128">
        <v>92.85</v>
      </c>
      <c r="E3561" s="1126"/>
    </row>
    <row r="3562" spans="1:5" x14ac:dyDescent="0.2">
      <c r="A3562" s="1126" t="s">
        <v>4144</v>
      </c>
      <c r="B3562" s="1127">
        <v>225</v>
      </c>
      <c r="C3562" s="1128">
        <v>0</v>
      </c>
      <c r="D3562" s="1128">
        <v>62.55</v>
      </c>
      <c r="E3562" s="1126"/>
    </row>
    <row r="3563" spans="1:5" x14ac:dyDescent="0.2">
      <c r="A3563" s="1126" t="s">
        <v>4145</v>
      </c>
      <c r="B3563" s="1127">
        <v>242</v>
      </c>
      <c r="C3563" s="1128">
        <v>0</v>
      </c>
      <c r="D3563" s="1128">
        <v>14.66</v>
      </c>
      <c r="E3563" s="1126"/>
    </row>
    <row r="3564" spans="1:5" x14ac:dyDescent="0.2">
      <c r="A3564" s="1126" t="s">
        <v>4146</v>
      </c>
      <c r="B3564" s="1127">
        <v>148</v>
      </c>
      <c r="C3564" s="1128">
        <v>5.26</v>
      </c>
      <c r="D3564" s="1128">
        <v>106.99</v>
      </c>
      <c r="E3564" s="1126"/>
    </row>
    <row r="3565" spans="1:5" x14ac:dyDescent="0.2">
      <c r="A3565" s="1126" t="s">
        <v>4147</v>
      </c>
      <c r="B3565" s="1127">
        <v>181</v>
      </c>
      <c r="C3565" s="1128">
        <v>0</v>
      </c>
      <c r="D3565" s="1128">
        <v>69.23</v>
      </c>
      <c r="E3565" s="1126"/>
    </row>
    <row r="3566" spans="1:5" x14ac:dyDescent="0.2">
      <c r="A3566" s="1126" t="s">
        <v>4148</v>
      </c>
      <c r="B3566" s="1127">
        <v>157</v>
      </c>
      <c r="C3566" s="1128">
        <v>58.78</v>
      </c>
      <c r="D3566" s="1128">
        <v>166.69</v>
      </c>
      <c r="E3566" s="1126"/>
    </row>
    <row r="3567" spans="1:5" x14ac:dyDescent="0.2">
      <c r="A3567" s="1126" t="s">
        <v>4149</v>
      </c>
      <c r="B3567" s="1127">
        <v>125</v>
      </c>
      <c r="C3567" s="1128">
        <v>258.39999999999998</v>
      </c>
      <c r="D3567" s="1128">
        <v>344.32</v>
      </c>
      <c r="E3567" s="1126"/>
    </row>
    <row r="3568" spans="1:5" x14ac:dyDescent="0.2">
      <c r="A3568" s="1126" t="s">
        <v>4150</v>
      </c>
      <c r="B3568" s="1127">
        <v>322</v>
      </c>
      <c r="C3568" s="1128">
        <v>636.85</v>
      </c>
      <c r="D3568" s="1128">
        <v>858.19</v>
      </c>
      <c r="E3568" s="1126"/>
    </row>
    <row r="3569" spans="1:5" x14ac:dyDescent="0.2">
      <c r="A3569" s="1126" t="s">
        <v>4151</v>
      </c>
      <c r="B3569" s="1127">
        <v>321</v>
      </c>
      <c r="C3569" s="1128">
        <v>110.35</v>
      </c>
      <c r="D3569" s="1128">
        <v>331</v>
      </c>
      <c r="E3569" s="1126"/>
    </row>
    <row r="3570" spans="1:5" x14ac:dyDescent="0.2">
      <c r="A3570" s="1126" t="s">
        <v>4152</v>
      </c>
      <c r="B3570" s="1127">
        <v>124</v>
      </c>
      <c r="C3570" s="1128">
        <v>104.89</v>
      </c>
      <c r="D3570" s="1128">
        <v>190.13</v>
      </c>
      <c r="E3570" s="1126"/>
    </row>
    <row r="3571" spans="1:5" x14ac:dyDescent="0.2">
      <c r="A3571" s="1126" t="s">
        <v>4153</v>
      </c>
      <c r="B3571" s="1127">
        <v>167</v>
      </c>
      <c r="C3571" s="1128">
        <v>372.11</v>
      </c>
      <c r="D3571" s="1128">
        <v>486.9</v>
      </c>
      <c r="E3571" s="1126"/>
    </row>
    <row r="3572" spans="1:5" x14ac:dyDescent="0.2">
      <c r="A3572" s="1126" t="s">
        <v>4154</v>
      </c>
      <c r="B3572" s="1127">
        <v>38</v>
      </c>
      <c r="C3572" s="1128">
        <v>0</v>
      </c>
      <c r="D3572" s="1128">
        <v>4.34</v>
      </c>
      <c r="E3572" s="1126" t="s">
        <v>669</v>
      </c>
    </row>
    <row r="3573" spans="1:5" x14ac:dyDescent="0.2">
      <c r="A3573" s="1126" t="s">
        <v>4155</v>
      </c>
      <c r="B3573" s="1127">
        <v>94</v>
      </c>
      <c r="C3573" s="1128">
        <v>46.65</v>
      </c>
      <c r="D3573" s="1128">
        <v>111.26</v>
      </c>
      <c r="E3573" s="1126"/>
    </row>
    <row r="3574" spans="1:5" x14ac:dyDescent="0.2">
      <c r="A3574" s="1126" t="s">
        <v>4156</v>
      </c>
      <c r="B3574" s="1127">
        <v>94</v>
      </c>
      <c r="C3574" s="1128">
        <v>0</v>
      </c>
      <c r="D3574" s="1128">
        <v>37.130000000000003</v>
      </c>
      <c r="E3574" s="1126"/>
    </row>
    <row r="3575" spans="1:5" x14ac:dyDescent="0.2">
      <c r="A3575" s="1126" t="s">
        <v>4157</v>
      </c>
      <c r="B3575" s="1127">
        <v>46</v>
      </c>
      <c r="C3575" s="1128">
        <v>0</v>
      </c>
      <c r="D3575" s="1128">
        <v>14.5</v>
      </c>
      <c r="E3575" s="1126"/>
    </row>
    <row r="3576" spans="1:5" x14ac:dyDescent="0.2">
      <c r="A3576" s="1126" t="s">
        <v>4158</v>
      </c>
      <c r="B3576" s="1127">
        <v>79</v>
      </c>
      <c r="C3576" s="1128">
        <v>0</v>
      </c>
      <c r="D3576" s="1128">
        <v>27.06</v>
      </c>
      <c r="E3576" s="1126"/>
    </row>
    <row r="3577" spans="1:5" x14ac:dyDescent="0.2">
      <c r="A3577" s="1126" t="s">
        <v>4159</v>
      </c>
      <c r="B3577" s="1127">
        <v>154</v>
      </c>
      <c r="C3577" s="1128">
        <v>1.92</v>
      </c>
      <c r="D3577" s="1128">
        <v>107.77</v>
      </c>
      <c r="E3577" s="1126"/>
    </row>
    <row r="3578" spans="1:5" x14ac:dyDescent="0.2">
      <c r="A3578" s="1126" t="s">
        <v>4160</v>
      </c>
      <c r="B3578" s="1127">
        <v>51</v>
      </c>
      <c r="C3578" s="1128">
        <v>0</v>
      </c>
      <c r="D3578" s="1128">
        <v>24.87</v>
      </c>
      <c r="E3578" s="1126"/>
    </row>
    <row r="3579" spans="1:5" x14ac:dyDescent="0.2">
      <c r="A3579" s="1126" t="s">
        <v>4161</v>
      </c>
      <c r="B3579" s="1127">
        <v>203</v>
      </c>
      <c r="C3579" s="1128">
        <v>25.66</v>
      </c>
      <c r="D3579" s="1128">
        <v>165.2</v>
      </c>
      <c r="E3579" s="1126"/>
    </row>
    <row r="3580" spans="1:5" x14ac:dyDescent="0.2">
      <c r="A3580" s="1126" t="s">
        <v>4162</v>
      </c>
      <c r="B3580" s="1127">
        <v>236</v>
      </c>
      <c r="C3580" s="1128">
        <v>0</v>
      </c>
      <c r="D3580" s="1128">
        <v>44.74</v>
      </c>
      <c r="E3580" s="1126"/>
    </row>
    <row r="3581" spans="1:5" x14ac:dyDescent="0.2">
      <c r="A3581" s="1126" t="s">
        <v>4163</v>
      </c>
      <c r="B3581" s="1127">
        <v>161</v>
      </c>
      <c r="C3581" s="1128">
        <v>1.49</v>
      </c>
      <c r="D3581" s="1128">
        <v>112.15</v>
      </c>
      <c r="E3581" s="1126"/>
    </row>
    <row r="3582" spans="1:5" x14ac:dyDescent="0.2">
      <c r="A3582" s="1126" t="s">
        <v>4164</v>
      </c>
      <c r="B3582" s="1127">
        <v>98</v>
      </c>
      <c r="C3582" s="1128">
        <v>131.74</v>
      </c>
      <c r="D3582" s="1128">
        <v>199.1</v>
      </c>
      <c r="E3582" s="1126"/>
    </row>
    <row r="3583" spans="1:5" x14ac:dyDescent="0.2">
      <c r="A3583" s="1126" t="s">
        <v>4165</v>
      </c>
      <c r="B3583" s="1127">
        <v>65</v>
      </c>
      <c r="C3583" s="1128">
        <v>124.53</v>
      </c>
      <c r="D3583" s="1128">
        <v>169.21</v>
      </c>
      <c r="E3583" s="1126"/>
    </row>
    <row r="3584" spans="1:5" x14ac:dyDescent="0.2">
      <c r="A3584" s="1126" t="s">
        <v>4166</v>
      </c>
      <c r="B3584" s="1127">
        <v>86</v>
      </c>
      <c r="C3584" s="1128">
        <v>80.52</v>
      </c>
      <c r="D3584" s="1128">
        <v>139.63</v>
      </c>
      <c r="E3584" s="1126"/>
    </row>
    <row r="3585" spans="1:5" x14ac:dyDescent="0.2">
      <c r="A3585" s="1126" t="s">
        <v>4167</v>
      </c>
      <c r="B3585" s="1127">
        <v>423</v>
      </c>
      <c r="C3585" s="1128">
        <v>14.25</v>
      </c>
      <c r="D3585" s="1128">
        <v>305.01</v>
      </c>
      <c r="E3585" s="1126"/>
    </row>
    <row r="3586" spans="1:5" x14ac:dyDescent="0.2">
      <c r="A3586" s="1126" t="s">
        <v>4168</v>
      </c>
      <c r="B3586" s="1127">
        <v>369</v>
      </c>
      <c r="C3586" s="1128">
        <v>536.83000000000004</v>
      </c>
      <c r="D3586" s="1128">
        <v>790.46</v>
      </c>
      <c r="E3586" s="1126"/>
    </row>
    <row r="3587" spans="1:5" x14ac:dyDescent="0.2">
      <c r="A3587" s="1126" t="s">
        <v>4169</v>
      </c>
      <c r="B3587" s="1127">
        <v>326</v>
      </c>
      <c r="C3587" s="1128">
        <v>0</v>
      </c>
      <c r="D3587" s="1128">
        <v>159.47999999999999</v>
      </c>
      <c r="E3587" s="1126"/>
    </row>
    <row r="3588" spans="1:5" x14ac:dyDescent="0.2">
      <c r="A3588" s="1126" t="s">
        <v>4170</v>
      </c>
      <c r="B3588" s="1127">
        <v>366</v>
      </c>
      <c r="C3588" s="1128">
        <v>1046.8900000000001</v>
      </c>
      <c r="D3588" s="1128">
        <v>1298.47</v>
      </c>
      <c r="E3588" s="1126"/>
    </row>
    <row r="3589" spans="1:5" x14ac:dyDescent="0.2">
      <c r="A3589" s="1126" t="s">
        <v>4171</v>
      </c>
      <c r="B3589" s="1127">
        <v>302</v>
      </c>
      <c r="C3589" s="1128">
        <v>66.62</v>
      </c>
      <c r="D3589" s="1128">
        <v>274.2</v>
      </c>
      <c r="E3589" s="1126"/>
    </row>
    <row r="3590" spans="1:5" x14ac:dyDescent="0.2">
      <c r="A3590" s="1126" t="s">
        <v>4172</v>
      </c>
      <c r="B3590" s="1127">
        <v>220</v>
      </c>
      <c r="C3590" s="1128">
        <v>0</v>
      </c>
      <c r="D3590" s="1128">
        <v>92.46</v>
      </c>
      <c r="E3590" s="1126"/>
    </row>
    <row r="3591" spans="1:5" x14ac:dyDescent="0.2">
      <c r="A3591" s="1126" t="s">
        <v>4173</v>
      </c>
      <c r="B3591" s="1127">
        <v>275</v>
      </c>
      <c r="C3591" s="1128">
        <v>20.41</v>
      </c>
      <c r="D3591" s="1128">
        <v>209.44</v>
      </c>
      <c r="E3591" s="1126"/>
    </row>
    <row r="3592" spans="1:5" x14ac:dyDescent="0.2">
      <c r="A3592" s="1126" t="s">
        <v>4174</v>
      </c>
      <c r="B3592" s="1127">
        <v>196</v>
      </c>
      <c r="C3592" s="1128">
        <v>0</v>
      </c>
      <c r="D3592" s="1128">
        <v>99.99</v>
      </c>
      <c r="E3592" s="1126"/>
    </row>
    <row r="3593" spans="1:5" x14ac:dyDescent="0.2">
      <c r="A3593" s="1126" t="s">
        <v>4175</v>
      </c>
      <c r="B3593" s="1127">
        <v>238</v>
      </c>
      <c r="C3593" s="1128">
        <v>248.28</v>
      </c>
      <c r="D3593" s="1128">
        <v>411.87</v>
      </c>
      <c r="E3593" s="1126"/>
    </row>
    <row r="3594" spans="1:5" x14ac:dyDescent="0.2">
      <c r="A3594" s="1126" t="s">
        <v>4176</v>
      </c>
      <c r="B3594" s="1127">
        <v>180</v>
      </c>
      <c r="C3594" s="1128">
        <v>57.32</v>
      </c>
      <c r="D3594" s="1128">
        <v>181.05</v>
      </c>
      <c r="E3594" s="1126"/>
    </row>
    <row r="3595" spans="1:5" x14ac:dyDescent="0.2">
      <c r="A3595" s="1126" t="s">
        <v>4177</v>
      </c>
      <c r="B3595" s="1127">
        <v>138</v>
      </c>
      <c r="C3595" s="1128">
        <v>3.92</v>
      </c>
      <c r="D3595" s="1128">
        <v>98.78</v>
      </c>
      <c r="E3595" s="1126"/>
    </row>
    <row r="3596" spans="1:5" x14ac:dyDescent="0.2">
      <c r="A3596" s="1126" t="s">
        <v>4178</v>
      </c>
      <c r="B3596" s="1127">
        <v>34</v>
      </c>
      <c r="C3596" s="1128">
        <v>0</v>
      </c>
      <c r="D3596" s="1128">
        <v>9.0399999999999991</v>
      </c>
      <c r="E3596" s="1126" t="s">
        <v>669</v>
      </c>
    </row>
    <row r="3597" spans="1:5" x14ac:dyDescent="0.2">
      <c r="A3597" s="1126" t="s">
        <v>4179</v>
      </c>
      <c r="B3597" s="1127">
        <v>236</v>
      </c>
      <c r="C3597" s="1128">
        <v>719.91</v>
      </c>
      <c r="D3597" s="1128">
        <v>882.12</v>
      </c>
      <c r="E3597" s="1126"/>
    </row>
    <row r="3598" spans="1:5" x14ac:dyDescent="0.2">
      <c r="A3598" s="1126" t="s">
        <v>4180</v>
      </c>
      <c r="B3598" s="1127">
        <v>443</v>
      </c>
      <c r="C3598" s="1128">
        <v>751.17</v>
      </c>
      <c r="D3598" s="1128">
        <v>1055.67</v>
      </c>
      <c r="E3598" s="1126"/>
    </row>
    <row r="3599" spans="1:5" x14ac:dyDescent="0.2">
      <c r="A3599" s="1126" t="s">
        <v>4181</v>
      </c>
      <c r="B3599" s="1127">
        <v>226</v>
      </c>
      <c r="C3599" s="1128">
        <v>0</v>
      </c>
      <c r="D3599" s="1128">
        <v>93</v>
      </c>
      <c r="E3599" s="1126"/>
    </row>
    <row r="3600" spans="1:5" x14ac:dyDescent="0.2">
      <c r="A3600" s="1126" t="s">
        <v>4182</v>
      </c>
      <c r="B3600" s="1127">
        <v>83</v>
      </c>
      <c r="C3600" s="1128">
        <v>7.71</v>
      </c>
      <c r="D3600" s="1128">
        <v>64.760000000000005</v>
      </c>
      <c r="E3600" s="1126"/>
    </row>
    <row r="3601" spans="1:5" x14ac:dyDescent="0.2">
      <c r="A3601" s="1126" t="s">
        <v>4183</v>
      </c>
      <c r="B3601" s="1127">
        <v>245</v>
      </c>
      <c r="C3601" s="1128">
        <v>0</v>
      </c>
      <c r="D3601" s="1128">
        <v>90.37</v>
      </c>
      <c r="E3601" s="1126"/>
    </row>
    <row r="3602" spans="1:5" x14ac:dyDescent="0.2">
      <c r="A3602" s="1126" t="s">
        <v>4184</v>
      </c>
      <c r="B3602" s="1127">
        <v>124</v>
      </c>
      <c r="C3602" s="1128">
        <v>92.02</v>
      </c>
      <c r="D3602" s="1128">
        <v>177.26</v>
      </c>
      <c r="E3602" s="1126"/>
    </row>
    <row r="3603" spans="1:5" x14ac:dyDescent="0.2">
      <c r="A3603" s="1126" t="s">
        <v>4185</v>
      </c>
      <c r="B3603" s="1127">
        <v>121</v>
      </c>
      <c r="C3603" s="1128">
        <v>24.74</v>
      </c>
      <c r="D3603" s="1128">
        <v>107.91</v>
      </c>
      <c r="E3603" s="1126"/>
    </row>
    <row r="3604" spans="1:5" x14ac:dyDescent="0.2">
      <c r="A3604" s="1126" t="s">
        <v>4186</v>
      </c>
      <c r="B3604" s="1127">
        <v>136</v>
      </c>
      <c r="C3604" s="1128">
        <v>62.74</v>
      </c>
      <c r="D3604" s="1128">
        <v>156.22</v>
      </c>
      <c r="E3604" s="1126"/>
    </row>
    <row r="3605" spans="1:5" x14ac:dyDescent="0.2">
      <c r="A3605" s="1126" t="s">
        <v>4187</v>
      </c>
      <c r="B3605" s="1127">
        <v>479</v>
      </c>
      <c r="C3605" s="1128">
        <v>341.94</v>
      </c>
      <c r="D3605" s="1128">
        <v>671.18</v>
      </c>
      <c r="E3605" s="1126"/>
    </row>
    <row r="3606" spans="1:5" x14ac:dyDescent="0.2">
      <c r="A3606" s="1126" t="s">
        <v>4188</v>
      </c>
      <c r="B3606" s="1127">
        <v>283</v>
      </c>
      <c r="C3606" s="1128">
        <v>40.68</v>
      </c>
      <c r="D3606" s="1128">
        <v>235.2</v>
      </c>
      <c r="E3606" s="1126"/>
    </row>
    <row r="3607" spans="1:5" x14ac:dyDescent="0.2">
      <c r="A3607" s="1126" t="s">
        <v>4189</v>
      </c>
      <c r="B3607" s="1127">
        <v>354</v>
      </c>
      <c r="C3607" s="1128">
        <v>0</v>
      </c>
      <c r="D3607" s="1128">
        <v>237.18</v>
      </c>
      <c r="E3607" s="1126"/>
    </row>
    <row r="3608" spans="1:5" x14ac:dyDescent="0.2">
      <c r="A3608" s="1126" t="s">
        <v>4190</v>
      </c>
      <c r="B3608" s="1127">
        <v>205</v>
      </c>
      <c r="C3608" s="1128">
        <v>0</v>
      </c>
      <c r="D3608" s="1128">
        <v>139.56</v>
      </c>
      <c r="E3608" s="1126"/>
    </row>
    <row r="3609" spans="1:5" x14ac:dyDescent="0.2">
      <c r="A3609" s="1126" t="s">
        <v>4191</v>
      </c>
      <c r="B3609" s="1127">
        <v>46</v>
      </c>
      <c r="C3609" s="1128">
        <v>107</v>
      </c>
      <c r="D3609" s="1128">
        <v>138.62</v>
      </c>
      <c r="E3609" s="1126"/>
    </row>
    <row r="3610" spans="1:5" x14ac:dyDescent="0.2">
      <c r="A3610" s="1126" t="s">
        <v>4192</v>
      </c>
      <c r="B3610" s="1127">
        <v>248</v>
      </c>
      <c r="C3610" s="1128">
        <v>0</v>
      </c>
      <c r="D3610" s="1128">
        <v>36.229999999999997</v>
      </c>
      <c r="E3610" s="1126"/>
    </row>
    <row r="3611" spans="1:5" x14ac:dyDescent="0.2">
      <c r="A3611" s="1126" t="s">
        <v>4193</v>
      </c>
      <c r="B3611" s="1127">
        <v>360</v>
      </c>
      <c r="C3611" s="1128">
        <v>175.89</v>
      </c>
      <c r="D3611" s="1128">
        <v>423.34</v>
      </c>
      <c r="E3611" s="1126"/>
    </row>
    <row r="3612" spans="1:5" x14ac:dyDescent="0.2">
      <c r="A3612" s="1126" t="s">
        <v>4194</v>
      </c>
      <c r="B3612" s="1127">
        <v>202</v>
      </c>
      <c r="C3612" s="1128">
        <v>195.76</v>
      </c>
      <c r="D3612" s="1128">
        <v>334.61</v>
      </c>
      <c r="E3612" s="1126"/>
    </row>
    <row r="3613" spans="1:5" x14ac:dyDescent="0.2">
      <c r="A3613" s="1126" t="s">
        <v>4195</v>
      </c>
      <c r="B3613" s="1127">
        <v>151</v>
      </c>
      <c r="C3613" s="1128">
        <v>546.67999999999995</v>
      </c>
      <c r="D3613" s="1128">
        <v>650.48</v>
      </c>
      <c r="E3613" s="1126"/>
    </row>
    <row r="3614" spans="1:5" x14ac:dyDescent="0.2">
      <c r="A3614" s="1126" t="s">
        <v>4196</v>
      </c>
      <c r="B3614" s="1127">
        <v>137</v>
      </c>
      <c r="C3614" s="1128">
        <v>290.99</v>
      </c>
      <c r="D3614" s="1128">
        <v>385.16</v>
      </c>
      <c r="E3614" s="1126"/>
    </row>
    <row r="3615" spans="1:5" x14ac:dyDescent="0.2">
      <c r="A3615" s="1126" t="s">
        <v>4197</v>
      </c>
      <c r="B3615" s="1127">
        <v>30</v>
      </c>
      <c r="C3615" s="1128">
        <v>0</v>
      </c>
      <c r="D3615" s="1128">
        <v>8.93</v>
      </c>
      <c r="E3615" s="1126" t="s">
        <v>669</v>
      </c>
    </row>
    <row r="3616" spans="1:5" x14ac:dyDescent="0.2">
      <c r="A3616" s="1126" t="s">
        <v>4198</v>
      </c>
      <c r="B3616" s="1127">
        <v>39</v>
      </c>
      <c r="C3616" s="1128">
        <v>0</v>
      </c>
      <c r="D3616" s="1128">
        <v>6.56</v>
      </c>
      <c r="E3616" s="1126" t="s">
        <v>669</v>
      </c>
    </row>
    <row r="3617" spans="1:5" x14ac:dyDescent="0.2">
      <c r="A3617" s="1126" t="s">
        <v>4199</v>
      </c>
      <c r="B3617" s="1127">
        <v>273</v>
      </c>
      <c r="C3617" s="1128">
        <v>691.06</v>
      </c>
      <c r="D3617" s="1128">
        <v>878.71</v>
      </c>
      <c r="E3617" s="1126"/>
    </row>
    <row r="3618" spans="1:5" x14ac:dyDescent="0.2">
      <c r="A3618" s="1126" t="s">
        <v>4200</v>
      </c>
      <c r="B3618" s="1127">
        <v>362</v>
      </c>
      <c r="C3618" s="1128">
        <v>0</v>
      </c>
      <c r="D3618" s="1128">
        <v>242.14</v>
      </c>
      <c r="E3618" s="1126"/>
    </row>
    <row r="3619" spans="1:5" x14ac:dyDescent="0.2">
      <c r="A3619" s="1126" t="s">
        <v>4201</v>
      </c>
      <c r="B3619" s="1127">
        <v>132</v>
      </c>
      <c r="C3619" s="1128">
        <v>2.5499999999999998</v>
      </c>
      <c r="D3619" s="1128">
        <v>93.28</v>
      </c>
      <c r="E3619" s="1126"/>
    </row>
    <row r="3620" spans="1:5" x14ac:dyDescent="0.2">
      <c r="A3620" s="1126" t="s">
        <v>4202</v>
      </c>
      <c r="B3620" s="1127">
        <v>87</v>
      </c>
      <c r="C3620" s="1128">
        <v>0</v>
      </c>
      <c r="D3620" s="1128">
        <v>43.09</v>
      </c>
      <c r="E3620" s="1126"/>
    </row>
    <row r="3621" spans="1:5" x14ac:dyDescent="0.2">
      <c r="A3621" s="1126" t="s">
        <v>4203</v>
      </c>
      <c r="B3621" s="1127">
        <v>155</v>
      </c>
      <c r="C3621" s="1128">
        <v>468.63</v>
      </c>
      <c r="D3621" s="1128">
        <v>575.16999999999996</v>
      </c>
      <c r="E3621" s="1126"/>
    </row>
    <row r="3622" spans="1:5" x14ac:dyDescent="0.2">
      <c r="A3622" s="1126" t="s">
        <v>4204</v>
      </c>
      <c r="B3622" s="1127">
        <v>170</v>
      </c>
      <c r="C3622" s="1128">
        <v>0</v>
      </c>
      <c r="D3622" s="1128">
        <v>49.51</v>
      </c>
      <c r="E3622" s="1126"/>
    </row>
    <row r="3623" spans="1:5" x14ac:dyDescent="0.2">
      <c r="A3623" s="1126" t="s">
        <v>4205</v>
      </c>
      <c r="B3623" s="1127">
        <v>260</v>
      </c>
      <c r="C3623" s="1128">
        <v>0</v>
      </c>
      <c r="D3623" s="1128">
        <v>60.59</v>
      </c>
      <c r="E3623" s="1126"/>
    </row>
    <row r="3624" spans="1:5" x14ac:dyDescent="0.2">
      <c r="A3624" s="1126" t="s">
        <v>4206</v>
      </c>
      <c r="B3624" s="1127">
        <v>288</v>
      </c>
      <c r="C3624" s="1128">
        <v>0.57999999999999996</v>
      </c>
      <c r="D3624" s="1128">
        <v>198.54</v>
      </c>
      <c r="E3624" s="1126"/>
    </row>
    <row r="3625" spans="1:5" x14ac:dyDescent="0.2">
      <c r="A3625" s="1126" t="s">
        <v>4207</v>
      </c>
      <c r="B3625" s="1127">
        <v>170</v>
      </c>
      <c r="C3625" s="1128">
        <v>0</v>
      </c>
      <c r="D3625" s="1128">
        <v>102.86</v>
      </c>
      <c r="E3625" s="1126"/>
    </row>
    <row r="3626" spans="1:5" x14ac:dyDescent="0.2">
      <c r="A3626" s="1126" t="s">
        <v>4208</v>
      </c>
      <c r="B3626" s="1127">
        <v>246</v>
      </c>
      <c r="C3626" s="1128">
        <v>0</v>
      </c>
      <c r="D3626" s="1128">
        <v>21.9</v>
      </c>
      <c r="E3626" s="1126"/>
    </row>
    <row r="3627" spans="1:5" x14ac:dyDescent="0.2">
      <c r="A3627" s="1126" t="s">
        <v>4209</v>
      </c>
      <c r="B3627" s="1127">
        <v>187</v>
      </c>
      <c r="C3627" s="1128">
        <v>0</v>
      </c>
      <c r="D3627" s="1128">
        <v>106.8</v>
      </c>
      <c r="E3627" s="1126"/>
    </row>
    <row r="3628" spans="1:5" x14ac:dyDescent="0.2">
      <c r="A3628" s="1126" t="s">
        <v>4210</v>
      </c>
      <c r="B3628" s="1127">
        <v>315</v>
      </c>
      <c r="C3628" s="1128">
        <v>172.96</v>
      </c>
      <c r="D3628" s="1128">
        <v>389.48</v>
      </c>
      <c r="E3628" s="1126"/>
    </row>
    <row r="3629" spans="1:5" x14ac:dyDescent="0.2">
      <c r="A3629" s="1126" t="s">
        <v>4211</v>
      </c>
      <c r="B3629" s="1127">
        <v>224</v>
      </c>
      <c r="C3629" s="1128">
        <v>0</v>
      </c>
      <c r="D3629" s="1128">
        <v>0</v>
      </c>
      <c r="E3629" s="1126"/>
    </row>
    <row r="3630" spans="1:5" x14ac:dyDescent="0.2">
      <c r="A3630" s="1126" t="s">
        <v>4212</v>
      </c>
      <c r="B3630" s="1127">
        <v>89</v>
      </c>
      <c r="C3630" s="1128">
        <v>0</v>
      </c>
      <c r="D3630" s="1128">
        <v>19.260000000000002</v>
      </c>
      <c r="E3630" s="1126"/>
    </row>
    <row r="3631" spans="1:5" x14ac:dyDescent="0.2">
      <c r="A3631" s="1126" t="s">
        <v>4213</v>
      </c>
      <c r="B3631" s="1127">
        <v>227</v>
      </c>
      <c r="C3631" s="1128">
        <v>198.19</v>
      </c>
      <c r="D3631" s="1128">
        <v>354.22</v>
      </c>
      <c r="E3631" s="1126"/>
    </row>
    <row r="3632" spans="1:5" x14ac:dyDescent="0.2">
      <c r="A3632" s="1126" t="s">
        <v>4214</v>
      </c>
      <c r="B3632" s="1127">
        <v>76</v>
      </c>
      <c r="C3632" s="1128">
        <v>21.94</v>
      </c>
      <c r="D3632" s="1128">
        <v>74.180000000000007</v>
      </c>
      <c r="E3632" s="1126"/>
    </row>
    <row r="3633" spans="1:5" x14ac:dyDescent="0.2">
      <c r="A3633" s="1126" t="s">
        <v>4215</v>
      </c>
      <c r="B3633" s="1127">
        <v>228</v>
      </c>
      <c r="C3633" s="1128">
        <v>105.54</v>
      </c>
      <c r="D3633" s="1128">
        <v>262.25</v>
      </c>
      <c r="E3633" s="1126"/>
    </row>
    <row r="3634" spans="1:5" x14ac:dyDescent="0.2">
      <c r="A3634" s="1126" t="s">
        <v>4216</v>
      </c>
      <c r="B3634" s="1127">
        <v>70</v>
      </c>
      <c r="C3634" s="1128">
        <v>0</v>
      </c>
      <c r="D3634" s="1128">
        <v>9.99</v>
      </c>
      <c r="E3634" s="1126"/>
    </row>
    <row r="3635" spans="1:5" x14ac:dyDescent="0.2">
      <c r="A3635" s="1126" t="s">
        <v>4217</v>
      </c>
      <c r="B3635" s="1127">
        <v>229</v>
      </c>
      <c r="C3635" s="1128">
        <v>114.8</v>
      </c>
      <c r="D3635" s="1128">
        <v>272.2</v>
      </c>
      <c r="E3635" s="1126"/>
    </row>
    <row r="3636" spans="1:5" x14ac:dyDescent="0.2">
      <c r="A3636" s="1126" t="s">
        <v>4218</v>
      </c>
      <c r="B3636" s="1127">
        <v>250</v>
      </c>
      <c r="C3636" s="1128">
        <v>0</v>
      </c>
      <c r="D3636" s="1128">
        <v>52.33</v>
      </c>
      <c r="E3636" s="1126"/>
    </row>
    <row r="3637" spans="1:5" x14ac:dyDescent="0.2">
      <c r="A3637" s="1126" t="s">
        <v>4219</v>
      </c>
      <c r="B3637" s="1127">
        <v>388</v>
      </c>
      <c r="C3637" s="1128">
        <v>137.16999999999999</v>
      </c>
      <c r="D3637" s="1128">
        <v>403.87</v>
      </c>
      <c r="E3637" s="1126"/>
    </row>
    <row r="3638" spans="1:5" x14ac:dyDescent="0.2">
      <c r="A3638" s="1126" t="s">
        <v>4220</v>
      </c>
      <c r="B3638" s="1127">
        <v>474</v>
      </c>
      <c r="C3638" s="1128">
        <v>0</v>
      </c>
      <c r="D3638" s="1128">
        <v>43.13</v>
      </c>
      <c r="E3638" s="1126"/>
    </row>
    <row r="3639" spans="1:5" x14ac:dyDescent="0.2">
      <c r="A3639" s="1126" t="s">
        <v>4221</v>
      </c>
      <c r="B3639" s="1127">
        <v>242</v>
      </c>
      <c r="C3639" s="1128">
        <v>726.81</v>
      </c>
      <c r="D3639" s="1128">
        <v>893.15</v>
      </c>
      <c r="E3639" s="1126"/>
    </row>
    <row r="3640" spans="1:5" x14ac:dyDescent="0.2">
      <c r="A3640" s="1126" t="s">
        <v>4222</v>
      </c>
      <c r="B3640" s="1127">
        <v>173</v>
      </c>
      <c r="C3640" s="1128">
        <v>483.4</v>
      </c>
      <c r="D3640" s="1128">
        <v>602.30999999999995</v>
      </c>
      <c r="E3640" s="1126"/>
    </row>
    <row r="3641" spans="1:5" x14ac:dyDescent="0.2">
      <c r="A3641" s="1126" t="s">
        <v>4223</v>
      </c>
      <c r="B3641" s="1127">
        <v>143</v>
      </c>
      <c r="C3641" s="1128">
        <v>0</v>
      </c>
      <c r="D3641" s="1128">
        <v>40.69</v>
      </c>
      <c r="E3641" s="1126"/>
    </row>
    <row r="3642" spans="1:5" x14ac:dyDescent="0.2">
      <c r="A3642" s="1126" t="s">
        <v>4224</v>
      </c>
      <c r="B3642" s="1127">
        <v>30</v>
      </c>
      <c r="C3642" s="1128">
        <v>0</v>
      </c>
      <c r="D3642" s="1128">
        <v>15.15</v>
      </c>
      <c r="E3642" s="1126" t="s">
        <v>669</v>
      </c>
    </row>
    <row r="3643" spans="1:5" x14ac:dyDescent="0.2">
      <c r="A3643" s="1126" t="s">
        <v>4225</v>
      </c>
      <c r="B3643" s="1127">
        <v>274</v>
      </c>
      <c r="C3643" s="1128">
        <v>0</v>
      </c>
      <c r="D3643" s="1128">
        <v>27.98</v>
      </c>
      <c r="E3643" s="1126"/>
    </row>
    <row r="3644" spans="1:5" x14ac:dyDescent="0.2">
      <c r="A3644" s="1126" t="s">
        <v>4226</v>
      </c>
      <c r="B3644" s="1127">
        <v>468</v>
      </c>
      <c r="C3644" s="1128">
        <v>0</v>
      </c>
      <c r="D3644" s="1128">
        <v>235.37</v>
      </c>
      <c r="E3644" s="1126"/>
    </row>
    <row r="3645" spans="1:5" x14ac:dyDescent="0.2">
      <c r="A3645" s="1126" t="s">
        <v>4227</v>
      </c>
      <c r="B3645" s="1127">
        <v>136</v>
      </c>
      <c r="C3645" s="1128">
        <v>0</v>
      </c>
      <c r="D3645" s="1128">
        <v>23.74</v>
      </c>
      <c r="E3645" s="1126"/>
    </row>
    <row r="3646" spans="1:5" x14ac:dyDescent="0.2">
      <c r="A3646" s="1126" t="s">
        <v>4228</v>
      </c>
      <c r="B3646" s="1127">
        <v>78</v>
      </c>
      <c r="C3646" s="1128">
        <v>0</v>
      </c>
      <c r="D3646" s="1128">
        <v>4.3499999999999996</v>
      </c>
      <c r="E3646" s="1126"/>
    </row>
    <row r="3647" spans="1:5" x14ac:dyDescent="0.2">
      <c r="A3647" s="1126" t="s">
        <v>4229</v>
      </c>
      <c r="B3647" s="1127">
        <v>111</v>
      </c>
      <c r="C3647" s="1128">
        <v>0</v>
      </c>
      <c r="D3647" s="1128">
        <v>44.61</v>
      </c>
      <c r="E3647" s="1126"/>
    </row>
    <row r="3648" spans="1:5" x14ac:dyDescent="0.2">
      <c r="A3648" s="1126" t="s">
        <v>4230</v>
      </c>
      <c r="B3648" s="1127">
        <v>294</v>
      </c>
      <c r="C3648" s="1128">
        <v>0</v>
      </c>
      <c r="D3648" s="1128">
        <v>5.73</v>
      </c>
      <c r="E3648" s="1126"/>
    </row>
    <row r="3649" spans="1:5" x14ac:dyDescent="0.2">
      <c r="A3649" s="1126" t="s">
        <v>4231</v>
      </c>
      <c r="B3649" s="1127">
        <v>329</v>
      </c>
      <c r="C3649" s="1128">
        <v>22.15</v>
      </c>
      <c r="D3649" s="1128">
        <v>248.29</v>
      </c>
      <c r="E3649" s="1126"/>
    </row>
    <row r="3650" spans="1:5" x14ac:dyDescent="0.2">
      <c r="A3650" s="1126" t="s">
        <v>4232</v>
      </c>
      <c r="B3650" s="1127">
        <v>354</v>
      </c>
      <c r="C3650" s="1128">
        <v>375.91</v>
      </c>
      <c r="D3650" s="1128">
        <v>619.24</v>
      </c>
      <c r="E3650" s="1126"/>
    </row>
    <row r="3651" spans="1:5" x14ac:dyDescent="0.2">
      <c r="A3651" s="1126" t="s">
        <v>4233</v>
      </c>
      <c r="B3651" s="1127">
        <v>210</v>
      </c>
      <c r="C3651" s="1128">
        <v>673.52</v>
      </c>
      <c r="D3651" s="1128">
        <v>817.87</v>
      </c>
      <c r="E3651" s="1126"/>
    </row>
    <row r="3652" spans="1:5" x14ac:dyDescent="0.2">
      <c r="A3652" s="1126" t="s">
        <v>4234</v>
      </c>
      <c r="B3652" s="1127">
        <v>196</v>
      </c>
      <c r="C3652" s="1128">
        <v>174.33</v>
      </c>
      <c r="D3652" s="1128">
        <v>309.05</v>
      </c>
      <c r="E3652" s="1126"/>
    </row>
    <row r="3653" spans="1:5" x14ac:dyDescent="0.2">
      <c r="A3653" s="1126" t="s">
        <v>4235</v>
      </c>
      <c r="B3653" s="1127">
        <v>232</v>
      </c>
      <c r="C3653" s="1128">
        <v>0</v>
      </c>
      <c r="D3653" s="1128">
        <v>91.01</v>
      </c>
      <c r="E3653" s="1126"/>
    </row>
    <row r="3654" spans="1:5" x14ac:dyDescent="0.2">
      <c r="A3654" s="1126" t="s">
        <v>4236</v>
      </c>
      <c r="B3654" s="1127">
        <v>84</v>
      </c>
      <c r="C3654" s="1128">
        <v>0</v>
      </c>
      <c r="D3654" s="1128">
        <v>22.45</v>
      </c>
      <c r="E3654" s="1126"/>
    </row>
    <row r="3655" spans="1:5" x14ac:dyDescent="0.2">
      <c r="A3655" s="1126" t="s">
        <v>4237</v>
      </c>
      <c r="B3655" s="1127">
        <v>525</v>
      </c>
      <c r="C3655" s="1128">
        <v>0</v>
      </c>
      <c r="D3655" s="1128">
        <v>139.97</v>
      </c>
      <c r="E3655" s="1126"/>
    </row>
    <row r="3656" spans="1:5" x14ac:dyDescent="0.2">
      <c r="A3656" s="1126" t="s">
        <v>4238</v>
      </c>
      <c r="B3656" s="1127">
        <v>101</v>
      </c>
      <c r="C3656" s="1128">
        <v>269.89999999999998</v>
      </c>
      <c r="D3656" s="1128">
        <v>339.33</v>
      </c>
      <c r="E3656" s="1126"/>
    </row>
    <row r="3657" spans="1:5" x14ac:dyDescent="0.2">
      <c r="A3657" s="1126" t="s">
        <v>4239</v>
      </c>
      <c r="B3657" s="1127">
        <v>94</v>
      </c>
      <c r="C3657" s="1128">
        <v>0</v>
      </c>
      <c r="D3657" s="1128">
        <v>51.32</v>
      </c>
      <c r="E3657" s="1126"/>
    </row>
    <row r="3658" spans="1:5" x14ac:dyDescent="0.2">
      <c r="A3658" s="1126" t="s">
        <v>4240</v>
      </c>
      <c r="B3658" s="1127">
        <v>263</v>
      </c>
      <c r="C3658" s="1128">
        <v>658.57</v>
      </c>
      <c r="D3658" s="1128">
        <v>839.35</v>
      </c>
      <c r="E3658" s="1126"/>
    </row>
    <row r="3659" spans="1:5" x14ac:dyDescent="0.2">
      <c r="A3659" s="1126" t="s">
        <v>4241</v>
      </c>
      <c r="B3659" s="1127">
        <v>37</v>
      </c>
      <c r="C3659" s="1128">
        <v>0</v>
      </c>
      <c r="D3659" s="1128">
        <v>4.38</v>
      </c>
      <c r="E3659" s="1126" t="s">
        <v>669</v>
      </c>
    </row>
    <row r="3660" spans="1:5" x14ac:dyDescent="0.2">
      <c r="A3660" s="1126" t="s">
        <v>4242</v>
      </c>
      <c r="B3660" s="1127">
        <v>131</v>
      </c>
      <c r="C3660" s="1128">
        <v>52.37</v>
      </c>
      <c r="D3660" s="1128">
        <v>142.41999999999999</v>
      </c>
      <c r="E3660" s="1126"/>
    </row>
    <row r="3661" spans="1:5" x14ac:dyDescent="0.2">
      <c r="A3661" s="1126" t="s">
        <v>4243</v>
      </c>
      <c r="B3661" s="1127">
        <v>204</v>
      </c>
      <c r="C3661" s="1128">
        <v>281.14</v>
      </c>
      <c r="D3661" s="1128">
        <v>421.37</v>
      </c>
      <c r="E3661" s="1126"/>
    </row>
    <row r="3662" spans="1:5" x14ac:dyDescent="0.2">
      <c r="A3662" s="1126" t="s">
        <v>4244</v>
      </c>
      <c r="B3662" s="1127">
        <v>111</v>
      </c>
      <c r="C3662" s="1128">
        <v>16.989999999999998</v>
      </c>
      <c r="D3662" s="1128">
        <v>93.29</v>
      </c>
      <c r="E3662" s="1126"/>
    </row>
    <row r="3663" spans="1:5" x14ac:dyDescent="0.2">
      <c r="A3663" s="1126" t="s">
        <v>4245</v>
      </c>
      <c r="B3663" s="1127">
        <v>102</v>
      </c>
      <c r="C3663" s="1128">
        <v>46.57</v>
      </c>
      <c r="D3663" s="1128">
        <v>116.68</v>
      </c>
      <c r="E3663" s="1126"/>
    </row>
    <row r="3664" spans="1:5" x14ac:dyDescent="0.2">
      <c r="A3664" s="1126" t="s">
        <v>4246</v>
      </c>
      <c r="B3664" s="1127">
        <v>171</v>
      </c>
      <c r="C3664" s="1128">
        <v>0</v>
      </c>
      <c r="D3664" s="1128">
        <v>73.12</v>
      </c>
      <c r="E3664" s="1126"/>
    </row>
    <row r="3665" spans="1:5" x14ac:dyDescent="0.2">
      <c r="A3665" s="1126" t="s">
        <v>4247</v>
      </c>
      <c r="B3665" s="1127">
        <v>82</v>
      </c>
      <c r="C3665" s="1128">
        <v>0</v>
      </c>
      <c r="D3665" s="1128">
        <v>38.49</v>
      </c>
      <c r="E3665" s="1126"/>
    </row>
    <row r="3666" spans="1:5" x14ac:dyDescent="0.2">
      <c r="A3666" s="1126" t="s">
        <v>4248</v>
      </c>
      <c r="B3666" s="1127">
        <v>197</v>
      </c>
      <c r="C3666" s="1128">
        <v>12.57</v>
      </c>
      <c r="D3666" s="1128">
        <v>147.97999999999999</v>
      </c>
      <c r="E3666" s="1126"/>
    </row>
    <row r="3667" spans="1:5" x14ac:dyDescent="0.2">
      <c r="A3667" s="1126" t="s">
        <v>4249</v>
      </c>
      <c r="B3667" s="1127">
        <v>353</v>
      </c>
      <c r="C3667" s="1128">
        <v>131.87</v>
      </c>
      <c r="D3667" s="1128">
        <v>374.51</v>
      </c>
      <c r="E3667" s="1126"/>
    </row>
    <row r="3668" spans="1:5" x14ac:dyDescent="0.2">
      <c r="A3668" s="1126" t="s">
        <v>4250</v>
      </c>
      <c r="B3668" s="1127">
        <v>257</v>
      </c>
      <c r="C3668" s="1128">
        <v>412.68</v>
      </c>
      <c r="D3668" s="1128">
        <v>589.33000000000004</v>
      </c>
      <c r="E3668" s="1126"/>
    </row>
    <row r="3669" spans="1:5" x14ac:dyDescent="0.2">
      <c r="A3669" s="1126" t="s">
        <v>4251</v>
      </c>
      <c r="B3669" s="1127">
        <v>63</v>
      </c>
      <c r="C3669" s="1128">
        <v>0</v>
      </c>
      <c r="D3669" s="1128">
        <v>0</v>
      </c>
      <c r="E3669" s="1126"/>
    </row>
    <row r="3670" spans="1:5" x14ac:dyDescent="0.2">
      <c r="A3670" s="1126" t="s">
        <v>4252</v>
      </c>
      <c r="B3670" s="1127">
        <v>204</v>
      </c>
      <c r="C3670" s="1128">
        <v>0</v>
      </c>
      <c r="D3670" s="1128">
        <v>100.9</v>
      </c>
      <c r="E3670" s="1126"/>
    </row>
    <row r="3671" spans="1:5" x14ac:dyDescent="0.2">
      <c r="A3671" s="1126" t="s">
        <v>4253</v>
      </c>
      <c r="B3671" s="1127">
        <v>74</v>
      </c>
      <c r="C3671" s="1128">
        <v>62.52</v>
      </c>
      <c r="D3671" s="1128">
        <v>113.39</v>
      </c>
      <c r="E3671" s="1126"/>
    </row>
    <row r="3672" spans="1:5" x14ac:dyDescent="0.2">
      <c r="A3672" s="1126" t="s">
        <v>4254</v>
      </c>
      <c r="B3672" s="1127">
        <v>94</v>
      </c>
      <c r="C3672" s="1128">
        <v>15.5</v>
      </c>
      <c r="D3672" s="1128">
        <v>80.11</v>
      </c>
      <c r="E3672" s="1126"/>
    </row>
    <row r="3673" spans="1:5" x14ac:dyDescent="0.2">
      <c r="A3673" s="1126" t="s">
        <v>4255</v>
      </c>
      <c r="B3673" s="1127">
        <v>263</v>
      </c>
      <c r="C3673" s="1128">
        <v>0</v>
      </c>
      <c r="D3673" s="1128">
        <v>156.91</v>
      </c>
      <c r="E3673" s="1126"/>
    </row>
    <row r="3674" spans="1:5" x14ac:dyDescent="0.2">
      <c r="A3674" s="1126" t="s">
        <v>4256</v>
      </c>
      <c r="B3674" s="1127">
        <v>204</v>
      </c>
      <c r="C3674" s="1128">
        <v>0</v>
      </c>
      <c r="D3674" s="1128">
        <v>48.14</v>
      </c>
      <c r="E3674" s="1126"/>
    </row>
    <row r="3675" spans="1:5" x14ac:dyDescent="0.2">
      <c r="A3675" s="1126" t="s">
        <v>4257</v>
      </c>
      <c r="B3675" s="1127">
        <v>288</v>
      </c>
      <c r="C3675" s="1128">
        <v>0</v>
      </c>
      <c r="D3675" s="1128">
        <v>99.65</v>
      </c>
      <c r="E3675" s="1126"/>
    </row>
    <row r="3676" spans="1:5" x14ac:dyDescent="0.2">
      <c r="A3676" s="1126" t="s">
        <v>4258</v>
      </c>
      <c r="B3676" s="1127">
        <v>163</v>
      </c>
      <c r="C3676" s="1128">
        <v>7.8</v>
      </c>
      <c r="D3676" s="1128">
        <v>119.84</v>
      </c>
      <c r="E3676" s="1126"/>
    </row>
    <row r="3677" spans="1:5" x14ac:dyDescent="0.2">
      <c r="A3677" s="1126" t="s">
        <v>4259</v>
      </c>
      <c r="B3677" s="1127">
        <v>186</v>
      </c>
      <c r="C3677" s="1128">
        <v>91.48</v>
      </c>
      <c r="D3677" s="1128">
        <v>219.33</v>
      </c>
      <c r="E3677" s="1126"/>
    </row>
    <row r="3678" spans="1:5" x14ac:dyDescent="0.2">
      <c r="A3678" s="1126" t="s">
        <v>4260</v>
      </c>
      <c r="B3678" s="1127">
        <v>339</v>
      </c>
      <c r="C3678" s="1128">
        <v>122.62</v>
      </c>
      <c r="D3678" s="1128">
        <v>355.63</v>
      </c>
      <c r="E3678" s="1126"/>
    </row>
    <row r="3679" spans="1:5" x14ac:dyDescent="0.2">
      <c r="A3679" s="1126" t="s">
        <v>4261</v>
      </c>
      <c r="B3679" s="1127">
        <v>220</v>
      </c>
      <c r="C3679" s="1128">
        <v>107.57</v>
      </c>
      <c r="D3679" s="1128">
        <v>258.79000000000002</v>
      </c>
      <c r="E3679" s="1126"/>
    </row>
    <row r="3680" spans="1:5" x14ac:dyDescent="0.2">
      <c r="A3680" s="1126" t="s">
        <v>4262</v>
      </c>
      <c r="B3680" s="1127">
        <v>200</v>
      </c>
      <c r="C3680" s="1128">
        <v>54.66</v>
      </c>
      <c r="D3680" s="1128">
        <v>192.14</v>
      </c>
      <c r="E3680" s="1126"/>
    </row>
    <row r="3681" spans="1:5" x14ac:dyDescent="0.2">
      <c r="A3681" s="1126" t="s">
        <v>4263</v>
      </c>
      <c r="B3681" s="1127">
        <v>399</v>
      </c>
      <c r="C3681" s="1128">
        <v>0</v>
      </c>
      <c r="D3681" s="1128">
        <v>134.09</v>
      </c>
      <c r="E3681" s="1126"/>
    </row>
    <row r="3682" spans="1:5" x14ac:dyDescent="0.2">
      <c r="A3682" s="1126" t="s">
        <v>4264</v>
      </c>
      <c r="B3682" s="1127">
        <v>152</v>
      </c>
      <c r="C3682" s="1128">
        <v>0</v>
      </c>
      <c r="D3682" s="1128">
        <v>84.37</v>
      </c>
      <c r="E3682" s="1126"/>
    </row>
    <row r="3683" spans="1:5" x14ac:dyDescent="0.2">
      <c r="A3683" s="1126" t="s">
        <v>4265</v>
      </c>
      <c r="B3683" s="1127">
        <v>372</v>
      </c>
      <c r="C3683" s="1128">
        <v>0</v>
      </c>
      <c r="D3683" s="1128">
        <v>111.45</v>
      </c>
      <c r="E3683" s="1126"/>
    </row>
    <row r="3684" spans="1:5" x14ac:dyDescent="0.2">
      <c r="A3684" s="1126" t="s">
        <v>4266</v>
      </c>
      <c r="B3684" s="1127">
        <v>382</v>
      </c>
      <c r="C3684" s="1128">
        <v>78.34</v>
      </c>
      <c r="D3684" s="1128">
        <v>340.92</v>
      </c>
      <c r="E3684" s="1126"/>
    </row>
    <row r="3685" spans="1:5" x14ac:dyDescent="0.2">
      <c r="A3685" s="1126" t="s">
        <v>4267</v>
      </c>
      <c r="B3685" s="1127">
        <v>187</v>
      </c>
      <c r="C3685" s="1128">
        <v>0</v>
      </c>
      <c r="D3685" s="1128">
        <v>82.78</v>
      </c>
      <c r="E3685" s="1126"/>
    </row>
    <row r="3686" spans="1:5" x14ac:dyDescent="0.2">
      <c r="A3686" s="1126" t="s">
        <v>4268</v>
      </c>
      <c r="B3686" s="1127">
        <v>346</v>
      </c>
      <c r="C3686" s="1128">
        <v>118.37</v>
      </c>
      <c r="D3686" s="1128">
        <v>356.2</v>
      </c>
      <c r="E3686" s="1126"/>
    </row>
    <row r="3687" spans="1:5" x14ac:dyDescent="0.2">
      <c r="A3687" s="1126" t="s">
        <v>4269</v>
      </c>
      <c r="B3687" s="1127">
        <v>234</v>
      </c>
      <c r="C3687" s="1128">
        <v>521.66999999999996</v>
      </c>
      <c r="D3687" s="1128">
        <v>682.51</v>
      </c>
      <c r="E3687" s="1126"/>
    </row>
    <row r="3688" spans="1:5" x14ac:dyDescent="0.2">
      <c r="A3688" s="1126" t="s">
        <v>4270</v>
      </c>
      <c r="B3688" s="1127">
        <v>213</v>
      </c>
      <c r="C3688" s="1128">
        <v>0</v>
      </c>
      <c r="D3688" s="1128">
        <v>26.42</v>
      </c>
      <c r="E3688" s="1126"/>
    </row>
    <row r="3689" spans="1:5" x14ac:dyDescent="0.2">
      <c r="A3689" s="1126" t="s">
        <v>4271</v>
      </c>
      <c r="B3689" s="1127">
        <v>201</v>
      </c>
      <c r="C3689" s="1128">
        <v>0</v>
      </c>
      <c r="D3689" s="1128">
        <v>120.95</v>
      </c>
      <c r="E3689" s="1126"/>
    </row>
    <row r="3690" spans="1:5" x14ac:dyDescent="0.2">
      <c r="A3690" s="1126" t="s">
        <v>4272</v>
      </c>
      <c r="B3690" s="1127">
        <v>535</v>
      </c>
      <c r="C3690" s="1128">
        <v>0</v>
      </c>
      <c r="D3690" s="1128">
        <v>285.29000000000002</v>
      </c>
      <c r="E3690" s="1126"/>
    </row>
    <row r="3691" spans="1:5" x14ac:dyDescent="0.2">
      <c r="A3691" s="1126" t="s">
        <v>4273</v>
      </c>
      <c r="B3691" s="1127">
        <v>211</v>
      </c>
      <c r="C3691" s="1128">
        <v>0</v>
      </c>
      <c r="D3691" s="1128">
        <v>125.84</v>
      </c>
      <c r="E3691" s="1126"/>
    </row>
    <row r="3692" spans="1:5" x14ac:dyDescent="0.2">
      <c r="A3692" s="1126" t="s">
        <v>4274</v>
      </c>
      <c r="B3692" s="1127">
        <v>122</v>
      </c>
      <c r="C3692" s="1128">
        <v>0</v>
      </c>
      <c r="D3692" s="1128">
        <v>11.1</v>
      </c>
      <c r="E3692" s="1126"/>
    </row>
    <row r="3693" spans="1:5" x14ac:dyDescent="0.2">
      <c r="A3693" s="1126" t="s">
        <v>4275</v>
      </c>
      <c r="B3693" s="1127">
        <v>163</v>
      </c>
      <c r="C3693" s="1128">
        <v>0</v>
      </c>
      <c r="D3693" s="1128">
        <v>102.38</v>
      </c>
      <c r="E3693" s="1126"/>
    </row>
    <row r="3694" spans="1:5" x14ac:dyDescent="0.2">
      <c r="A3694" s="1126" t="s">
        <v>4276</v>
      </c>
      <c r="B3694" s="1127">
        <v>802</v>
      </c>
      <c r="C3694" s="1128">
        <v>0</v>
      </c>
      <c r="D3694" s="1128">
        <v>301.05</v>
      </c>
      <c r="E3694" s="1126"/>
    </row>
    <row r="3695" spans="1:5" x14ac:dyDescent="0.2">
      <c r="A3695" s="1126" t="s">
        <v>4277</v>
      </c>
      <c r="B3695" s="1127">
        <v>242</v>
      </c>
      <c r="C3695" s="1128">
        <v>0</v>
      </c>
      <c r="D3695" s="1128">
        <v>153.36000000000001</v>
      </c>
      <c r="E3695" s="1126"/>
    </row>
    <row r="3696" spans="1:5" x14ac:dyDescent="0.2">
      <c r="A3696" s="1126" t="s">
        <v>4278</v>
      </c>
      <c r="B3696" s="1127">
        <v>293</v>
      </c>
      <c r="C3696" s="1128">
        <v>16</v>
      </c>
      <c r="D3696" s="1128">
        <v>217.4</v>
      </c>
      <c r="E3696" s="1126"/>
    </row>
    <row r="3697" spans="1:5" x14ac:dyDescent="0.2">
      <c r="A3697" s="1126" t="s">
        <v>4279</v>
      </c>
      <c r="B3697" s="1127">
        <v>432</v>
      </c>
      <c r="C3697" s="1128">
        <v>0</v>
      </c>
      <c r="D3697" s="1128">
        <v>94.89</v>
      </c>
      <c r="E3697" s="1126"/>
    </row>
    <row r="3698" spans="1:5" x14ac:dyDescent="0.2">
      <c r="A3698" s="1126" t="s">
        <v>4280</v>
      </c>
      <c r="B3698" s="1127">
        <v>114</v>
      </c>
      <c r="C3698" s="1128">
        <v>364.11</v>
      </c>
      <c r="D3698" s="1128">
        <v>442.47</v>
      </c>
      <c r="E3698" s="1126"/>
    </row>
    <row r="3699" spans="1:5" x14ac:dyDescent="0.2">
      <c r="A3699" s="1126" t="s">
        <v>4281</v>
      </c>
      <c r="B3699" s="1127">
        <v>125</v>
      </c>
      <c r="C3699" s="1128">
        <v>332.57</v>
      </c>
      <c r="D3699" s="1128">
        <v>418.49</v>
      </c>
      <c r="E3699" s="1126"/>
    </row>
    <row r="3700" spans="1:5" x14ac:dyDescent="0.2">
      <c r="A3700" s="1126" t="s">
        <v>4282</v>
      </c>
      <c r="B3700" s="1127">
        <v>192</v>
      </c>
      <c r="C3700" s="1128">
        <v>103.29</v>
      </c>
      <c r="D3700" s="1128">
        <v>235.26</v>
      </c>
      <c r="E3700" s="1126"/>
    </row>
    <row r="3701" spans="1:5" x14ac:dyDescent="0.2">
      <c r="A3701" s="1126" t="s">
        <v>4283</v>
      </c>
      <c r="B3701" s="1127">
        <v>129</v>
      </c>
      <c r="C3701" s="1128">
        <v>0</v>
      </c>
      <c r="D3701" s="1128">
        <v>43.54</v>
      </c>
      <c r="E3701" s="1126"/>
    </row>
    <row r="3702" spans="1:5" x14ac:dyDescent="0.2">
      <c r="A3702" s="1126" t="s">
        <v>4284</v>
      </c>
      <c r="B3702" s="1127">
        <v>82</v>
      </c>
      <c r="C3702" s="1128">
        <v>0</v>
      </c>
      <c r="D3702" s="1128">
        <v>36.76</v>
      </c>
      <c r="E3702" s="1126"/>
    </row>
    <row r="3703" spans="1:5" x14ac:dyDescent="0.2">
      <c r="A3703" s="1126" t="s">
        <v>4285</v>
      </c>
      <c r="B3703" s="1127">
        <v>245</v>
      </c>
      <c r="C3703" s="1128">
        <v>0</v>
      </c>
      <c r="D3703" s="1128">
        <v>18.88</v>
      </c>
      <c r="E3703" s="1126"/>
    </row>
    <row r="3704" spans="1:5" x14ac:dyDescent="0.2">
      <c r="A3704" s="1126" t="s">
        <v>4286</v>
      </c>
      <c r="B3704" s="1127">
        <v>206</v>
      </c>
      <c r="C3704" s="1128">
        <v>0</v>
      </c>
      <c r="D3704" s="1128">
        <v>49.55</v>
      </c>
      <c r="E3704" s="1126"/>
    </row>
    <row r="3705" spans="1:5" x14ac:dyDescent="0.2">
      <c r="A3705" s="1126" t="s">
        <v>4287</v>
      </c>
      <c r="B3705" s="1127">
        <v>101</v>
      </c>
      <c r="C3705" s="1128">
        <v>61.85</v>
      </c>
      <c r="D3705" s="1128">
        <v>131.27000000000001</v>
      </c>
      <c r="E3705" s="1126"/>
    </row>
    <row r="3706" spans="1:5" x14ac:dyDescent="0.2">
      <c r="A3706" s="1126" t="s">
        <v>4288</v>
      </c>
      <c r="B3706" s="1127">
        <v>179</v>
      </c>
      <c r="C3706" s="1128">
        <v>10.73</v>
      </c>
      <c r="D3706" s="1128">
        <v>133.77000000000001</v>
      </c>
      <c r="E3706" s="1126"/>
    </row>
    <row r="3707" spans="1:5" x14ac:dyDescent="0.2">
      <c r="A3707" s="1126" t="s">
        <v>4289</v>
      </c>
      <c r="B3707" s="1127">
        <v>51</v>
      </c>
      <c r="C3707" s="1128">
        <v>0</v>
      </c>
      <c r="D3707" s="1128">
        <v>29.28</v>
      </c>
      <c r="E3707" s="1126"/>
    </row>
    <row r="3708" spans="1:5" x14ac:dyDescent="0.2">
      <c r="A3708" s="1126" t="s">
        <v>4290</v>
      </c>
      <c r="B3708" s="1127">
        <v>799</v>
      </c>
      <c r="C3708" s="1128">
        <v>3098.88</v>
      </c>
      <c r="D3708" s="1128">
        <v>3648.08</v>
      </c>
      <c r="E3708" s="1126"/>
    </row>
    <row r="3709" spans="1:5" x14ac:dyDescent="0.2">
      <c r="A3709" s="1126" t="s">
        <v>4291</v>
      </c>
      <c r="B3709" s="1127">
        <v>94</v>
      </c>
      <c r="C3709" s="1128">
        <v>0</v>
      </c>
      <c r="D3709" s="1128">
        <v>4.51</v>
      </c>
      <c r="E3709" s="1126"/>
    </row>
    <row r="3710" spans="1:5" x14ac:dyDescent="0.2">
      <c r="A3710" s="1126" t="s">
        <v>4292</v>
      </c>
      <c r="B3710" s="1127">
        <v>357</v>
      </c>
      <c r="C3710" s="1128">
        <v>106.58</v>
      </c>
      <c r="D3710" s="1128">
        <v>351.96</v>
      </c>
      <c r="E3710" s="1126"/>
    </row>
    <row r="3711" spans="1:5" x14ac:dyDescent="0.2">
      <c r="A3711" s="1126" t="s">
        <v>4293</v>
      </c>
      <c r="B3711" s="1127">
        <v>126</v>
      </c>
      <c r="C3711" s="1128">
        <v>61.59</v>
      </c>
      <c r="D3711" s="1128">
        <v>148.19999999999999</v>
      </c>
      <c r="E3711" s="1126"/>
    </row>
    <row r="3712" spans="1:5" x14ac:dyDescent="0.2">
      <c r="A3712" s="1126" t="s">
        <v>4294</v>
      </c>
      <c r="B3712" s="1127">
        <v>238</v>
      </c>
      <c r="C3712" s="1128">
        <v>44.56</v>
      </c>
      <c r="D3712" s="1128">
        <v>208.16</v>
      </c>
      <c r="E3712" s="1126"/>
    </row>
    <row r="3713" spans="1:5" x14ac:dyDescent="0.2">
      <c r="A3713" s="1126" t="s">
        <v>4295</v>
      </c>
      <c r="B3713" s="1127">
        <v>469</v>
      </c>
      <c r="C3713" s="1128">
        <v>0</v>
      </c>
      <c r="D3713" s="1128">
        <v>42.96</v>
      </c>
      <c r="E3713" s="1126"/>
    </row>
    <row r="3714" spans="1:5" x14ac:dyDescent="0.2">
      <c r="A3714" s="1126" t="s">
        <v>4296</v>
      </c>
      <c r="B3714" s="1127">
        <v>221</v>
      </c>
      <c r="C3714" s="1128">
        <v>0</v>
      </c>
      <c r="D3714" s="1128">
        <v>33.64</v>
      </c>
      <c r="E3714" s="1126"/>
    </row>
    <row r="3715" spans="1:5" x14ac:dyDescent="0.2">
      <c r="A3715" s="1126" t="s">
        <v>4297</v>
      </c>
      <c r="B3715" s="1127">
        <v>443</v>
      </c>
      <c r="C3715" s="1128">
        <v>20.61</v>
      </c>
      <c r="D3715" s="1128">
        <v>325.11</v>
      </c>
      <c r="E3715" s="1126"/>
    </row>
    <row r="3716" spans="1:5" x14ac:dyDescent="0.2">
      <c r="A3716" s="1126" t="s">
        <v>4298</v>
      </c>
      <c r="B3716" s="1127">
        <v>149</v>
      </c>
      <c r="C3716" s="1128">
        <v>0</v>
      </c>
      <c r="D3716" s="1128">
        <v>93.66</v>
      </c>
      <c r="E3716" s="1126"/>
    </row>
    <row r="3717" spans="1:5" x14ac:dyDescent="0.2">
      <c r="A3717" s="1126" t="s">
        <v>4299</v>
      </c>
      <c r="B3717" s="1127">
        <v>211</v>
      </c>
      <c r="C3717" s="1128">
        <v>0</v>
      </c>
      <c r="D3717" s="1128">
        <v>49.2</v>
      </c>
      <c r="E3717" s="1126"/>
    </row>
    <row r="3718" spans="1:5" x14ac:dyDescent="0.2">
      <c r="A3718" s="1126" t="s">
        <v>4300</v>
      </c>
      <c r="B3718" s="1127">
        <v>246</v>
      </c>
      <c r="C3718" s="1128">
        <v>208.28</v>
      </c>
      <c r="D3718" s="1128">
        <v>377.37</v>
      </c>
      <c r="E3718" s="1126"/>
    </row>
    <row r="3719" spans="1:5" x14ac:dyDescent="0.2">
      <c r="A3719" s="1126" t="s">
        <v>4301</v>
      </c>
      <c r="B3719" s="1127">
        <v>52</v>
      </c>
      <c r="C3719" s="1128">
        <v>162.13999999999999</v>
      </c>
      <c r="D3719" s="1128">
        <v>197.88</v>
      </c>
      <c r="E3719" s="1126"/>
    </row>
    <row r="3720" spans="1:5" x14ac:dyDescent="0.2">
      <c r="A3720" s="1126" t="s">
        <v>4302</v>
      </c>
      <c r="B3720" s="1127">
        <v>58</v>
      </c>
      <c r="C3720" s="1128">
        <v>4.21</v>
      </c>
      <c r="D3720" s="1128">
        <v>44.07</v>
      </c>
      <c r="E3720" s="1126"/>
    </row>
    <row r="3721" spans="1:5" x14ac:dyDescent="0.2">
      <c r="A3721" s="1126" t="s">
        <v>4303</v>
      </c>
      <c r="B3721" s="1127">
        <v>108</v>
      </c>
      <c r="C3721" s="1128">
        <v>3.52</v>
      </c>
      <c r="D3721" s="1128">
        <v>77.75</v>
      </c>
      <c r="E3721" s="1126"/>
    </row>
    <row r="3722" spans="1:5" x14ac:dyDescent="0.2">
      <c r="A3722" s="1126" t="s">
        <v>4304</v>
      </c>
      <c r="B3722" s="1127">
        <v>178</v>
      </c>
      <c r="C3722" s="1128">
        <v>38.24</v>
      </c>
      <c r="D3722" s="1128">
        <v>160.6</v>
      </c>
      <c r="E3722" s="1126"/>
    </row>
    <row r="3723" spans="1:5" x14ac:dyDescent="0.2">
      <c r="A3723" s="1126" t="s">
        <v>4305</v>
      </c>
      <c r="B3723" s="1127">
        <v>131</v>
      </c>
      <c r="C3723" s="1128">
        <v>147.9</v>
      </c>
      <c r="D3723" s="1128">
        <v>237.94</v>
      </c>
      <c r="E3723" s="1126"/>
    </row>
    <row r="3724" spans="1:5" x14ac:dyDescent="0.2">
      <c r="A3724" s="1126" t="s">
        <v>4306</v>
      </c>
      <c r="B3724" s="1127">
        <v>48</v>
      </c>
      <c r="C3724" s="1128">
        <v>7.08</v>
      </c>
      <c r="D3724" s="1128">
        <v>40.08</v>
      </c>
      <c r="E3724" s="1126"/>
    </row>
    <row r="3725" spans="1:5" x14ac:dyDescent="0.2">
      <c r="A3725" s="1126" t="s">
        <v>4307</v>
      </c>
      <c r="B3725" s="1127">
        <v>359</v>
      </c>
      <c r="C3725" s="1128">
        <v>654.76</v>
      </c>
      <c r="D3725" s="1128">
        <v>901.52</v>
      </c>
      <c r="E3725" s="1126"/>
    </row>
    <row r="3726" spans="1:5" x14ac:dyDescent="0.2">
      <c r="A3726" s="1126" t="s">
        <v>4308</v>
      </c>
      <c r="B3726" s="1127">
        <v>121</v>
      </c>
      <c r="C3726" s="1128">
        <v>19.38</v>
      </c>
      <c r="D3726" s="1128">
        <v>102.55</v>
      </c>
      <c r="E3726" s="1126"/>
    </row>
    <row r="3727" spans="1:5" x14ac:dyDescent="0.2">
      <c r="A3727" s="1126" t="s">
        <v>4309</v>
      </c>
      <c r="B3727" s="1127">
        <v>240</v>
      </c>
      <c r="C3727" s="1128">
        <v>0</v>
      </c>
      <c r="D3727" s="1128">
        <v>100.41</v>
      </c>
      <c r="E3727" s="1126"/>
    </row>
    <row r="3728" spans="1:5" x14ac:dyDescent="0.2">
      <c r="A3728" s="1126" t="s">
        <v>4310</v>
      </c>
      <c r="B3728" s="1127">
        <v>249</v>
      </c>
      <c r="C3728" s="1128">
        <v>58.93</v>
      </c>
      <c r="D3728" s="1128">
        <v>230.08</v>
      </c>
      <c r="E3728" s="1126"/>
    </row>
    <row r="3729" spans="1:5" x14ac:dyDescent="0.2">
      <c r="A3729" s="1126" t="s">
        <v>4311</v>
      </c>
      <c r="B3729" s="1127">
        <v>36</v>
      </c>
      <c r="C3729" s="1128">
        <v>17.43</v>
      </c>
      <c r="D3729" s="1128">
        <v>42.18</v>
      </c>
      <c r="E3729" s="1126" t="s">
        <v>669</v>
      </c>
    </row>
    <row r="3730" spans="1:5" x14ac:dyDescent="0.2">
      <c r="A3730" s="1126" t="s">
        <v>4312</v>
      </c>
      <c r="B3730" s="1127">
        <v>46</v>
      </c>
      <c r="C3730" s="1128">
        <v>12.06</v>
      </c>
      <c r="D3730" s="1128">
        <v>43.68</v>
      </c>
      <c r="E3730" s="1126"/>
    </row>
    <row r="3731" spans="1:5" x14ac:dyDescent="0.2">
      <c r="A3731" s="1126" t="s">
        <v>4313</v>
      </c>
      <c r="B3731" s="1127">
        <v>55</v>
      </c>
      <c r="C3731" s="1128">
        <v>22.62</v>
      </c>
      <c r="D3731" s="1128">
        <v>60.43</v>
      </c>
      <c r="E3731" s="1126"/>
    </row>
    <row r="3732" spans="1:5" x14ac:dyDescent="0.2">
      <c r="A3732" s="1126" t="s">
        <v>4314</v>
      </c>
      <c r="B3732" s="1127">
        <v>172</v>
      </c>
      <c r="C3732" s="1128">
        <v>119.67</v>
      </c>
      <c r="D3732" s="1128">
        <v>237.9</v>
      </c>
      <c r="E3732" s="1126"/>
    </row>
    <row r="3733" spans="1:5" x14ac:dyDescent="0.2">
      <c r="A3733" s="1126" t="s">
        <v>4315</v>
      </c>
      <c r="B3733" s="1127">
        <v>349</v>
      </c>
      <c r="C3733" s="1128">
        <v>20.99</v>
      </c>
      <c r="D3733" s="1128">
        <v>260.88</v>
      </c>
      <c r="E3733" s="1126"/>
    </row>
    <row r="3734" spans="1:5" x14ac:dyDescent="0.2">
      <c r="A3734" s="1126" t="s">
        <v>4316</v>
      </c>
      <c r="B3734" s="1127">
        <v>106</v>
      </c>
      <c r="C3734" s="1128">
        <v>243.31</v>
      </c>
      <c r="D3734" s="1128">
        <v>316.17</v>
      </c>
      <c r="E3734" s="1126"/>
    </row>
    <row r="3735" spans="1:5" x14ac:dyDescent="0.2">
      <c r="A3735" s="1126" t="s">
        <v>4317</v>
      </c>
      <c r="B3735" s="1127">
        <v>322</v>
      </c>
      <c r="C3735" s="1128">
        <v>0</v>
      </c>
      <c r="D3735" s="1128">
        <v>148.62</v>
      </c>
      <c r="E3735" s="1126"/>
    </row>
    <row r="3736" spans="1:5" x14ac:dyDescent="0.2">
      <c r="A3736" s="1126" t="s">
        <v>4318</v>
      </c>
      <c r="B3736" s="1127">
        <v>90</v>
      </c>
      <c r="C3736" s="1128">
        <v>0</v>
      </c>
      <c r="D3736" s="1128">
        <v>48.21</v>
      </c>
      <c r="E3736" s="1126"/>
    </row>
    <row r="3737" spans="1:5" x14ac:dyDescent="0.2">
      <c r="A3737" s="1126" t="s">
        <v>4319</v>
      </c>
      <c r="B3737" s="1127">
        <v>123</v>
      </c>
      <c r="C3737" s="1128">
        <v>0</v>
      </c>
      <c r="D3737" s="1128">
        <v>79.430000000000007</v>
      </c>
      <c r="E3737" s="1126"/>
    </row>
    <row r="3738" spans="1:5" x14ac:dyDescent="0.2">
      <c r="A3738" s="1126" t="s">
        <v>4320</v>
      </c>
      <c r="B3738" s="1127">
        <v>273</v>
      </c>
      <c r="C3738" s="1128">
        <v>0</v>
      </c>
      <c r="D3738" s="1128">
        <v>183.95</v>
      </c>
      <c r="E3738" s="1126"/>
    </row>
    <row r="3739" spans="1:5" x14ac:dyDescent="0.2">
      <c r="A3739" s="1126" t="s">
        <v>4321</v>
      </c>
      <c r="B3739" s="1127">
        <v>403</v>
      </c>
      <c r="C3739" s="1128">
        <v>0</v>
      </c>
      <c r="D3739" s="1128">
        <v>271.5</v>
      </c>
      <c r="E3739" s="1126"/>
    </row>
    <row r="3740" spans="1:5" x14ac:dyDescent="0.2">
      <c r="A3740" s="1126" t="s">
        <v>4322</v>
      </c>
      <c r="B3740" s="1127">
        <v>145</v>
      </c>
      <c r="C3740" s="1128">
        <v>114.43</v>
      </c>
      <c r="D3740" s="1128">
        <v>214.1</v>
      </c>
      <c r="E3740" s="1126"/>
    </row>
    <row r="3741" spans="1:5" x14ac:dyDescent="0.2">
      <c r="A3741" s="1126" t="s">
        <v>4323</v>
      </c>
      <c r="B3741" s="1127">
        <v>303</v>
      </c>
      <c r="C3741" s="1128">
        <v>112.65</v>
      </c>
      <c r="D3741" s="1128">
        <v>320.92</v>
      </c>
      <c r="E3741" s="1126"/>
    </row>
    <row r="3742" spans="1:5" x14ac:dyDescent="0.2">
      <c r="A3742" s="1126" t="s">
        <v>4324</v>
      </c>
      <c r="B3742" s="1127">
        <v>32</v>
      </c>
      <c r="C3742" s="1128">
        <v>0</v>
      </c>
      <c r="D3742" s="1128">
        <v>0</v>
      </c>
      <c r="E3742" s="1126" t="s">
        <v>669</v>
      </c>
    </row>
    <row r="3743" spans="1:5" x14ac:dyDescent="0.2">
      <c r="A3743" s="1126" t="s">
        <v>4325</v>
      </c>
      <c r="B3743" s="1127">
        <v>341</v>
      </c>
      <c r="C3743" s="1128">
        <v>0</v>
      </c>
      <c r="D3743" s="1128">
        <v>200.33</v>
      </c>
      <c r="E3743" s="1126"/>
    </row>
    <row r="3744" spans="1:5" x14ac:dyDescent="0.2">
      <c r="A3744" s="1126" t="s">
        <v>4326</v>
      </c>
      <c r="B3744" s="1127">
        <v>398</v>
      </c>
      <c r="C3744" s="1128">
        <v>832.42</v>
      </c>
      <c r="D3744" s="1128">
        <v>1106</v>
      </c>
      <c r="E3744" s="1126"/>
    </row>
    <row r="3745" spans="1:5" x14ac:dyDescent="0.2">
      <c r="A3745" s="1126" t="s">
        <v>4327</v>
      </c>
      <c r="B3745" s="1127">
        <v>240</v>
      </c>
      <c r="C3745" s="1128">
        <v>534.54</v>
      </c>
      <c r="D3745" s="1128">
        <v>699.51</v>
      </c>
      <c r="E3745" s="1126"/>
    </row>
    <row r="3746" spans="1:5" x14ac:dyDescent="0.2">
      <c r="A3746" s="1126" t="s">
        <v>4328</v>
      </c>
      <c r="B3746" s="1127">
        <v>241</v>
      </c>
      <c r="C3746" s="1128">
        <v>603.01</v>
      </c>
      <c r="D3746" s="1128">
        <v>768.67</v>
      </c>
      <c r="E3746" s="1126"/>
    </row>
    <row r="3747" spans="1:5" x14ac:dyDescent="0.2">
      <c r="A3747" s="1126" t="s">
        <v>4329</v>
      </c>
      <c r="B3747" s="1127">
        <v>150</v>
      </c>
      <c r="C3747" s="1128">
        <v>6.06</v>
      </c>
      <c r="D3747" s="1128">
        <v>109.17</v>
      </c>
      <c r="E3747" s="1126"/>
    </row>
    <row r="3748" spans="1:5" x14ac:dyDescent="0.2">
      <c r="A3748" s="1126" t="s">
        <v>4330</v>
      </c>
      <c r="B3748" s="1127">
        <v>132</v>
      </c>
      <c r="C3748" s="1128">
        <v>205.83</v>
      </c>
      <c r="D3748" s="1128">
        <v>296.56</v>
      </c>
      <c r="E3748" s="1126"/>
    </row>
    <row r="3749" spans="1:5" x14ac:dyDescent="0.2">
      <c r="A3749" s="1126" t="s">
        <v>4331</v>
      </c>
      <c r="B3749" s="1127">
        <v>201</v>
      </c>
      <c r="C3749" s="1128">
        <v>0</v>
      </c>
      <c r="D3749" s="1128">
        <v>92.29</v>
      </c>
      <c r="E3749" s="1126"/>
    </row>
    <row r="3750" spans="1:5" x14ac:dyDescent="0.2">
      <c r="A3750" s="1126" t="s">
        <v>4332</v>
      </c>
      <c r="B3750" s="1127">
        <v>101</v>
      </c>
      <c r="C3750" s="1128">
        <v>125.23</v>
      </c>
      <c r="D3750" s="1128">
        <v>194.66</v>
      </c>
      <c r="E3750" s="1126"/>
    </row>
    <row r="3751" spans="1:5" x14ac:dyDescent="0.2">
      <c r="A3751" s="1126" t="s">
        <v>4333</v>
      </c>
      <c r="B3751" s="1127">
        <v>530</v>
      </c>
      <c r="C3751" s="1128">
        <v>0</v>
      </c>
      <c r="D3751" s="1128">
        <v>190.75</v>
      </c>
      <c r="E3751" s="1126"/>
    </row>
    <row r="3752" spans="1:5" x14ac:dyDescent="0.2">
      <c r="A3752" s="1126" t="s">
        <v>4334</v>
      </c>
      <c r="B3752" s="1127">
        <v>234</v>
      </c>
      <c r="C3752" s="1128">
        <v>0</v>
      </c>
      <c r="D3752" s="1128">
        <v>9.42</v>
      </c>
      <c r="E3752" s="1126"/>
    </row>
    <row r="3753" spans="1:5" x14ac:dyDescent="0.2">
      <c r="A3753" s="1126" t="s">
        <v>4335</v>
      </c>
      <c r="B3753" s="1127">
        <v>286</v>
      </c>
      <c r="C3753" s="1128">
        <v>91.65</v>
      </c>
      <c r="D3753" s="1128">
        <v>288.23</v>
      </c>
      <c r="E3753" s="1126"/>
    </row>
    <row r="3754" spans="1:5" x14ac:dyDescent="0.2">
      <c r="A3754" s="1126" t="s">
        <v>4336</v>
      </c>
      <c r="B3754" s="1127">
        <v>212</v>
      </c>
      <c r="C3754" s="1128">
        <v>0</v>
      </c>
      <c r="D3754" s="1128">
        <v>100.95</v>
      </c>
      <c r="E3754" s="1126"/>
    </row>
    <row r="3755" spans="1:5" x14ac:dyDescent="0.2">
      <c r="A3755" s="1126" t="s">
        <v>4337</v>
      </c>
      <c r="B3755" s="1127">
        <v>308</v>
      </c>
      <c r="C3755" s="1128">
        <v>51.45</v>
      </c>
      <c r="D3755" s="1128">
        <v>263.16000000000003</v>
      </c>
      <c r="E3755" s="1126"/>
    </row>
    <row r="3756" spans="1:5" x14ac:dyDescent="0.2">
      <c r="A3756" s="1126" t="s">
        <v>4338</v>
      </c>
      <c r="B3756" s="1127">
        <v>180</v>
      </c>
      <c r="C3756" s="1128">
        <v>214.11</v>
      </c>
      <c r="D3756" s="1128">
        <v>337.84</v>
      </c>
      <c r="E3756" s="1126"/>
    </row>
    <row r="3757" spans="1:5" x14ac:dyDescent="0.2">
      <c r="A3757" s="1126" t="s">
        <v>4339</v>
      </c>
      <c r="B3757" s="1127">
        <v>200</v>
      </c>
      <c r="C3757" s="1128">
        <v>0</v>
      </c>
      <c r="D3757" s="1128">
        <v>74.930000000000007</v>
      </c>
      <c r="E3757" s="1126"/>
    </row>
    <row r="3758" spans="1:5" x14ac:dyDescent="0.2">
      <c r="A3758" s="1126" t="s">
        <v>4340</v>
      </c>
      <c r="B3758" s="1127">
        <v>346</v>
      </c>
      <c r="C3758" s="1128">
        <v>15.55</v>
      </c>
      <c r="D3758" s="1128">
        <v>253.38</v>
      </c>
      <c r="E3758" s="1126"/>
    </row>
    <row r="3759" spans="1:5" x14ac:dyDescent="0.2">
      <c r="A3759" s="1126" t="s">
        <v>4341</v>
      </c>
      <c r="B3759" s="1127">
        <v>169</v>
      </c>
      <c r="C3759" s="1128">
        <v>14.05</v>
      </c>
      <c r="D3759" s="1128">
        <v>130.21</v>
      </c>
      <c r="E3759" s="1126"/>
    </row>
    <row r="3760" spans="1:5" x14ac:dyDescent="0.2">
      <c r="A3760" s="1126" t="s">
        <v>4342</v>
      </c>
      <c r="B3760" s="1127">
        <v>48</v>
      </c>
      <c r="C3760" s="1128">
        <v>12.07</v>
      </c>
      <c r="D3760" s="1128">
        <v>45.06</v>
      </c>
      <c r="E3760" s="1126"/>
    </row>
    <row r="3761" spans="1:5" x14ac:dyDescent="0.2">
      <c r="A3761" s="1126" t="s">
        <v>4343</v>
      </c>
      <c r="B3761" s="1127">
        <v>65</v>
      </c>
      <c r="C3761" s="1128">
        <v>0</v>
      </c>
      <c r="D3761" s="1128">
        <v>42.11</v>
      </c>
      <c r="E3761" s="1126"/>
    </row>
    <row r="3762" spans="1:5" x14ac:dyDescent="0.2">
      <c r="A3762" s="1126" t="s">
        <v>4344</v>
      </c>
      <c r="B3762" s="1127">
        <v>68</v>
      </c>
      <c r="C3762" s="1128">
        <v>0</v>
      </c>
      <c r="D3762" s="1128">
        <v>15.32</v>
      </c>
      <c r="E3762" s="1126"/>
    </row>
    <row r="3763" spans="1:5" x14ac:dyDescent="0.2">
      <c r="A3763" s="1126" t="s">
        <v>4345</v>
      </c>
      <c r="B3763" s="1127">
        <v>94</v>
      </c>
      <c r="C3763" s="1128">
        <v>1.68</v>
      </c>
      <c r="D3763" s="1128">
        <v>66.290000000000006</v>
      </c>
      <c r="E3763" s="1126"/>
    </row>
    <row r="3764" spans="1:5" x14ac:dyDescent="0.2">
      <c r="A3764" s="1126" t="s">
        <v>4346</v>
      </c>
      <c r="B3764" s="1127">
        <v>266</v>
      </c>
      <c r="C3764" s="1128">
        <v>23.35</v>
      </c>
      <c r="D3764" s="1128">
        <v>206.19</v>
      </c>
      <c r="E3764" s="1126"/>
    </row>
    <row r="3765" spans="1:5" x14ac:dyDescent="0.2">
      <c r="A3765" s="1126" t="s">
        <v>4347</v>
      </c>
      <c r="B3765" s="1127">
        <v>49</v>
      </c>
      <c r="C3765" s="1128">
        <v>0</v>
      </c>
      <c r="D3765" s="1128">
        <v>15.71</v>
      </c>
      <c r="E3765" s="1126"/>
    </row>
    <row r="3766" spans="1:5" x14ac:dyDescent="0.2">
      <c r="A3766" s="1126" t="s">
        <v>4348</v>
      </c>
      <c r="B3766" s="1127">
        <v>106</v>
      </c>
      <c r="C3766" s="1128">
        <v>44.87</v>
      </c>
      <c r="D3766" s="1128">
        <v>117.74</v>
      </c>
      <c r="E3766" s="1126"/>
    </row>
    <row r="3767" spans="1:5" x14ac:dyDescent="0.2">
      <c r="A3767" s="1126" t="s">
        <v>4349</v>
      </c>
      <c r="B3767" s="1127">
        <v>102</v>
      </c>
      <c r="C3767" s="1128">
        <v>0</v>
      </c>
      <c r="D3767" s="1128">
        <v>45.86</v>
      </c>
      <c r="E3767" s="1126"/>
    </row>
    <row r="3768" spans="1:5" x14ac:dyDescent="0.2">
      <c r="A3768" s="1126" t="s">
        <v>4350</v>
      </c>
      <c r="B3768" s="1127">
        <v>42</v>
      </c>
      <c r="C3768" s="1128">
        <v>106.29</v>
      </c>
      <c r="D3768" s="1128">
        <v>135.16</v>
      </c>
      <c r="E3768" s="1126"/>
    </row>
    <row r="3769" spans="1:5" x14ac:dyDescent="0.2">
      <c r="A3769" s="1126" t="s">
        <v>4351</v>
      </c>
      <c r="B3769" s="1127">
        <v>54</v>
      </c>
      <c r="C3769" s="1128">
        <v>22.56</v>
      </c>
      <c r="D3769" s="1128">
        <v>59.67</v>
      </c>
      <c r="E3769" s="1126"/>
    </row>
    <row r="3770" spans="1:5" x14ac:dyDescent="0.2">
      <c r="A3770" s="1126" t="s">
        <v>4352</v>
      </c>
      <c r="B3770" s="1127">
        <v>104</v>
      </c>
      <c r="C3770" s="1128">
        <v>0</v>
      </c>
      <c r="D3770" s="1128">
        <v>33.44</v>
      </c>
      <c r="E3770" s="1126"/>
    </row>
    <row r="3771" spans="1:5" x14ac:dyDescent="0.2">
      <c r="A3771" s="1126" t="s">
        <v>4353</v>
      </c>
      <c r="B3771" s="1127">
        <v>169</v>
      </c>
      <c r="C3771" s="1128">
        <v>79.37</v>
      </c>
      <c r="D3771" s="1128">
        <v>195.54</v>
      </c>
      <c r="E3771" s="1126"/>
    </row>
    <row r="3772" spans="1:5" x14ac:dyDescent="0.2">
      <c r="A3772" s="1126" t="s">
        <v>4354</v>
      </c>
      <c r="B3772" s="1127">
        <v>430</v>
      </c>
      <c r="C3772" s="1128">
        <v>0</v>
      </c>
      <c r="D3772" s="1128">
        <v>0</v>
      </c>
      <c r="E3772" s="1126"/>
    </row>
    <row r="3773" spans="1:5" x14ac:dyDescent="0.2">
      <c r="A3773" s="1126" t="s">
        <v>4355</v>
      </c>
      <c r="B3773" s="1127">
        <v>578</v>
      </c>
      <c r="C3773" s="1128">
        <v>0</v>
      </c>
      <c r="D3773" s="1128">
        <v>372.79</v>
      </c>
      <c r="E3773" s="1126"/>
    </row>
    <row r="3774" spans="1:5" x14ac:dyDescent="0.2">
      <c r="A3774" s="1126" t="s">
        <v>4356</v>
      </c>
      <c r="B3774" s="1127">
        <v>115</v>
      </c>
      <c r="C3774" s="1128">
        <v>0</v>
      </c>
      <c r="D3774" s="1128">
        <v>8.8800000000000008</v>
      </c>
      <c r="E3774" s="1126"/>
    </row>
    <row r="3775" spans="1:5" x14ac:dyDescent="0.2">
      <c r="A3775" s="1126" t="s">
        <v>4357</v>
      </c>
      <c r="B3775" s="1127">
        <v>246</v>
      </c>
      <c r="C3775" s="1128">
        <v>7.75</v>
      </c>
      <c r="D3775" s="1128">
        <v>176.84</v>
      </c>
      <c r="E3775" s="1126"/>
    </row>
    <row r="3776" spans="1:5" x14ac:dyDescent="0.2">
      <c r="A3776" s="1126" t="s">
        <v>4358</v>
      </c>
      <c r="B3776" s="1127">
        <v>184</v>
      </c>
      <c r="C3776" s="1128">
        <v>49.64</v>
      </c>
      <c r="D3776" s="1128">
        <v>176.11</v>
      </c>
      <c r="E3776" s="1126"/>
    </row>
    <row r="3777" spans="1:5" x14ac:dyDescent="0.2">
      <c r="A3777" s="1126" t="s">
        <v>4359</v>
      </c>
      <c r="B3777" s="1127">
        <v>151</v>
      </c>
      <c r="C3777" s="1128">
        <v>26.5</v>
      </c>
      <c r="D3777" s="1128">
        <v>130.29</v>
      </c>
      <c r="E3777" s="1126"/>
    </row>
    <row r="3778" spans="1:5" x14ac:dyDescent="0.2">
      <c r="A3778" s="1126" t="s">
        <v>4360</v>
      </c>
      <c r="B3778" s="1127">
        <v>262</v>
      </c>
      <c r="C3778" s="1128">
        <v>0</v>
      </c>
      <c r="D3778" s="1128">
        <v>159.53</v>
      </c>
      <c r="E3778" s="1126"/>
    </row>
    <row r="3779" spans="1:5" x14ac:dyDescent="0.2">
      <c r="A3779" s="1126" t="s">
        <v>4361</v>
      </c>
      <c r="B3779" s="1127">
        <v>146</v>
      </c>
      <c r="C3779" s="1128">
        <v>314.16000000000003</v>
      </c>
      <c r="D3779" s="1128">
        <v>414.52</v>
      </c>
      <c r="E3779" s="1126"/>
    </row>
    <row r="3780" spans="1:5" x14ac:dyDescent="0.2">
      <c r="A3780" s="1126" t="s">
        <v>4362</v>
      </c>
      <c r="B3780" s="1127">
        <v>104</v>
      </c>
      <c r="C3780" s="1128">
        <v>33.86</v>
      </c>
      <c r="D3780" s="1128">
        <v>105.34</v>
      </c>
      <c r="E3780" s="1126"/>
    </row>
    <row r="3781" spans="1:5" x14ac:dyDescent="0.2">
      <c r="A3781" s="1126" t="s">
        <v>4363</v>
      </c>
      <c r="B3781" s="1127">
        <v>65</v>
      </c>
      <c r="C3781" s="1128">
        <v>0</v>
      </c>
      <c r="D3781" s="1128">
        <v>4.42</v>
      </c>
      <c r="E3781" s="1126"/>
    </row>
    <row r="3782" spans="1:5" x14ac:dyDescent="0.2">
      <c r="A3782" s="1126" t="s">
        <v>4364</v>
      </c>
      <c r="B3782" s="1127">
        <v>188</v>
      </c>
      <c r="C3782" s="1128">
        <v>0</v>
      </c>
      <c r="D3782" s="1128">
        <v>97.41</v>
      </c>
      <c r="E3782" s="1126"/>
    </row>
    <row r="3783" spans="1:5" x14ac:dyDescent="0.2">
      <c r="A3783" s="1126" t="s">
        <v>4365</v>
      </c>
      <c r="B3783" s="1127">
        <v>228</v>
      </c>
      <c r="C3783" s="1128">
        <v>33.67</v>
      </c>
      <c r="D3783" s="1128">
        <v>190.39</v>
      </c>
      <c r="E3783" s="1126"/>
    </row>
    <row r="3784" spans="1:5" x14ac:dyDescent="0.2">
      <c r="A3784" s="1126" t="s">
        <v>4366</v>
      </c>
      <c r="B3784" s="1127">
        <v>323</v>
      </c>
      <c r="C3784" s="1128">
        <v>370.4</v>
      </c>
      <c r="D3784" s="1128">
        <v>592.41</v>
      </c>
      <c r="E3784" s="1126"/>
    </row>
    <row r="3785" spans="1:5" x14ac:dyDescent="0.2">
      <c r="A3785" s="1126" t="s">
        <v>4367</v>
      </c>
      <c r="B3785" s="1127">
        <v>686</v>
      </c>
      <c r="C3785" s="1128">
        <v>0</v>
      </c>
      <c r="D3785" s="1128">
        <v>401.5</v>
      </c>
      <c r="E3785" s="1126"/>
    </row>
    <row r="3786" spans="1:5" x14ac:dyDescent="0.2">
      <c r="A3786" s="1126" t="s">
        <v>4368</v>
      </c>
      <c r="B3786" s="1127">
        <v>201</v>
      </c>
      <c r="C3786" s="1128">
        <v>126.22</v>
      </c>
      <c r="D3786" s="1128">
        <v>264.38</v>
      </c>
      <c r="E3786" s="1126"/>
    </row>
    <row r="3787" spans="1:5" x14ac:dyDescent="0.2">
      <c r="A3787" s="1126" t="s">
        <v>4369</v>
      </c>
      <c r="B3787" s="1127">
        <v>96</v>
      </c>
      <c r="C3787" s="1128">
        <v>25.55</v>
      </c>
      <c r="D3787" s="1128">
        <v>91.54</v>
      </c>
      <c r="E3787" s="1126"/>
    </row>
    <row r="3788" spans="1:5" x14ac:dyDescent="0.2">
      <c r="A3788" s="1126" t="s">
        <v>4370</v>
      </c>
      <c r="B3788" s="1127">
        <v>381</v>
      </c>
      <c r="C3788" s="1128">
        <v>0</v>
      </c>
      <c r="D3788" s="1128">
        <v>146.86000000000001</v>
      </c>
      <c r="E3788" s="1126"/>
    </row>
    <row r="3789" spans="1:5" x14ac:dyDescent="0.2">
      <c r="A3789" s="1126" t="s">
        <v>4371</v>
      </c>
      <c r="B3789" s="1127">
        <v>431</v>
      </c>
      <c r="C3789" s="1128">
        <v>243.35</v>
      </c>
      <c r="D3789" s="1128">
        <v>539.6</v>
      </c>
      <c r="E3789" s="1126"/>
    </row>
    <row r="3790" spans="1:5" x14ac:dyDescent="0.2">
      <c r="A3790" s="1126" t="s">
        <v>4372</v>
      </c>
      <c r="B3790" s="1127">
        <v>60</v>
      </c>
      <c r="C3790" s="1128">
        <v>0</v>
      </c>
      <c r="D3790" s="1128">
        <v>5.05</v>
      </c>
      <c r="E3790" s="1126"/>
    </row>
    <row r="3791" spans="1:5" x14ac:dyDescent="0.2">
      <c r="A3791" s="1126" t="s">
        <v>4373</v>
      </c>
      <c r="B3791" s="1127">
        <v>44</v>
      </c>
      <c r="C3791" s="1128">
        <v>4.74</v>
      </c>
      <c r="D3791" s="1128">
        <v>34.979999999999997</v>
      </c>
      <c r="E3791" s="1126"/>
    </row>
    <row r="3792" spans="1:5" x14ac:dyDescent="0.2">
      <c r="A3792" s="1126" t="s">
        <v>4374</v>
      </c>
      <c r="B3792" s="1127">
        <v>33</v>
      </c>
      <c r="C3792" s="1128">
        <v>82.02</v>
      </c>
      <c r="D3792" s="1128">
        <v>104.7</v>
      </c>
      <c r="E3792" s="1126" t="s">
        <v>669</v>
      </c>
    </row>
    <row r="3793" spans="1:5" x14ac:dyDescent="0.2">
      <c r="A3793" s="1126" t="s">
        <v>4375</v>
      </c>
      <c r="B3793" s="1127">
        <v>219</v>
      </c>
      <c r="C3793" s="1128">
        <v>0</v>
      </c>
      <c r="D3793" s="1128">
        <v>134.88999999999999</v>
      </c>
      <c r="E3793" s="1126"/>
    </row>
    <row r="3794" spans="1:5" x14ac:dyDescent="0.2">
      <c r="A3794" s="1126" t="s">
        <v>4376</v>
      </c>
      <c r="B3794" s="1127">
        <v>292</v>
      </c>
      <c r="C3794" s="1128">
        <v>144.02000000000001</v>
      </c>
      <c r="D3794" s="1128">
        <v>344.73</v>
      </c>
      <c r="E3794" s="1126"/>
    </row>
    <row r="3795" spans="1:5" x14ac:dyDescent="0.2">
      <c r="A3795" s="1126" t="s">
        <v>4377</v>
      </c>
      <c r="B3795" s="1127">
        <v>231</v>
      </c>
      <c r="C3795" s="1128">
        <v>0.46</v>
      </c>
      <c r="D3795" s="1128">
        <v>159.24</v>
      </c>
      <c r="E3795" s="1126"/>
    </row>
    <row r="3796" spans="1:5" x14ac:dyDescent="0.2">
      <c r="A3796" s="1126" t="s">
        <v>4378</v>
      </c>
      <c r="B3796" s="1127">
        <v>642</v>
      </c>
      <c r="C3796" s="1128">
        <v>757.73</v>
      </c>
      <c r="D3796" s="1128">
        <v>1199.02</v>
      </c>
      <c r="E3796" s="1126"/>
    </row>
    <row r="3797" spans="1:5" x14ac:dyDescent="0.2">
      <c r="A3797" s="1126" t="s">
        <v>4379</v>
      </c>
      <c r="B3797" s="1127">
        <v>69</v>
      </c>
      <c r="C3797" s="1128">
        <v>0</v>
      </c>
      <c r="D3797" s="1128">
        <v>32.33</v>
      </c>
      <c r="E3797" s="1126"/>
    </row>
    <row r="3798" spans="1:5" x14ac:dyDescent="0.2">
      <c r="A3798" s="1126" t="s">
        <v>4380</v>
      </c>
      <c r="B3798" s="1127">
        <v>99</v>
      </c>
      <c r="C3798" s="1128">
        <v>88.68</v>
      </c>
      <c r="D3798" s="1128">
        <v>156.72</v>
      </c>
      <c r="E3798" s="1126"/>
    </row>
    <row r="3799" spans="1:5" x14ac:dyDescent="0.2">
      <c r="A3799" s="1126" t="s">
        <v>4381</v>
      </c>
      <c r="B3799" s="1127">
        <v>69</v>
      </c>
      <c r="C3799" s="1128">
        <v>13.37</v>
      </c>
      <c r="D3799" s="1128">
        <v>60.8</v>
      </c>
      <c r="E3799" s="1126"/>
    </row>
    <row r="3800" spans="1:5" x14ac:dyDescent="0.2">
      <c r="A3800" s="1126" t="s">
        <v>4382</v>
      </c>
      <c r="B3800" s="1127">
        <v>153</v>
      </c>
      <c r="C3800" s="1128">
        <v>417.04</v>
      </c>
      <c r="D3800" s="1128">
        <v>522.21</v>
      </c>
      <c r="E3800" s="1126"/>
    </row>
    <row r="3801" spans="1:5" x14ac:dyDescent="0.2">
      <c r="A3801" s="1126" t="s">
        <v>4383</v>
      </c>
      <c r="B3801" s="1127">
        <v>37</v>
      </c>
      <c r="C3801" s="1128">
        <v>0</v>
      </c>
      <c r="D3801" s="1128">
        <v>0</v>
      </c>
      <c r="E3801" s="1126" t="s">
        <v>669</v>
      </c>
    </row>
    <row r="3802" spans="1:5" x14ac:dyDescent="0.2">
      <c r="A3802" s="1126" t="s">
        <v>4384</v>
      </c>
      <c r="B3802" s="1127">
        <v>83</v>
      </c>
      <c r="C3802" s="1128">
        <v>78.56</v>
      </c>
      <c r="D3802" s="1128">
        <v>135.61000000000001</v>
      </c>
      <c r="E3802" s="1126"/>
    </row>
    <row r="3803" spans="1:5" x14ac:dyDescent="0.2">
      <c r="A3803" s="1126" t="s">
        <v>4385</v>
      </c>
      <c r="B3803" s="1127">
        <v>33</v>
      </c>
      <c r="C3803" s="1128">
        <v>0</v>
      </c>
      <c r="D3803" s="1128">
        <v>22.04</v>
      </c>
      <c r="E3803" s="1126" t="s">
        <v>669</v>
      </c>
    </row>
    <row r="3804" spans="1:5" x14ac:dyDescent="0.2">
      <c r="A3804" s="1126" t="s">
        <v>4386</v>
      </c>
      <c r="B3804" s="1127">
        <v>445</v>
      </c>
      <c r="C3804" s="1128">
        <v>0</v>
      </c>
      <c r="D3804" s="1128">
        <v>14.41</v>
      </c>
      <c r="E3804" s="1126"/>
    </row>
    <row r="3805" spans="1:5" x14ac:dyDescent="0.2">
      <c r="A3805" s="1126" t="s">
        <v>4387</v>
      </c>
      <c r="B3805" s="1127">
        <v>329</v>
      </c>
      <c r="C3805" s="1128">
        <v>257.32</v>
      </c>
      <c r="D3805" s="1128">
        <v>483.46</v>
      </c>
      <c r="E3805" s="1126"/>
    </row>
    <row r="3806" spans="1:5" x14ac:dyDescent="0.2">
      <c r="A3806" s="1126" t="s">
        <v>4388</v>
      </c>
      <c r="B3806" s="1127">
        <v>172</v>
      </c>
      <c r="C3806" s="1128">
        <v>0</v>
      </c>
      <c r="D3806" s="1128">
        <v>34.119999999999997</v>
      </c>
      <c r="E3806" s="1126"/>
    </row>
    <row r="3807" spans="1:5" x14ac:dyDescent="0.2">
      <c r="A3807" s="1126" t="s">
        <v>4389</v>
      </c>
      <c r="B3807" s="1127">
        <v>184</v>
      </c>
      <c r="C3807" s="1128">
        <v>61.12</v>
      </c>
      <c r="D3807" s="1128">
        <v>187.59</v>
      </c>
      <c r="E3807" s="1126"/>
    </row>
    <row r="3808" spans="1:5" x14ac:dyDescent="0.2">
      <c r="A3808" s="1126" t="s">
        <v>4390</v>
      </c>
      <c r="B3808" s="1127">
        <v>110</v>
      </c>
      <c r="C3808" s="1128">
        <v>0</v>
      </c>
      <c r="D3808" s="1128">
        <v>71.319999999999993</v>
      </c>
      <c r="E3808" s="1126"/>
    </row>
    <row r="3809" spans="1:5" x14ac:dyDescent="0.2">
      <c r="A3809" s="1126" t="s">
        <v>4391</v>
      </c>
      <c r="B3809" s="1127">
        <v>98</v>
      </c>
      <c r="C3809" s="1128">
        <v>0</v>
      </c>
      <c r="D3809" s="1128">
        <v>38.840000000000003</v>
      </c>
      <c r="E3809" s="1126"/>
    </row>
    <row r="3810" spans="1:5" x14ac:dyDescent="0.2">
      <c r="A3810" s="1126" t="s">
        <v>4392</v>
      </c>
      <c r="B3810" s="1127">
        <v>268</v>
      </c>
      <c r="C3810" s="1128">
        <v>708.67</v>
      </c>
      <c r="D3810" s="1128">
        <v>892.88</v>
      </c>
      <c r="E3810" s="1126"/>
    </row>
    <row r="3811" spans="1:5" x14ac:dyDescent="0.2">
      <c r="A3811" s="1126" t="s">
        <v>4393</v>
      </c>
      <c r="B3811" s="1127">
        <v>132</v>
      </c>
      <c r="C3811" s="1128">
        <v>117.68</v>
      </c>
      <c r="D3811" s="1128">
        <v>208.41</v>
      </c>
      <c r="E3811" s="1126"/>
    </row>
    <row r="3812" spans="1:5" x14ac:dyDescent="0.2">
      <c r="A3812" s="1126" t="s">
        <v>4394</v>
      </c>
      <c r="B3812" s="1127">
        <v>415</v>
      </c>
      <c r="C3812" s="1128">
        <v>192.98</v>
      </c>
      <c r="D3812" s="1128">
        <v>478.23</v>
      </c>
      <c r="E3812" s="1126"/>
    </row>
    <row r="3813" spans="1:5" x14ac:dyDescent="0.2">
      <c r="A3813" s="1126" t="s">
        <v>4395</v>
      </c>
      <c r="B3813" s="1127">
        <v>181</v>
      </c>
      <c r="C3813" s="1128">
        <v>0</v>
      </c>
      <c r="D3813" s="1128">
        <v>120.42</v>
      </c>
      <c r="E3813" s="1126"/>
    </row>
    <row r="3814" spans="1:5" x14ac:dyDescent="0.2">
      <c r="A3814" s="1126" t="s">
        <v>4396</v>
      </c>
      <c r="B3814" s="1127">
        <v>480</v>
      </c>
      <c r="C3814" s="1128">
        <v>0</v>
      </c>
      <c r="D3814" s="1128">
        <v>157</v>
      </c>
      <c r="E3814" s="1126"/>
    </row>
    <row r="3815" spans="1:5" x14ac:dyDescent="0.2">
      <c r="A3815" s="1126" t="s">
        <v>4397</v>
      </c>
      <c r="B3815" s="1127">
        <v>155</v>
      </c>
      <c r="C3815" s="1128">
        <v>118.72</v>
      </c>
      <c r="D3815" s="1128">
        <v>225.26</v>
      </c>
      <c r="E3815" s="1126"/>
    </row>
    <row r="3816" spans="1:5" x14ac:dyDescent="0.2">
      <c r="A3816" s="1126" t="s">
        <v>4398</v>
      </c>
      <c r="B3816" s="1127">
        <v>230</v>
      </c>
      <c r="C3816" s="1128">
        <v>0</v>
      </c>
      <c r="D3816" s="1128">
        <v>40.28</v>
      </c>
      <c r="E3816" s="1126"/>
    </row>
    <row r="3817" spans="1:5" x14ac:dyDescent="0.2">
      <c r="A3817" s="1126" t="s">
        <v>4399</v>
      </c>
      <c r="B3817" s="1127">
        <v>252</v>
      </c>
      <c r="C3817" s="1128">
        <v>0</v>
      </c>
      <c r="D3817" s="1128">
        <v>95.38</v>
      </c>
      <c r="E3817" s="1126"/>
    </row>
    <row r="3818" spans="1:5" x14ac:dyDescent="0.2">
      <c r="A3818" s="1126" t="s">
        <v>4400</v>
      </c>
      <c r="B3818" s="1127">
        <v>374</v>
      </c>
      <c r="C3818" s="1128">
        <v>0</v>
      </c>
      <c r="D3818" s="1128">
        <v>50.31</v>
      </c>
      <c r="E3818" s="1126"/>
    </row>
    <row r="3819" spans="1:5" x14ac:dyDescent="0.2">
      <c r="A3819" s="1126" t="s">
        <v>4401</v>
      </c>
      <c r="B3819" s="1127">
        <v>420</v>
      </c>
      <c r="C3819" s="1128">
        <v>157.47999999999999</v>
      </c>
      <c r="D3819" s="1128">
        <v>446.17</v>
      </c>
      <c r="E3819" s="1126"/>
    </row>
    <row r="3820" spans="1:5" x14ac:dyDescent="0.2">
      <c r="A3820" s="1126" t="s">
        <v>4402</v>
      </c>
      <c r="B3820" s="1127">
        <v>274</v>
      </c>
      <c r="C3820" s="1128">
        <v>539.87</v>
      </c>
      <c r="D3820" s="1128">
        <v>728.21</v>
      </c>
      <c r="E3820" s="1126"/>
    </row>
    <row r="3821" spans="1:5" x14ac:dyDescent="0.2">
      <c r="A3821" s="1126" t="s">
        <v>4403</v>
      </c>
      <c r="B3821" s="1127">
        <v>265</v>
      </c>
      <c r="C3821" s="1128">
        <v>426.33</v>
      </c>
      <c r="D3821" s="1128">
        <v>608.49</v>
      </c>
      <c r="E3821" s="1126"/>
    </row>
    <row r="3822" spans="1:5" x14ac:dyDescent="0.2">
      <c r="A3822" s="1126" t="s">
        <v>4404</v>
      </c>
      <c r="B3822" s="1127">
        <v>303</v>
      </c>
      <c r="C3822" s="1128">
        <v>115.77</v>
      </c>
      <c r="D3822" s="1128">
        <v>324.04000000000002</v>
      </c>
      <c r="E3822" s="1126"/>
    </row>
    <row r="3823" spans="1:5" x14ac:dyDescent="0.2">
      <c r="A3823" s="1126" t="s">
        <v>4405</v>
      </c>
      <c r="B3823" s="1127">
        <v>89</v>
      </c>
      <c r="C3823" s="1128">
        <v>186.04</v>
      </c>
      <c r="D3823" s="1128">
        <v>247.21</v>
      </c>
      <c r="E3823" s="1126"/>
    </row>
    <row r="3824" spans="1:5" x14ac:dyDescent="0.2">
      <c r="A3824" s="1126" t="s">
        <v>4406</v>
      </c>
      <c r="B3824" s="1127">
        <v>137</v>
      </c>
      <c r="C3824" s="1128">
        <v>52.84</v>
      </c>
      <c r="D3824" s="1128">
        <v>147.01</v>
      </c>
      <c r="E3824" s="1126"/>
    </row>
    <row r="3825" spans="1:5" x14ac:dyDescent="0.2">
      <c r="A3825" s="1126" t="s">
        <v>4407</v>
      </c>
      <c r="B3825" s="1127">
        <v>424</v>
      </c>
      <c r="C3825" s="1128">
        <v>55.43</v>
      </c>
      <c r="D3825" s="1128">
        <v>346.87</v>
      </c>
      <c r="E3825" s="1126"/>
    </row>
    <row r="3826" spans="1:5" x14ac:dyDescent="0.2">
      <c r="A3826" s="1126" t="s">
        <v>4408</v>
      </c>
      <c r="B3826" s="1127">
        <v>96</v>
      </c>
      <c r="C3826" s="1128">
        <v>94.93</v>
      </c>
      <c r="D3826" s="1128">
        <v>160.91</v>
      </c>
      <c r="E3826" s="1126"/>
    </row>
    <row r="3827" spans="1:5" x14ac:dyDescent="0.2">
      <c r="A3827" s="1126" t="s">
        <v>4409</v>
      </c>
      <c r="B3827" s="1127">
        <v>242</v>
      </c>
      <c r="C3827" s="1128">
        <v>0.18</v>
      </c>
      <c r="D3827" s="1128">
        <v>166.52</v>
      </c>
      <c r="E3827" s="1126"/>
    </row>
    <row r="3828" spans="1:5" x14ac:dyDescent="0.2">
      <c r="A3828" s="1126" t="s">
        <v>4410</v>
      </c>
      <c r="B3828" s="1127">
        <v>114</v>
      </c>
      <c r="C3828" s="1128">
        <v>106.18</v>
      </c>
      <c r="D3828" s="1128">
        <v>184.54</v>
      </c>
      <c r="E3828" s="1126"/>
    </row>
    <row r="3829" spans="1:5" x14ac:dyDescent="0.2">
      <c r="A3829" s="1126" t="s">
        <v>4411</v>
      </c>
      <c r="B3829" s="1127">
        <v>198</v>
      </c>
      <c r="C3829" s="1128">
        <v>0</v>
      </c>
      <c r="D3829" s="1128">
        <v>128.38</v>
      </c>
      <c r="E3829" s="1126"/>
    </row>
    <row r="3830" spans="1:5" x14ac:dyDescent="0.2">
      <c r="A3830" s="1126" t="s">
        <v>4412</v>
      </c>
      <c r="B3830" s="1127">
        <v>183</v>
      </c>
      <c r="C3830" s="1128">
        <v>765.94</v>
      </c>
      <c r="D3830" s="1128">
        <v>891.73</v>
      </c>
      <c r="E3830" s="1126"/>
    </row>
    <row r="3831" spans="1:5" x14ac:dyDescent="0.2">
      <c r="A3831" s="1126" t="s">
        <v>4413</v>
      </c>
      <c r="B3831" s="1127">
        <v>259</v>
      </c>
      <c r="C3831" s="1128">
        <v>170.25</v>
      </c>
      <c r="D3831" s="1128">
        <v>348.28</v>
      </c>
      <c r="E3831" s="1126"/>
    </row>
    <row r="3832" spans="1:5" x14ac:dyDescent="0.2">
      <c r="A3832" s="1126" t="s">
        <v>4414</v>
      </c>
      <c r="B3832" s="1127">
        <v>43</v>
      </c>
      <c r="C3832" s="1128">
        <v>0</v>
      </c>
      <c r="D3832" s="1128">
        <v>10.48</v>
      </c>
      <c r="E3832" s="1126"/>
    </row>
    <row r="3833" spans="1:5" x14ac:dyDescent="0.2">
      <c r="A3833" s="1126" t="s">
        <v>4415</v>
      </c>
      <c r="B3833" s="1127">
        <v>82</v>
      </c>
      <c r="C3833" s="1128">
        <v>0</v>
      </c>
      <c r="D3833" s="1128">
        <v>19.54</v>
      </c>
      <c r="E3833" s="1126"/>
    </row>
    <row r="3834" spans="1:5" x14ac:dyDescent="0.2">
      <c r="A3834" s="1126" t="s">
        <v>4416</v>
      </c>
      <c r="B3834" s="1127">
        <v>272</v>
      </c>
      <c r="C3834" s="1128">
        <v>0</v>
      </c>
      <c r="D3834" s="1128">
        <v>34.229999999999997</v>
      </c>
      <c r="E3834" s="1126"/>
    </row>
    <row r="3835" spans="1:5" x14ac:dyDescent="0.2">
      <c r="A3835" s="1126" t="s">
        <v>4417</v>
      </c>
      <c r="B3835" s="1127">
        <v>256</v>
      </c>
      <c r="C3835" s="1128">
        <v>0</v>
      </c>
      <c r="D3835" s="1128">
        <v>44.19</v>
      </c>
      <c r="E3835" s="1126"/>
    </row>
    <row r="3836" spans="1:5" x14ac:dyDescent="0.2">
      <c r="A3836" s="1126" t="s">
        <v>4418</v>
      </c>
      <c r="B3836" s="1127">
        <v>196</v>
      </c>
      <c r="C3836" s="1128">
        <v>243.83</v>
      </c>
      <c r="D3836" s="1128">
        <v>378.55</v>
      </c>
      <c r="E3836" s="1126"/>
    </row>
    <row r="3837" spans="1:5" x14ac:dyDescent="0.2">
      <c r="A3837" s="1126" t="s">
        <v>4419</v>
      </c>
      <c r="B3837" s="1127">
        <v>102</v>
      </c>
      <c r="C3837" s="1128">
        <v>0</v>
      </c>
      <c r="D3837" s="1128">
        <v>25.9</v>
      </c>
      <c r="E3837" s="1126"/>
    </row>
    <row r="3838" spans="1:5" x14ac:dyDescent="0.2">
      <c r="A3838" s="1126" t="s">
        <v>4420</v>
      </c>
      <c r="B3838" s="1127">
        <v>36</v>
      </c>
      <c r="C3838" s="1128">
        <v>0</v>
      </c>
      <c r="D3838" s="1128">
        <v>14.73</v>
      </c>
      <c r="E3838" s="1126" t="s">
        <v>669</v>
      </c>
    </row>
    <row r="3839" spans="1:5" x14ac:dyDescent="0.2">
      <c r="A3839" s="1126" t="s">
        <v>4421</v>
      </c>
      <c r="B3839" s="1127">
        <v>160</v>
      </c>
      <c r="C3839" s="1128">
        <v>0</v>
      </c>
      <c r="D3839" s="1128">
        <v>57.98</v>
      </c>
      <c r="E3839" s="1126"/>
    </row>
    <row r="3840" spans="1:5" x14ac:dyDescent="0.2">
      <c r="A3840" s="1126" t="s">
        <v>4422</v>
      </c>
      <c r="B3840" s="1127">
        <v>399</v>
      </c>
      <c r="C3840" s="1128">
        <v>0</v>
      </c>
      <c r="D3840" s="1128">
        <v>19.64</v>
      </c>
      <c r="E3840" s="1126"/>
    </row>
    <row r="3841" spans="1:5" x14ac:dyDescent="0.2">
      <c r="A3841" s="1126" t="s">
        <v>4423</v>
      </c>
      <c r="B3841" s="1127">
        <v>93</v>
      </c>
      <c r="C3841" s="1128">
        <v>3.29</v>
      </c>
      <c r="D3841" s="1128">
        <v>67.209999999999994</v>
      </c>
      <c r="E3841" s="1126"/>
    </row>
    <row r="3842" spans="1:5" x14ac:dyDescent="0.2">
      <c r="A3842" s="1126" t="s">
        <v>4424</v>
      </c>
      <c r="B3842" s="1127">
        <v>433</v>
      </c>
      <c r="C3842" s="1128">
        <v>0</v>
      </c>
      <c r="D3842" s="1128">
        <v>103.96</v>
      </c>
      <c r="E3842" s="1126"/>
    </row>
    <row r="3843" spans="1:5" x14ac:dyDescent="0.2">
      <c r="A3843" s="1126" t="s">
        <v>4425</v>
      </c>
      <c r="B3843" s="1127">
        <v>495</v>
      </c>
      <c r="C3843" s="1128">
        <v>385.37</v>
      </c>
      <c r="D3843" s="1128">
        <v>725.61</v>
      </c>
      <c r="E3843" s="1126"/>
    </row>
    <row r="3844" spans="1:5" x14ac:dyDescent="0.2">
      <c r="A3844" s="1126" t="s">
        <v>4426</v>
      </c>
      <c r="B3844" s="1127">
        <v>203</v>
      </c>
      <c r="C3844" s="1128">
        <v>0</v>
      </c>
      <c r="D3844" s="1128">
        <v>116.54</v>
      </c>
      <c r="E3844" s="1126"/>
    </row>
    <row r="3845" spans="1:5" x14ac:dyDescent="0.2">
      <c r="A3845" s="1126" t="s">
        <v>4427</v>
      </c>
      <c r="B3845" s="1127">
        <v>170</v>
      </c>
      <c r="C3845" s="1128">
        <v>0</v>
      </c>
      <c r="D3845" s="1128">
        <v>109.12</v>
      </c>
      <c r="E3845" s="1126"/>
    </row>
    <row r="3846" spans="1:5" x14ac:dyDescent="0.2">
      <c r="A3846" s="1126" t="s">
        <v>4428</v>
      </c>
      <c r="B3846" s="1127">
        <v>254</v>
      </c>
      <c r="C3846" s="1128">
        <v>130.77000000000001</v>
      </c>
      <c r="D3846" s="1128">
        <v>305.36</v>
      </c>
      <c r="E3846" s="1126"/>
    </row>
    <row r="3847" spans="1:5" x14ac:dyDescent="0.2">
      <c r="A3847" s="1126" t="s">
        <v>4429</v>
      </c>
      <c r="B3847" s="1127">
        <v>103</v>
      </c>
      <c r="C3847" s="1128">
        <v>0</v>
      </c>
      <c r="D3847" s="1128">
        <v>64.239999999999995</v>
      </c>
      <c r="E3847" s="1126"/>
    </row>
    <row r="3848" spans="1:5" x14ac:dyDescent="0.2">
      <c r="A3848" s="1126" t="s">
        <v>4430</v>
      </c>
      <c r="B3848" s="1127">
        <v>210</v>
      </c>
      <c r="C3848" s="1128">
        <v>0</v>
      </c>
      <c r="D3848" s="1128">
        <v>119.54</v>
      </c>
      <c r="E3848" s="1126"/>
    </row>
    <row r="3849" spans="1:5" x14ac:dyDescent="0.2">
      <c r="A3849" s="1126" t="s">
        <v>4431</v>
      </c>
      <c r="B3849" s="1127">
        <v>289</v>
      </c>
      <c r="C3849" s="1128">
        <v>0</v>
      </c>
      <c r="D3849" s="1128">
        <v>158.41</v>
      </c>
      <c r="E3849" s="1126"/>
    </row>
    <row r="3850" spans="1:5" x14ac:dyDescent="0.2">
      <c r="A3850" s="1126" t="s">
        <v>4432</v>
      </c>
      <c r="B3850" s="1127">
        <v>116</v>
      </c>
      <c r="C3850" s="1128">
        <v>0</v>
      </c>
      <c r="D3850" s="1128">
        <v>62.01</v>
      </c>
      <c r="E3850" s="1126"/>
    </row>
    <row r="3851" spans="1:5" x14ac:dyDescent="0.2">
      <c r="A3851" s="1126" t="s">
        <v>4433</v>
      </c>
      <c r="B3851" s="1127">
        <v>195</v>
      </c>
      <c r="C3851" s="1128">
        <v>658.99</v>
      </c>
      <c r="D3851" s="1128">
        <v>793.03</v>
      </c>
      <c r="E3851" s="1126"/>
    </row>
    <row r="3852" spans="1:5" x14ac:dyDescent="0.2">
      <c r="A3852" s="1126" t="s">
        <v>4434</v>
      </c>
      <c r="B3852" s="1127">
        <v>184</v>
      </c>
      <c r="C3852" s="1128">
        <v>270.27</v>
      </c>
      <c r="D3852" s="1128">
        <v>396.74</v>
      </c>
      <c r="E3852" s="1126"/>
    </row>
    <row r="3853" spans="1:5" x14ac:dyDescent="0.2">
      <c r="A3853" s="1126" t="s">
        <v>4435</v>
      </c>
      <c r="B3853" s="1127">
        <v>283</v>
      </c>
      <c r="C3853" s="1128">
        <v>0</v>
      </c>
      <c r="D3853" s="1128">
        <v>171.57</v>
      </c>
      <c r="E3853" s="1126"/>
    </row>
    <row r="3854" spans="1:5" x14ac:dyDescent="0.2">
      <c r="A3854" s="1126" t="s">
        <v>4436</v>
      </c>
      <c r="B3854" s="1127">
        <v>289</v>
      </c>
      <c r="C3854" s="1128">
        <v>0</v>
      </c>
      <c r="D3854" s="1128">
        <v>141.44999999999999</v>
      </c>
      <c r="E3854" s="1126"/>
    </row>
    <row r="3855" spans="1:5" x14ac:dyDescent="0.2">
      <c r="A3855" s="1126" t="s">
        <v>4437</v>
      </c>
      <c r="B3855" s="1127">
        <v>123</v>
      </c>
      <c r="C3855" s="1128">
        <v>145.74</v>
      </c>
      <c r="D3855" s="1128">
        <v>230.28</v>
      </c>
      <c r="E3855" s="1126"/>
    </row>
    <row r="3856" spans="1:5" x14ac:dyDescent="0.2">
      <c r="A3856" s="1126" t="s">
        <v>4438</v>
      </c>
      <c r="B3856" s="1127">
        <v>392</v>
      </c>
      <c r="C3856" s="1128">
        <v>0</v>
      </c>
      <c r="D3856" s="1128">
        <v>10.23</v>
      </c>
      <c r="E3856" s="1126"/>
    </row>
    <row r="3857" spans="1:5" x14ac:dyDescent="0.2">
      <c r="A3857" s="1126" t="s">
        <v>4439</v>
      </c>
      <c r="B3857" s="1127">
        <v>49</v>
      </c>
      <c r="C3857" s="1128">
        <v>0</v>
      </c>
      <c r="D3857" s="1128">
        <v>25.63</v>
      </c>
      <c r="E3857" s="1126"/>
    </row>
    <row r="3858" spans="1:5" x14ac:dyDescent="0.2">
      <c r="A3858" s="1126" t="s">
        <v>4440</v>
      </c>
      <c r="B3858" s="1127">
        <v>177</v>
      </c>
      <c r="C3858" s="1128">
        <v>30.6</v>
      </c>
      <c r="D3858" s="1128">
        <v>152.27000000000001</v>
      </c>
      <c r="E3858" s="1126"/>
    </row>
    <row r="3859" spans="1:5" x14ac:dyDescent="0.2">
      <c r="A3859" s="1126" t="s">
        <v>4441</v>
      </c>
      <c r="B3859" s="1127">
        <v>153</v>
      </c>
      <c r="C3859" s="1128">
        <v>30.63</v>
      </c>
      <c r="D3859" s="1128">
        <v>135.79</v>
      </c>
      <c r="E3859" s="1126"/>
    </row>
    <row r="3860" spans="1:5" x14ac:dyDescent="0.2">
      <c r="A3860" s="1126" t="s">
        <v>4442</v>
      </c>
      <c r="B3860" s="1127">
        <v>37</v>
      </c>
      <c r="C3860" s="1128">
        <v>0</v>
      </c>
      <c r="D3860" s="1128">
        <v>10.029999999999999</v>
      </c>
      <c r="E3860" s="1126" t="s">
        <v>669</v>
      </c>
    </row>
    <row r="3861" spans="1:5" x14ac:dyDescent="0.2">
      <c r="A3861" s="1126" t="s">
        <v>4443</v>
      </c>
      <c r="B3861" s="1127">
        <v>434</v>
      </c>
      <c r="C3861" s="1128">
        <v>533.24</v>
      </c>
      <c r="D3861" s="1128">
        <v>831.55</v>
      </c>
      <c r="E3861" s="1126"/>
    </row>
    <row r="3862" spans="1:5" x14ac:dyDescent="0.2">
      <c r="A3862" s="1126" t="s">
        <v>4444</v>
      </c>
      <c r="B3862" s="1127">
        <v>347</v>
      </c>
      <c r="C3862" s="1128">
        <v>0</v>
      </c>
      <c r="D3862" s="1128">
        <v>154.5</v>
      </c>
      <c r="E3862" s="1126"/>
    </row>
    <row r="3863" spans="1:5" x14ac:dyDescent="0.2">
      <c r="A3863" s="1126" t="s">
        <v>4445</v>
      </c>
      <c r="B3863" s="1127">
        <v>127</v>
      </c>
      <c r="C3863" s="1128">
        <v>0</v>
      </c>
      <c r="D3863" s="1128">
        <v>54.92</v>
      </c>
      <c r="E3863" s="1126"/>
    </row>
    <row r="3864" spans="1:5" x14ac:dyDescent="0.2">
      <c r="A3864" s="1126" t="s">
        <v>4446</v>
      </c>
      <c r="B3864" s="1127">
        <v>197</v>
      </c>
      <c r="C3864" s="1128">
        <v>171.36</v>
      </c>
      <c r="D3864" s="1128">
        <v>306.77</v>
      </c>
      <c r="E3864" s="1126"/>
    </row>
    <row r="3865" spans="1:5" x14ac:dyDescent="0.2">
      <c r="A3865" s="1126" t="s">
        <v>4447</v>
      </c>
      <c r="B3865" s="1127">
        <v>181</v>
      </c>
      <c r="C3865" s="1128">
        <v>10.65</v>
      </c>
      <c r="D3865" s="1128">
        <v>135.06</v>
      </c>
      <c r="E3865" s="1126"/>
    </row>
    <row r="3866" spans="1:5" x14ac:dyDescent="0.2">
      <c r="A3866" s="1126" t="s">
        <v>4448</v>
      </c>
      <c r="B3866" s="1127">
        <v>307</v>
      </c>
      <c r="C3866" s="1128">
        <v>546.46</v>
      </c>
      <c r="D3866" s="1128">
        <v>757.48</v>
      </c>
      <c r="E3866" s="1126"/>
    </row>
    <row r="3867" spans="1:5" x14ac:dyDescent="0.2">
      <c r="A3867" s="1126" t="s">
        <v>4449</v>
      </c>
      <c r="B3867" s="1127">
        <v>158</v>
      </c>
      <c r="C3867" s="1128">
        <v>116.44</v>
      </c>
      <c r="D3867" s="1128">
        <v>225.05</v>
      </c>
      <c r="E3867" s="1126"/>
    </row>
    <row r="3868" spans="1:5" x14ac:dyDescent="0.2">
      <c r="A3868" s="1126" t="s">
        <v>4450</v>
      </c>
      <c r="B3868" s="1127">
        <v>258</v>
      </c>
      <c r="C3868" s="1128">
        <v>278.12</v>
      </c>
      <c r="D3868" s="1128">
        <v>455.46</v>
      </c>
      <c r="E3868" s="1126"/>
    </row>
    <row r="3869" spans="1:5" x14ac:dyDescent="0.2">
      <c r="A3869" s="1126" t="s">
        <v>4451</v>
      </c>
      <c r="B3869" s="1127">
        <v>150</v>
      </c>
      <c r="C3869" s="1128">
        <v>0</v>
      </c>
      <c r="D3869" s="1128">
        <v>42.82</v>
      </c>
      <c r="E3869" s="1126"/>
    </row>
    <row r="3870" spans="1:5" x14ac:dyDescent="0.2">
      <c r="A3870" s="1126" t="s">
        <v>4452</v>
      </c>
      <c r="B3870" s="1127">
        <v>65</v>
      </c>
      <c r="C3870" s="1128">
        <v>0</v>
      </c>
      <c r="D3870" s="1128">
        <v>40.1</v>
      </c>
      <c r="E3870" s="1126"/>
    </row>
    <row r="3871" spans="1:5" x14ac:dyDescent="0.2">
      <c r="A3871" s="1126" t="s">
        <v>4453</v>
      </c>
      <c r="B3871" s="1127">
        <v>194</v>
      </c>
      <c r="C3871" s="1128">
        <v>439.75</v>
      </c>
      <c r="D3871" s="1128">
        <v>573.09</v>
      </c>
      <c r="E3871" s="1126"/>
    </row>
    <row r="3872" spans="1:5" x14ac:dyDescent="0.2">
      <c r="A3872" s="1126" t="s">
        <v>4454</v>
      </c>
      <c r="B3872" s="1127">
        <v>155</v>
      </c>
      <c r="C3872" s="1128">
        <v>387.92</v>
      </c>
      <c r="D3872" s="1128">
        <v>494.46</v>
      </c>
      <c r="E3872" s="1126"/>
    </row>
    <row r="3873" spans="1:5" x14ac:dyDescent="0.2">
      <c r="A3873" s="1126" t="s">
        <v>4455</v>
      </c>
      <c r="B3873" s="1127">
        <v>229</v>
      </c>
      <c r="C3873" s="1128">
        <v>737.31</v>
      </c>
      <c r="D3873" s="1128">
        <v>894.71</v>
      </c>
      <c r="E3873" s="1126"/>
    </row>
    <row r="3874" spans="1:5" x14ac:dyDescent="0.2">
      <c r="A3874" s="1126" t="s">
        <v>4456</v>
      </c>
      <c r="B3874" s="1127">
        <v>96</v>
      </c>
      <c r="C3874" s="1128">
        <v>118.62</v>
      </c>
      <c r="D3874" s="1128">
        <v>184.61</v>
      </c>
      <c r="E3874" s="1126"/>
    </row>
    <row r="3875" spans="1:5" x14ac:dyDescent="0.2">
      <c r="A3875" s="1126" t="s">
        <v>4457</v>
      </c>
      <c r="B3875" s="1127">
        <v>334</v>
      </c>
      <c r="C3875" s="1128">
        <v>0</v>
      </c>
      <c r="D3875" s="1128">
        <v>58.6</v>
      </c>
      <c r="E3875" s="1126"/>
    </row>
    <row r="3876" spans="1:5" x14ac:dyDescent="0.2">
      <c r="A3876" s="1126" t="s">
        <v>4458</v>
      </c>
      <c r="B3876" s="1127">
        <v>298</v>
      </c>
      <c r="C3876" s="1128">
        <v>0</v>
      </c>
      <c r="D3876" s="1128">
        <v>201.36</v>
      </c>
      <c r="E3876" s="1126"/>
    </row>
    <row r="3877" spans="1:5" x14ac:dyDescent="0.2">
      <c r="A3877" s="1126" t="s">
        <v>4459</v>
      </c>
      <c r="B3877" s="1127">
        <v>422</v>
      </c>
      <c r="C3877" s="1128">
        <v>0</v>
      </c>
      <c r="D3877" s="1128">
        <v>52.3</v>
      </c>
      <c r="E3877" s="1126"/>
    </row>
    <row r="3878" spans="1:5" x14ac:dyDescent="0.2">
      <c r="A3878" s="1126" t="s">
        <v>4460</v>
      </c>
      <c r="B3878" s="1127">
        <v>429</v>
      </c>
      <c r="C3878" s="1128">
        <v>0</v>
      </c>
      <c r="D3878" s="1128">
        <v>288.49</v>
      </c>
      <c r="E3878" s="1126"/>
    </row>
    <row r="3879" spans="1:5" x14ac:dyDescent="0.2">
      <c r="A3879" s="1126" t="s">
        <v>4461</v>
      </c>
      <c r="B3879" s="1127">
        <v>685</v>
      </c>
      <c r="C3879" s="1128">
        <v>0</v>
      </c>
      <c r="D3879" s="1128">
        <v>221.76</v>
      </c>
      <c r="E3879" s="1126"/>
    </row>
    <row r="3880" spans="1:5" x14ac:dyDescent="0.2">
      <c r="A3880" s="1126" t="s">
        <v>4462</v>
      </c>
      <c r="B3880" s="1127">
        <v>230</v>
      </c>
      <c r="C3880" s="1128">
        <v>0</v>
      </c>
      <c r="D3880" s="1128">
        <v>109.08</v>
      </c>
      <c r="E3880" s="1126"/>
    </row>
    <row r="3881" spans="1:5" x14ac:dyDescent="0.2">
      <c r="A3881" s="1126" t="s">
        <v>4463</v>
      </c>
      <c r="B3881" s="1127">
        <v>374</v>
      </c>
      <c r="C3881" s="1128">
        <v>0</v>
      </c>
      <c r="D3881" s="1128">
        <v>170.8</v>
      </c>
      <c r="E3881" s="1126"/>
    </row>
    <row r="3882" spans="1:5" x14ac:dyDescent="0.2">
      <c r="A3882" s="1126" t="s">
        <v>4464</v>
      </c>
      <c r="B3882" s="1127">
        <v>53</v>
      </c>
      <c r="C3882" s="1128">
        <v>0</v>
      </c>
      <c r="D3882" s="1128">
        <v>10.14</v>
      </c>
      <c r="E3882" s="1126"/>
    </row>
    <row r="3883" spans="1:5" x14ac:dyDescent="0.2">
      <c r="A3883" s="1126" t="s">
        <v>4465</v>
      </c>
      <c r="B3883" s="1127">
        <v>403</v>
      </c>
      <c r="C3883" s="1128">
        <v>0</v>
      </c>
      <c r="D3883" s="1128">
        <v>243.47</v>
      </c>
      <c r="E3883" s="1126"/>
    </row>
    <row r="3884" spans="1:5" x14ac:dyDescent="0.2">
      <c r="A3884" s="1126" t="s">
        <v>4466</v>
      </c>
      <c r="B3884" s="1127">
        <v>201</v>
      </c>
      <c r="C3884" s="1128">
        <v>77.959999999999994</v>
      </c>
      <c r="D3884" s="1128">
        <v>216.12</v>
      </c>
      <c r="E3884" s="1126"/>
    </row>
    <row r="3885" spans="1:5" x14ac:dyDescent="0.2">
      <c r="A3885" s="1126" t="s">
        <v>4467</v>
      </c>
      <c r="B3885" s="1127">
        <v>89</v>
      </c>
      <c r="C3885" s="1128">
        <v>0</v>
      </c>
      <c r="D3885" s="1128">
        <v>41.61</v>
      </c>
      <c r="E3885" s="1126"/>
    </row>
    <row r="3886" spans="1:5" x14ac:dyDescent="0.2">
      <c r="A3886" s="1126" t="s">
        <v>4468</v>
      </c>
      <c r="B3886" s="1127">
        <v>102</v>
      </c>
      <c r="C3886" s="1128">
        <v>0</v>
      </c>
      <c r="D3886" s="1128">
        <v>46.52</v>
      </c>
      <c r="E3886" s="1126"/>
    </row>
    <row r="3887" spans="1:5" x14ac:dyDescent="0.2">
      <c r="A3887" s="1126" t="s">
        <v>4469</v>
      </c>
      <c r="B3887" s="1127">
        <v>221</v>
      </c>
      <c r="C3887" s="1128">
        <v>0</v>
      </c>
      <c r="D3887" s="1128">
        <v>102.62</v>
      </c>
      <c r="E3887" s="1126"/>
    </row>
    <row r="3888" spans="1:5" x14ac:dyDescent="0.2">
      <c r="A3888" s="1126" t="s">
        <v>4470</v>
      </c>
      <c r="B3888" s="1127">
        <v>124</v>
      </c>
      <c r="C3888" s="1128">
        <v>449.78</v>
      </c>
      <c r="D3888" s="1128">
        <v>535.01</v>
      </c>
      <c r="E3888" s="1126"/>
    </row>
    <row r="3889" spans="1:5" x14ac:dyDescent="0.2">
      <c r="A3889" s="1126" t="s">
        <v>4471</v>
      </c>
      <c r="B3889" s="1127">
        <v>73</v>
      </c>
      <c r="C3889" s="1128">
        <v>0</v>
      </c>
      <c r="D3889" s="1128">
        <v>4.6900000000000004</v>
      </c>
      <c r="E3889" s="1126"/>
    </row>
    <row r="3890" spans="1:5" x14ac:dyDescent="0.2">
      <c r="A3890" s="1126" t="s">
        <v>4472</v>
      </c>
      <c r="B3890" s="1127">
        <v>397</v>
      </c>
      <c r="C3890" s="1128">
        <v>1054.4000000000001</v>
      </c>
      <c r="D3890" s="1128">
        <v>1327.29</v>
      </c>
      <c r="E3890" s="1126"/>
    </row>
    <row r="3891" spans="1:5" x14ac:dyDescent="0.2">
      <c r="A3891" s="1126" t="s">
        <v>4473</v>
      </c>
      <c r="B3891" s="1127">
        <v>181</v>
      </c>
      <c r="C3891" s="1128">
        <v>292.58</v>
      </c>
      <c r="D3891" s="1128">
        <v>416.99</v>
      </c>
      <c r="E3891" s="1126"/>
    </row>
    <row r="3892" spans="1:5" x14ac:dyDescent="0.2">
      <c r="A3892" s="1126" t="s">
        <v>4474</v>
      </c>
      <c r="B3892" s="1127">
        <v>182</v>
      </c>
      <c r="C3892" s="1128">
        <v>207.12</v>
      </c>
      <c r="D3892" s="1128">
        <v>332.22</v>
      </c>
      <c r="E3892" s="1126"/>
    </row>
    <row r="3893" spans="1:5" x14ac:dyDescent="0.2">
      <c r="A3893" s="1126" t="s">
        <v>4475</v>
      </c>
      <c r="B3893" s="1127">
        <v>154</v>
      </c>
      <c r="C3893" s="1128">
        <v>7.01</v>
      </c>
      <c r="D3893" s="1128">
        <v>112.87</v>
      </c>
      <c r="E3893" s="1126"/>
    </row>
    <row r="3894" spans="1:5" x14ac:dyDescent="0.2">
      <c r="A3894" s="1126" t="s">
        <v>4476</v>
      </c>
      <c r="B3894" s="1127">
        <v>54</v>
      </c>
      <c r="C3894" s="1128">
        <v>0</v>
      </c>
      <c r="D3894" s="1128">
        <v>24.95</v>
      </c>
      <c r="E3894" s="1126"/>
    </row>
    <row r="3895" spans="1:5" x14ac:dyDescent="0.2">
      <c r="A3895" s="1126" t="s">
        <v>4477</v>
      </c>
      <c r="B3895" s="1127">
        <v>504</v>
      </c>
      <c r="C3895" s="1128">
        <v>1426.07</v>
      </c>
      <c r="D3895" s="1128">
        <v>1772.5</v>
      </c>
      <c r="E3895" s="1126"/>
    </row>
    <row r="3896" spans="1:5" x14ac:dyDescent="0.2">
      <c r="A3896" s="1126" t="s">
        <v>4478</v>
      </c>
      <c r="B3896" s="1127">
        <v>180</v>
      </c>
      <c r="C3896" s="1128">
        <v>476.7</v>
      </c>
      <c r="D3896" s="1128">
        <v>600.42999999999995</v>
      </c>
      <c r="E3896" s="1126"/>
    </row>
    <row r="3897" spans="1:5" x14ac:dyDescent="0.2">
      <c r="A3897" s="1126" t="s">
        <v>4479</v>
      </c>
      <c r="B3897" s="1127">
        <v>813</v>
      </c>
      <c r="C3897" s="1128">
        <v>0</v>
      </c>
      <c r="D3897" s="1128">
        <v>46.36</v>
      </c>
      <c r="E3897" s="1126"/>
    </row>
    <row r="3898" spans="1:5" x14ac:dyDescent="0.2">
      <c r="A3898" s="1126" t="s">
        <v>4480</v>
      </c>
      <c r="B3898" s="1127">
        <v>107</v>
      </c>
      <c r="C3898" s="1128">
        <v>0</v>
      </c>
      <c r="D3898" s="1128">
        <v>29.02</v>
      </c>
      <c r="E3898" s="1126"/>
    </row>
    <row r="3899" spans="1:5" x14ac:dyDescent="0.2">
      <c r="A3899" s="1126" t="s">
        <v>4481</v>
      </c>
      <c r="B3899" s="1127">
        <v>199</v>
      </c>
      <c r="C3899" s="1128">
        <v>0</v>
      </c>
      <c r="D3899" s="1128">
        <v>117.02</v>
      </c>
      <c r="E3899" s="1126"/>
    </row>
    <row r="3900" spans="1:5" x14ac:dyDescent="0.2">
      <c r="A3900" s="1126" t="s">
        <v>4482</v>
      </c>
      <c r="B3900" s="1127">
        <v>123</v>
      </c>
      <c r="C3900" s="1128">
        <v>0</v>
      </c>
      <c r="D3900" s="1128">
        <v>18.55</v>
      </c>
      <c r="E3900" s="1126"/>
    </row>
    <row r="3901" spans="1:5" x14ac:dyDescent="0.2">
      <c r="A3901" s="1126" t="s">
        <v>4483</v>
      </c>
      <c r="B3901" s="1127">
        <v>48</v>
      </c>
      <c r="C3901" s="1128">
        <v>0.91</v>
      </c>
      <c r="D3901" s="1128">
        <v>33.909999999999997</v>
      </c>
      <c r="E3901" s="1126"/>
    </row>
    <row r="3902" spans="1:5" x14ac:dyDescent="0.2">
      <c r="A3902" s="1126" t="s">
        <v>4484</v>
      </c>
      <c r="B3902" s="1127">
        <v>135</v>
      </c>
      <c r="C3902" s="1128">
        <v>40.549999999999997</v>
      </c>
      <c r="D3902" s="1128">
        <v>133.35</v>
      </c>
      <c r="E3902" s="1126"/>
    </row>
    <row r="3903" spans="1:5" x14ac:dyDescent="0.2">
      <c r="A3903" s="1126" t="s">
        <v>4485</v>
      </c>
      <c r="B3903" s="1127">
        <v>192</v>
      </c>
      <c r="C3903" s="1128">
        <v>573.46</v>
      </c>
      <c r="D3903" s="1128">
        <v>705.43</v>
      </c>
      <c r="E3903" s="1126"/>
    </row>
    <row r="3904" spans="1:5" x14ac:dyDescent="0.2">
      <c r="A3904" s="1126" t="s">
        <v>4486</v>
      </c>
      <c r="B3904" s="1127">
        <v>253</v>
      </c>
      <c r="C3904" s="1128">
        <v>0</v>
      </c>
      <c r="D3904" s="1128">
        <v>100.36</v>
      </c>
      <c r="E3904" s="1126"/>
    </row>
    <row r="3905" spans="1:5" x14ac:dyDescent="0.2">
      <c r="A3905" s="1126" t="s">
        <v>4487</v>
      </c>
      <c r="B3905" s="1127">
        <v>64</v>
      </c>
      <c r="C3905" s="1128">
        <v>0</v>
      </c>
      <c r="D3905" s="1128">
        <v>29.11</v>
      </c>
      <c r="E3905" s="1126"/>
    </row>
    <row r="3906" spans="1:5" x14ac:dyDescent="0.2">
      <c r="A3906" s="1126" t="s">
        <v>4488</v>
      </c>
      <c r="B3906" s="1127">
        <v>323</v>
      </c>
      <c r="C3906" s="1128">
        <v>10.81</v>
      </c>
      <c r="D3906" s="1128">
        <v>232.83</v>
      </c>
      <c r="E3906" s="1126"/>
    </row>
    <row r="3907" spans="1:5" x14ac:dyDescent="0.2">
      <c r="A3907" s="1126" t="s">
        <v>4489</v>
      </c>
      <c r="B3907" s="1127">
        <v>162</v>
      </c>
      <c r="C3907" s="1128">
        <v>61.66</v>
      </c>
      <c r="D3907" s="1128">
        <v>173.01</v>
      </c>
      <c r="E3907" s="1126"/>
    </row>
    <row r="3908" spans="1:5" x14ac:dyDescent="0.2">
      <c r="A3908" s="1126" t="s">
        <v>4490</v>
      </c>
      <c r="B3908" s="1127">
        <v>373</v>
      </c>
      <c r="C3908" s="1128">
        <v>822.06</v>
      </c>
      <c r="D3908" s="1128">
        <v>1078.44</v>
      </c>
      <c r="E3908" s="1126"/>
    </row>
    <row r="3909" spans="1:5" x14ac:dyDescent="0.2">
      <c r="A3909" s="1126" t="s">
        <v>4491</v>
      </c>
      <c r="B3909" s="1127">
        <v>240</v>
      </c>
      <c r="C3909" s="1128">
        <v>0</v>
      </c>
      <c r="D3909" s="1128">
        <v>111.25</v>
      </c>
      <c r="E3909" s="1126"/>
    </row>
    <row r="3910" spans="1:5" x14ac:dyDescent="0.2">
      <c r="A3910" s="1126" t="s">
        <v>4492</v>
      </c>
      <c r="B3910" s="1127">
        <v>176</v>
      </c>
      <c r="C3910" s="1128">
        <v>222.14</v>
      </c>
      <c r="D3910" s="1128">
        <v>343.12</v>
      </c>
      <c r="E3910" s="1126"/>
    </row>
    <row r="3911" spans="1:5" x14ac:dyDescent="0.2">
      <c r="A3911" s="1126" t="s">
        <v>4493</v>
      </c>
      <c r="B3911" s="1127">
        <v>188</v>
      </c>
      <c r="C3911" s="1128">
        <v>486.17</v>
      </c>
      <c r="D3911" s="1128">
        <v>615.4</v>
      </c>
      <c r="E3911" s="1126"/>
    </row>
    <row r="3912" spans="1:5" x14ac:dyDescent="0.2">
      <c r="A3912" s="1126" t="s">
        <v>4494</v>
      </c>
      <c r="B3912" s="1127">
        <v>28</v>
      </c>
      <c r="C3912" s="1128">
        <v>0</v>
      </c>
      <c r="D3912" s="1128">
        <v>0</v>
      </c>
      <c r="E3912" s="1126" t="s">
        <v>669</v>
      </c>
    </row>
    <row r="3913" spans="1:5" x14ac:dyDescent="0.2">
      <c r="A3913" s="1126" t="s">
        <v>4495</v>
      </c>
      <c r="B3913" s="1127">
        <v>296</v>
      </c>
      <c r="C3913" s="1128">
        <v>0</v>
      </c>
      <c r="D3913" s="1128">
        <v>180.22</v>
      </c>
      <c r="E3913" s="1126"/>
    </row>
    <row r="3914" spans="1:5" x14ac:dyDescent="0.2">
      <c r="A3914" s="1126" t="s">
        <v>4496</v>
      </c>
      <c r="B3914" s="1127">
        <v>44</v>
      </c>
      <c r="C3914" s="1128">
        <v>16.149999999999999</v>
      </c>
      <c r="D3914" s="1128">
        <v>46.39</v>
      </c>
      <c r="E3914" s="1126"/>
    </row>
    <row r="3915" spans="1:5" x14ac:dyDescent="0.2">
      <c r="A3915" s="1126" t="s">
        <v>4497</v>
      </c>
      <c r="B3915" s="1127">
        <v>80</v>
      </c>
      <c r="C3915" s="1128">
        <v>0</v>
      </c>
      <c r="D3915" s="1128">
        <v>4.92</v>
      </c>
      <c r="E3915" s="1126"/>
    </row>
    <row r="3916" spans="1:5" x14ac:dyDescent="0.2">
      <c r="A3916" s="1126" t="s">
        <v>4498</v>
      </c>
      <c r="B3916" s="1127">
        <v>633</v>
      </c>
      <c r="C3916" s="1128">
        <v>0</v>
      </c>
      <c r="D3916" s="1128">
        <v>62.73</v>
      </c>
      <c r="E3916" s="1126"/>
    </row>
    <row r="3917" spans="1:5" x14ac:dyDescent="0.2">
      <c r="A3917" s="1126" t="s">
        <v>4499</v>
      </c>
      <c r="B3917" s="1127">
        <v>162</v>
      </c>
      <c r="C3917" s="1128">
        <v>0</v>
      </c>
      <c r="D3917" s="1128">
        <v>93.66</v>
      </c>
      <c r="E3917" s="1126"/>
    </row>
    <row r="3918" spans="1:5" x14ac:dyDescent="0.2">
      <c r="A3918" s="1126" t="s">
        <v>4500</v>
      </c>
      <c r="B3918" s="1127">
        <v>66</v>
      </c>
      <c r="C3918" s="1128">
        <v>0</v>
      </c>
      <c r="D3918" s="1128">
        <v>33.51</v>
      </c>
      <c r="E3918" s="1126"/>
    </row>
    <row r="3919" spans="1:5" x14ac:dyDescent="0.2">
      <c r="A3919" s="1126" t="s">
        <v>4501</v>
      </c>
      <c r="B3919" s="1127">
        <v>540</v>
      </c>
      <c r="C3919" s="1128">
        <v>46.8</v>
      </c>
      <c r="D3919" s="1128">
        <v>417.98</v>
      </c>
      <c r="E3919" s="1126"/>
    </row>
    <row r="3920" spans="1:5" x14ac:dyDescent="0.2">
      <c r="A3920" s="1126" t="s">
        <v>4502</v>
      </c>
      <c r="B3920" s="1127">
        <v>124</v>
      </c>
      <c r="C3920" s="1128">
        <v>145.97</v>
      </c>
      <c r="D3920" s="1128">
        <v>231.2</v>
      </c>
      <c r="E3920" s="1126"/>
    </row>
    <row r="3921" spans="1:5" x14ac:dyDescent="0.2">
      <c r="A3921" s="1126" t="s">
        <v>4503</v>
      </c>
      <c r="B3921" s="1127">
        <v>231</v>
      </c>
      <c r="C3921" s="1128">
        <v>0</v>
      </c>
      <c r="D3921" s="1128">
        <v>127.95</v>
      </c>
      <c r="E3921" s="1126"/>
    </row>
    <row r="3922" spans="1:5" x14ac:dyDescent="0.2">
      <c r="A3922" s="1126" t="s">
        <v>4504</v>
      </c>
      <c r="B3922" s="1127">
        <v>195</v>
      </c>
      <c r="C3922" s="1128">
        <v>310.06</v>
      </c>
      <c r="D3922" s="1128">
        <v>444.1</v>
      </c>
      <c r="E3922" s="1126"/>
    </row>
    <row r="3923" spans="1:5" x14ac:dyDescent="0.2">
      <c r="A3923" s="1126" t="s">
        <v>4505</v>
      </c>
      <c r="B3923" s="1127">
        <v>208</v>
      </c>
      <c r="C3923" s="1128">
        <v>0</v>
      </c>
      <c r="D3923" s="1128">
        <v>110.96</v>
      </c>
      <c r="E3923" s="1126"/>
    </row>
    <row r="3924" spans="1:5" x14ac:dyDescent="0.2">
      <c r="A3924" s="1126" t="s">
        <v>4506</v>
      </c>
      <c r="B3924" s="1127">
        <v>219</v>
      </c>
      <c r="C3924" s="1128">
        <v>4.92</v>
      </c>
      <c r="D3924" s="1128">
        <v>155.44999999999999</v>
      </c>
      <c r="E3924" s="1126"/>
    </row>
    <row r="3925" spans="1:5" x14ac:dyDescent="0.2">
      <c r="A3925" s="1126" t="s">
        <v>4507</v>
      </c>
      <c r="B3925" s="1127">
        <v>40</v>
      </c>
      <c r="C3925" s="1128">
        <v>126.79</v>
      </c>
      <c r="D3925" s="1128">
        <v>154.28</v>
      </c>
      <c r="E3925" s="1126" t="s">
        <v>669</v>
      </c>
    </row>
    <row r="3926" spans="1:5" x14ac:dyDescent="0.2">
      <c r="A3926" s="1126" t="s">
        <v>4508</v>
      </c>
      <c r="B3926" s="1127">
        <v>311</v>
      </c>
      <c r="C3926" s="1128">
        <v>147.30000000000001</v>
      </c>
      <c r="D3926" s="1128">
        <v>361.07</v>
      </c>
      <c r="E3926" s="1126"/>
    </row>
    <row r="3927" spans="1:5" x14ac:dyDescent="0.2">
      <c r="A3927" s="1126" t="s">
        <v>4509</v>
      </c>
      <c r="B3927" s="1127">
        <v>186</v>
      </c>
      <c r="C3927" s="1128">
        <v>0</v>
      </c>
      <c r="D3927" s="1128">
        <v>40.22</v>
      </c>
      <c r="E3927" s="1126"/>
    </row>
    <row r="3928" spans="1:5" x14ac:dyDescent="0.2">
      <c r="A3928" s="1126" t="s">
        <v>4510</v>
      </c>
      <c r="B3928" s="1127">
        <v>182</v>
      </c>
      <c r="C3928" s="1128">
        <v>0</v>
      </c>
      <c r="D3928" s="1128">
        <v>112.46</v>
      </c>
      <c r="E3928" s="1126"/>
    </row>
    <row r="3929" spans="1:5" x14ac:dyDescent="0.2">
      <c r="A3929" s="1126" t="s">
        <v>4511</v>
      </c>
      <c r="B3929" s="1127">
        <v>62</v>
      </c>
      <c r="C3929" s="1128">
        <v>0</v>
      </c>
      <c r="D3929" s="1128">
        <v>26.58</v>
      </c>
      <c r="E3929" s="1126"/>
    </row>
    <row r="3930" spans="1:5" x14ac:dyDescent="0.2">
      <c r="A3930" s="1126" t="s">
        <v>4512</v>
      </c>
      <c r="B3930" s="1127">
        <v>382</v>
      </c>
      <c r="C3930" s="1128">
        <v>890.8</v>
      </c>
      <c r="D3930" s="1128">
        <v>1153.3699999999999</v>
      </c>
      <c r="E3930" s="1126"/>
    </row>
    <row r="3931" spans="1:5" x14ac:dyDescent="0.2">
      <c r="A3931" s="1126" t="s">
        <v>4513</v>
      </c>
      <c r="B3931" s="1127">
        <v>177</v>
      </c>
      <c r="C3931" s="1128">
        <v>93.37</v>
      </c>
      <c r="D3931" s="1128">
        <v>215.03</v>
      </c>
      <c r="E3931" s="1126"/>
    </row>
    <row r="3932" spans="1:5" x14ac:dyDescent="0.2">
      <c r="A3932" s="1126" t="s">
        <v>4514</v>
      </c>
      <c r="B3932" s="1127">
        <v>179</v>
      </c>
      <c r="C3932" s="1128">
        <v>299.5</v>
      </c>
      <c r="D3932" s="1128">
        <v>422.54</v>
      </c>
      <c r="E3932" s="1126"/>
    </row>
    <row r="3933" spans="1:5" x14ac:dyDescent="0.2">
      <c r="A3933" s="1126" t="s">
        <v>4515</v>
      </c>
      <c r="B3933" s="1127">
        <v>125</v>
      </c>
      <c r="C3933" s="1128">
        <v>376.4</v>
      </c>
      <c r="D3933" s="1128">
        <v>462.33</v>
      </c>
      <c r="E3933" s="1126"/>
    </row>
    <row r="3934" spans="1:5" x14ac:dyDescent="0.2">
      <c r="A3934" s="1126" t="s">
        <v>4516</v>
      </c>
      <c r="B3934" s="1127">
        <v>46</v>
      </c>
      <c r="C3934" s="1128">
        <v>65.73</v>
      </c>
      <c r="D3934" s="1128">
        <v>97.35</v>
      </c>
      <c r="E3934" s="1126"/>
    </row>
    <row r="3935" spans="1:5" x14ac:dyDescent="0.2">
      <c r="A3935" s="1126" t="s">
        <v>4517</v>
      </c>
      <c r="B3935" s="1127">
        <v>223</v>
      </c>
      <c r="C3935" s="1128">
        <v>85.64</v>
      </c>
      <c r="D3935" s="1128">
        <v>238.93</v>
      </c>
      <c r="E3935" s="1126"/>
    </row>
    <row r="3936" spans="1:5" x14ac:dyDescent="0.2">
      <c r="A3936" s="1126" t="s">
        <v>4518</v>
      </c>
      <c r="B3936" s="1127">
        <v>215</v>
      </c>
      <c r="C3936" s="1128">
        <v>0</v>
      </c>
      <c r="D3936" s="1128">
        <v>53.65</v>
      </c>
      <c r="E3936" s="1126"/>
    </row>
    <row r="3937" spans="1:5" x14ac:dyDescent="0.2">
      <c r="A3937" s="1126" t="s">
        <v>4519</v>
      </c>
      <c r="B3937" s="1127">
        <v>385</v>
      </c>
      <c r="C3937" s="1128">
        <v>887.49</v>
      </c>
      <c r="D3937" s="1128">
        <v>1152.1199999999999</v>
      </c>
      <c r="E3937" s="1126"/>
    </row>
    <row r="3938" spans="1:5" x14ac:dyDescent="0.2">
      <c r="A3938" s="1126" t="s">
        <v>4520</v>
      </c>
      <c r="B3938" s="1127">
        <v>184</v>
      </c>
      <c r="C3938" s="1128">
        <v>533.99</v>
      </c>
      <c r="D3938" s="1128">
        <v>660.47</v>
      </c>
      <c r="E3938" s="1126"/>
    </row>
    <row r="3939" spans="1:5" x14ac:dyDescent="0.2">
      <c r="A3939" s="1126" t="s">
        <v>4521</v>
      </c>
      <c r="B3939" s="1127">
        <v>180</v>
      </c>
      <c r="C3939" s="1128">
        <v>0</v>
      </c>
      <c r="D3939" s="1128">
        <v>44.34</v>
      </c>
      <c r="E3939" s="1126"/>
    </row>
    <row r="3940" spans="1:5" x14ac:dyDescent="0.2">
      <c r="A3940" s="1126" t="s">
        <v>4522</v>
      </c>
      <c r="B3940" s="1127">
        <v>109</v>
      </c>
      <c r="C3940" s="1128">
        <v>5.68</v>
      </c>
      <c r="D3940" s="1128">
        <v>80.599999999999994</v>
      </c>
      <c r="E3940" s="1126"/>
    </row>
    <row r="3941" spans="1:5" x14ac:dyDescent="0.2">
      <c r="A3941" s="1126" t="s">
        <v>4523</v>
      </c>
      <c r="B3941" s="1127">
        <v>72</v>
      </c>
      <c r="C3941" s="1128">
        <v>0</v>
      </c>
      <c r="D3941" s="1128">
        <v>31.32</v>
      </c>
      <c r="E3941" s="1126"/>
    </row>
    <row r="3942" spans="1:5" x14ac:dyDescent="0.2">
      <c r="A3942" s="1126" t="s">
        <v>4524</v>
      </c>
      <c r="B3942" s="1127">
        <v>248</v>
      </c>
      <c r="C3942" s="1128">
        <v>289.20999999999998</v>
      </c>
      <c r="D3942" s="1128">
        <v>459.67</v>
      </c>
      <c r="E3942" s="1126"/>
    </row>
    <row r="3943" spans="1:5" x14ac:dyDescent="0.2">
      <c r="A3943" s="1126" t="s">
        <v>4525</v>
      </c>
      <c r="B3943" s="1127">
        <v>171</v>
      </c>
      <c r="C3943" s="1128">
        <v>122.88</v>
      </c>
      <c r="D3943" s="1128">
        <v>240.42</v>
      </c>
      <c r="E3943" s="1126"/>
    </row>
    <row r="3944" spans="1:5" x14ac:dyDescent="0.2">
      <c r="A3944" s="1126" t="s">
        <v>4526</v>
      </c>
      <c r="B3944" s="1127">
        <v>187</v>
      </c>
      <c r="C3944" s="1128">
        <v>0</v>
      </c>
      <c r="D3944" s="1128">
        <v>60.59</v>
      </c>
      <c r="E3944" s="1126"/>
    </row>
    <row r="3945" spans="1:5" x14ac:dyDescent="0.2">
      <c r="A3945" s="1126" t="s">
        <v>4527</v>
      </c>
      <c r="B3945" s="1127">
        <v>267</v>
      </c>
      <c r="C3945" s="1128">
        <v>115.38</v>
      </c>
      <c r="D3945" s="1128">
        <v>298.89999999999998</v>
      </c>
      <c r="E3945" s="1126"/>
    </row>
    <row r="3946" spans="1:5" x14ac:dyDescent="0.2">
      <c r="A3946" s="1126" t="s">
        <v>4528</v>
      </c>
      <c r="B3946" s="1127">
        <v>350</v>
      </c>
      <c r="C3946" s="1128">
        <v>190.02</v>
      </c>
      <c r="D3946" s="1128">
        <v>430.6</v>
      </c>
      <c r="E3946" s="1126"/>
    </row>
    <row r="3947" spans="1:5" x14ac:dyDescent="0.2">
      <c r="A3947" s="1126" t="s">
        <v>4529</v>
      </c>
      <c r="B3947" s="1127">
        <v>516</v>
      </c>
      <c r="C3947" s="1128">
        <v>914.15</v>
      </c>
      <c r="D3947" s="1128">
        <v>1268.83</v>
      </c>
      <c r="E3947" s="1126"/>
    </row>
    <row r="3948" spans="1:5" x14ac:dyDescent="0.2">
      <c r="A3948" s="1126" t="s">
        <v>4530</v>
      </c>
      <c r="B3948" s="1127">
        <v>45</v>
      </c>
      <c r="C3948" s="1128">
        <v>0</v>
      </c>
      <c r="D3948" s="1128">
        <v>0</v>
      </c>
      <c r="E3948" s="1126"/>
    </row>
    <row r="3949" spans="1:5" x14ac:dyDescent="0.2">
      <c r="A3949" s="1126" t="s">
        <v>4531</v>
      </c>
      <c r="B3949" s="1127">
        <v>245</v>
      </c>
      <c r="C3949" s="1128">
        <v>111.77</v>
      </c>
      <c r="D3949" s="1128">
        <v>280.17</v>
      </c>
      <c r="E3949" s="1126"/>
    </row>
    <row r="3950" spans="1:5" x14ac:dyDescent="0.2">
      <c r="A3950" s="1126" t="s">
        <v>4532</v>
      </c>
      <c r="B3950" s="1127">
        <v>129</v>
      </c>
      <c r="C3950" s="1128">
        <v>377.23</v>
      </c>
      <c r="D3950" s="1128">
        <v>465.9</v>
      </c>
      <c r="E3950" s="1126"/>
    </row>
    <row r="3951" spans="1:5" x14ac:dyDescent="0.2">
      <c r="A3951" s="1126" t="s">
        <v>4533</v>
      </c>
      <c r="B3951" s="1127">
        <v>195</v>
      </c>
      <c r="C3951" s="1128">
        <v>0</v>
      </c>
      <c r="D3951" s="1128">
        <v>94.89</v>
      </c>
      <c r="E3951" s="1126"/>
    </row>
    <row r="3952" spans="1:5" x14ac:dyDescent="0.2">
      <c r="A3952" s="1126" t="s">
        <v>4534</v>
      </c>
      <c r="B3952" s="1127">
        <v>229</v>
      </c>
      <c r="C3952" s="1128">
        <v>221.75</v>
      </c>
      <c r="D3952" s="1128">
        <v>379.16</v>
      </c>
      <c r="E3952" s="1126"/>
    </row>
    <row r="3953" spans="1:5" x14ac:dyDescent="0.2">
      <c r="A3953" s="1126" t="s">
        <v>4535</v>
      </c>
      <c r="B3953" s="1127">
        <v>46</v>
      </c>
      <c r="C3953" s="1128">
        <v>0</v>
      </c>
      <c r="D3953" s="1128">
        <v>8.8699999999999992</v>
      </c>
      <c r="E3953" s="1126"/>
    </row>
    <row r="3954" spans="1:5" x14ac:dyDescent="0.2">
      <c r="A3954" s="1126" t="s">
        <v>4536</v>
      </c>
      <c r="B3954" s="1127">
        <v>219</v>
      </c>
      <c r="C3954" s="1128">
        <v>492.5</v>
      </c>
      <c r="D3954" s="1128">
        <v>643.03</v>
      </c>
      <c r="E3954" s="1126"/>
    </row>
    <row r="3955" spans="1:5" x14ac:dyDescent="0.2">
      <c r="A3955" s="1126" t="s">
        <v>4537</v>
      </c>
      <c r="B3955" s="1127">
        <v>136</v>
      </c>
      <c r="C3955" s="1128">
        <v>79.23</v>
      </c>
      <c r="D3955" s="1128">
        <v>172.71</v>
      </c>
      <c r="E3955" s="1126"/>
    </row>
    <row r="3956" spans="1:5" x14ac:dyDescent="0.2">
      <c r="A3956" s="1126" t="s">
        <v>4538</v>
      </c>
      <c r="B3956" s="1127">
        <v>63</v>
      </c>
      <c r="C3956" s="1128">
        <v>57.23</v>
      </c>
      <c r="D3956" s="1128">
        <v>100.54</v>
      </c>
      <c r="E3956" s="1126"/>
    </row>
    <row r="3957" spans="1:5" x14ac:dyDescent="0.2">
      <c r="A3957" s="1126" t="s">
        <v>4539</v>
      </c>
      <c r="B3957" s="1127">
        <v>31</v>
      </c>
      <c r="C3957" s="1128">
        <v>11.96</v>
      </c>
      <c r="D3957" s="1128">
        <v>33.270000000000003</v>
      </c>
      <c r="E3957" s="1126" t="s">
        <v>669</v>
      </c>
    </row>
    <row r="3958" spans="1:5" x14ac:dyDescent="0.2">
      <c r="A3958" s="1126" t="s">
        <v>4540</v>
      </c>
      <c r="B3958" s="1127">
        <v>65</v>
      </c>
      <c r="C3958" s="1128">
        <v>0</v>
      </c>
      <c r="D3958" s="1128">
        <v>34.54</v>
      </c>
      <c r="E3958" s="1126"/>
    </row>
    <row r="3959" spans="1:5" x14ac:dyDescent="0.2">
      <c r="A3959" s="1126" t="s">
        <v>4541</v>
      </c>
      <c r="B3959" s="1127">
        <v>30</v>
      </c>
      <c r="C3959" s="1128">
        <v>0</v>
      </c>
      <c r="D3959" s="1128">
        <v>4.46</v>
      </c>
      <c r="E3959" s="1126" t="s">
        <v>669</v>
      </c>
    </row>
    <row r="3960" spans="1:5" x14ac:dyDescent="0.2">
      <c r="A3960" s="1126" t="s">
        <v>4542</v>
      </c>
      <c r="B3960" s="1127">
        <v>313</v>
      </c>
      <c r="C3960" s="1128">
        <v>782.35</v>
      </c>
      <c r="D3960" s="1128">
        <v>997.5</v>
      </c>
      <c r="E3960" s="1126"/>
    </row>
    <row r="3961" spans="1:5" x14ac:dyDescent="0.2">
      <c r="A3961" s="1126" t="s">
        <v>4543</v>
      </c>
      <c r="B3961" s="1127">
        <v>59</v>
      </c>
      <c r="C3961" s="1128">
        <v>0</v>
      </c>
      <c r="D3961" s="1128">
        <v>11.01</v>
      </c>
      <c r="E3961" s="1126"/>
    </row>
    <row r="3962" spans="1:5" x14ac:dyDescent="0.2">
      <c r="A3962" s="1126" t="s">
        <v>4544</v>
      </c>
      <c r="B3962" s="1127">
        <v>214</v>
      </c>
      <c r="C3962" s="1128">
        <v>101.66</v>
      </c>
      <c r="D3962" s="1128">
        <v>248.76</v>
      </c>
      <c r="E3962" s="1126"/>
    </row>
    <row r="3963" spans="1:5" x14ac:dyDescent="0.2">
      <c r="A3963" s="1126" t="s">
        <v>4545</v>
      </c>
      <c r="B3963" s="1127">
        <v>452</v>
      </c>
      <c r="C3963" s="1128">
        <v>0</v>
      </c>
      <c r="D3963" s="1128">
        <v>0</v>
      </c>
      <c r="E3963" s="1126"/>
    </row>
    <row r="3964" spans="1:5" x14ac:dyDescent="0.2">
      <c r="A3964" s="1126" t="s">
        <v>4546</v>
      </c>
      <c r="B3964" s="1127">
        <v>182</v>
      </c>
      <c r="C3964" s="1128">
        <v>57.84</v>
      </c>
      <c r="D3964" s="1128">
        <v>182.94</v>
      </c>
      <c r="E3964" s="1126"/>
    </row>
    <row r="3965" spans="1:5" x14ac:dyDescent="0.2">
      <c r="A3965" s="1126" t="s">
        <v>4547</v>
      </c>
      <c r="B3965" s="1127">
        <v>285</v>
      </c>
      <c r="C3965" s="1128">
        <v>0</v>
      </c>
      <c r="D3965" s="1128">
        <v>192.87</v>
      </c>
      <c r="E3965" s="1126"/>
    </row>
    <row r="3966" spans="1:5" x14ac:dyDescent="0.2">
      <c r="A3966" s="1126" t="s">
        <v>4548</v>
      </c>
      <c r="B3966" s="1127">
        <v>271</v>
      </c>
      <c r="C3966" s="1128">
        <v>0</v>
      </c>
      <c r="D3966" s="1128">
        <v>119.67</v>
      </c>
      <c r="E3966" s="1126"/>
    </row>
    <row r="3967" spans="1:5" x14ac:dyDescent="0.2">
      <c r="A3967" s="1126" t="s">
        <v>4549</v>
      </c>
      <c r="B3967" s="1127">
        <v>554</v>
      </c>
      <c r="C3967" s="1128">
        <v>0</v>
      </c>
      <c r="D3967" s="1128">
        <v>172.72</v>
      </c>
      <c r="E3967" s="1126"/>
    </row>
    <row r="3968" spans="1:5" x14ac:dyDescent="0.2">
      <c r="A3968" s="1126" t="s">
        <v>4550</v>
      </c>
      <c r="B3968" s="1127">
        <v>47</v>
      </c>
      <c r="C3968" s="1128">
        <v>0</v>
      </c>
      <c r="D3968" s="1128">
        <v>15.62</v>
      </c>
      <c r="E3968" s="1126"/>
    </row>
    <row r="3969" spans="1:5" x14ac:dyDescent="0.2">
      <c r="A3969" s="1126" t="s">
        <v>4551</v>
      </c>
      <c r="B3969" s="1127">
        <v>322</v>
      </c>
      <c r="C3969" s="1128">
        <v>0</v>
      </c>
      <c r="D3969" s="1128">
        <v>146.49</v>
      </c>
      <c r="E3969" s="1126"/>
    </row>
    <row r="3970" spans="1:5" x14ac:dyDescent="0.2">
      <c r="A3970" s="1126" t="s">
        <v>4552</v>
      </c>
      <c r="B3970" s="1127">
        <v>126</v>
      </c>
      <c r="C3970" s="1128">
        <v>142.02000000000001</v>
      </c>
      <c r="D3970" s="1128">
        <v>228.63</v>
      </c>
      <c r="E3970" s="1126"/>
    </row>
    <row r="3971" spans="1:5" x14ac:dyDescent="0.2">
      <c r="A3971" s="1126" t="s">
        <v>4553</v>
      </c>
      <c r="B3971" s="1127">
        <v>364</v>
      </c>
      <c r="C3971" s="1128">
        <v>494.5</v>
      </c>
      <c r="D3971" s="1128">
        <v>744.7</v>
      </c>
      <c r="E3971" s="1126"/>
    </row>
    <row r="3972" spans="1:5" x14ac:dyDescent="0.2">
      <c r="A3972" s="1126" t="s">
        <v>4554</v>
      </c>
      <c r="B3972" s="1127">
        <v>184</v>
      </c>
      <c r="C3972" s="1128">
        <v>510.2</v>
      </c>
      <c r="D3972" s="1128">
        <v>636.66999999999996</v>
      </c>
      <c r="E3972" s="1126"/>
    </row>
    <row r="3973" spans="1:5" x14ac:dyDescent="0.2">
      <c r="A3973" s="1126" t="s">
        <v>4555</v>
      </c>
      <c r="B3973" s="1127">
        <v>275</v>
      </c>
      <c r="C3973" s="1128">
        <v>916.19</v>
      </c>
      <c r="D3973" s="1128">
        <v>1105.22</v>
      </c>
      <c r="E3973" s="1126"/>
    </row>
    <row r="3974" spans="1:5" x14ac:dyDescent="0.2">
      <c r="A3974" s="1126" t="s">
        <v>4556</v>
      </c>
      <c r="B3974" s="1127">
        <v>212</v>
      </c>
      <c r="C3974" s="1128">
        <v>1.35</v>
      </c>
      <c r="D3974" s="1128">
        <v>147.07</v>
      </c>
      <c r="E3974" s="1126"/>
    </row>
    <row r="3975" spans="1:5" x14ac:dyDescent="0.2">
      <c r="A3975" s="1126" t="s">
        <v>4557</v>
      </c>
      <c r="B3975" s="1127">
        <v>223</v>
      </c>
      <c r="C3975" s="1128">
        <v>639.14</v>
      </c>
      <c r="D3975" s="1128">
        <v>792.42</v>
      </c>
      <c r="E3975" s="1126"/>
    </row>
    <row r="3976" spans="1:5" x14ac:dyDescent="0.2">
      <c r="A3976" s="1126" t="s">
        <v>4558</v>
      </c>
      <c r="B3976" s="1127">
        <v>178</v>
      </c>
      <c r="C3976" s="1128">
        <v>10.38</v>
      </c>
      <c r="D3976" s="1128">
        <v>132.74</v>
      </c>
      <c r="E3976" s="1126"/>
    </row>
    <row r="3977" spans="1:5" x14ac:dyDescent="0.2">
      <c r="A3977" s="1126" t="s">
        <v>4559</v>
      </c>
      <c r="B3977" s="1127">
        <v>197</v>
      </c>
      <c r="C3977" s="1128">
        <v>0</v>
      </c>
      <c r="D3977" s="1128">
        <v>113.27</v>
      </c>
      <c r="E3977" s="1126"/>
    </row>
    <row r="3978" spans="1:5" x14ac:dyDescent="0.2">
      <c r="A3978" s="1126" t="s">
        <v>4560</v>
      </c>
      <c r="B3978" s="1127">
        <v>223</v>
      </c>
      <c r="C3978" s="1128">
        <v>19.239999999999998</v>
      </c>
      <c r="D3978" s="1128">
        <v>172.52</v>
      </c>
      <c r="E3978" s="1126"/>
    </row>
    <row r="3979" spans="1:5" x14ac:dyDescent="0.2">
      <c r="A3979" s="1126" t="s">
        <v>4561</v>
      </c>
      <c r="B3979" s="1127">
        <v>197</v>
      </c>
      <c r="C3979" s="1128">
        <v>0</v>
      </c>
      <c r="D3979" s="1128">
        <v>109.61</v>
      </c>
      <c r="E3979" s="1126"/>
    </row>
    <row r="3980" spans="1:5" x14ac:dyDescent="0.2">
      <c r="A3980" s="1126" t="s">
        <v>4562</v>
      </c>
      <c r="B3980" s="1127">
        <v>170</v>
      </c>
      <c r="C3980" s="1128">
        <v>82.83</v>
      </c>
      <c r="D3980" s="1128">
        <v>199.68</v>
      </c>
      <c r="E3980" s="1126"/>
    </row>
    <row r="3981" spans="1:5" x14ac:dyDescent="0.2">
      <c r="A3981" s="1126" t="s">
        <v>4563</v>
      </c>
      <c r="B3981" s="1127">
        <v>242</v>
      </c>
      <c r="C3981" s="1128">
        <v>79.989999999999995</v>
      </c>
      <c r="D3981" s="1128">
        <v>246.34</v>
      </c>
      <c r="E3981" s="1126"/>
    </row>
    <row r="3982" spans="1:5" x14ac:dyDescent="0.2">
      <c r="A3982" s="1126" t="s">
        <v>4564</v>
      </c>
      <c r="B3982" s="1127">
        <v>57</v>
      </c>
      <c r="C3982" s="1128">
        <v>8.1999999999999993</v>
      </c>
      <c r="D3982" s="1128">
        <v>47.38</v>
      </c>
      <c r="E3982" s="1126"/>
    </row>
    <row r="3983" spans="1:5" x14ac:dyDescent="0.2">
      <c r="A3983" s="1126" t="s">
        <v>4565</v>
      </c>
      <c r="B3983" s="1127">
        <v>186</v>
      </c>
      <c r="C3983" s="1128">
        <v>12.75</v>
      </c>
      <c r="D3983" s="1128">
        <v>140.6</v>
      </c>
      <c r="E3983" s="1126"/>
    </row>
    <row r="3984" spans="1:5" x14ac:dyDescent="0.2">
      <c r="A3984" s="1126" t="s">
        <v>4566</v>
      </c>
      <c r="B3984" s="1127">
        <v>229</v>
      </c>
      <c r="C3984" s="1128">
        <v>268.54000000000002</v>
      </c>
      <c r="D3984" s="1128">
        <v>425.94</v>
      </c>
      <c r="E3984" s="1126"/>
    </row>
    <row r="3985" spans="1:5" x14ac:dyDescent="0.2">
      <c r="A3985" s="1126" t="s">
        <v>4567</v>
      </c>
      <c r="B3985" s="1127">
        <v>66</v>
      </c>
      <c r="C3985" s="1128">
        <v>0</v>
      </c>
      <c r="D3985" s="1128">
        <v>14.75</v>
      </c>
      <c r="E3985" s="1126"/>
    </row>
    <row r="3986" spans="1:5" x14ac:dyDescent="0.2">
      <c r="A3986" s="1126" t="s">
        <v>4568</v>
      </c>
      <c r="B3986" s="1127">
        <v>693</v>
      </c>
      <c r="C3986" s="1128">
        <v>1083.05</v>
      </c>
      <c r="D3986" s="1128">
        <v>1559.39</v>
      </c>
      <c r="E3986" s="1126"/>
    </row>
    <row r="3987" spans="1:5" x14ac:dyDescent="0.2">
      <c r="A3987" s="1126" t="s">
        <v>4569</v>
      </c>
      <c r="B3987" s="1127">
        <v>221</v>
      </c>
      <c r="C3987" s="1128">
        <v>145.02000000000001</v>
      </c>
      <c r="D3987" s="1128">
        <v>296.93</v>
      </c>
      <c r="E3987" s="1126"/>
    </row>
    <row r="3988" spans="1:5" x14ac:dyDescent="0.2">
      <c r="A3988" s="1126" t="s">
        <v>4570</v>
      </c>
      <c r="B3988" s="1127">
        <v>50</v>
      </c>
      <c r="C3988" s="1128">
        <v>3.26</v>
      </c>
      <c r="D3988" s="1128">
        <v>37.630000000000003</v>
      </c>
      <c r="E3988" s="1126"/>
    </row>
    <row r="3989" spans="1:5" x14ac:dyDescent="0.2">
      <c r="A3989" s="1126" t="s">
        <v>4571</v>
      </c>
      <c r="B3989" s="1127">
        <v>531</v>
      </c>
      <c r="C3989" s="1128">
        <v>0</v>
      </c>
      <c r="D3989" s="1128">
        <v>103.97</v>
      </c>
      <c r="E3989" s="1126"/>
    </row>
    <row r="3990" spans="1:5" x14ac:dyDescent="0.2">
      <c r="A3990" s="1126" t="s">
        <v>4572</v>
      </c>
      <c r="B3990" s="1127">
        <v>186</v>
      </c>
      <c r="C3990" s="1128">
        <v>0</v>
      </c>
      <c r="D3990" s="1128">
        <v>100.91</v>
      </c>
      <c r="E3990" s="1126"/>
    </row>
    <row r="3991" spans="1:5" x14ac:dyDescent="0.2">
      <c r="A3991" s="1126" t="s">
        <v>4573</v>
      </c>
      <c r="B3991" s="1127">
        <v>41</v>
      </c>
      <c r="C3991" s="1128">
        <v>0</v>
      </c>
      <c r="D3991" s="1128">
        <v>0</v>
      </c>
      <c r="E3991" s="1126"/>
    </row>
    <row r="3992" spans="1:5" x14ac:dyDescent="0.2">
      <c r="A3992" s="1126" t="s">
        <v>4574</v>
      </c>
      <c r="B3992" s="1127">
        <v>231</v>
      </c>
      <c r="C3992" s="1128">
        <v>721.48</v>
      </c>
      <c r="D3992" s="1128">
        <v>880.26</v>
      </c>
      <c r="E3992" s="1126"/>
    </row>
    <row r="3993" spans="1:5" x14ac:dyDescent="0.2">
      <c r="A3993" s="1126" t="s">
        <v>4575</v>
      </c>
      <c r="B3993" s="1127">
        <v>122</v>
      </c>
      <c r="C3993" s="1128">
        <v>102.28</v>
      </c>
      <c r="D3993" s="1128">
        <v>186.13</v>
      </c>
      <c r="E3993" s="1126"/>
    </row>
    <row r="3994" spans="1:5" x14ac:dyDescent="0.2">
      <c r="A3994" s="1126" t="s">
        <v>4576</v>
      </c>
      <c r="B3994" s="1127">
        <v>141</v>
      </c>
      <c r="C3994" s="1128">
        <v>111.26</v>
      </c>
      <c r="D3994" s="1128">
        <v>208.18</v>
      </c>
      <c r="E3994" s="1126"/>
    </row>
    <row r="3995" spans="1:5" x14ac:dyDescent="0.2">
      <c r="A3995" s="1126" t="s">
        <v>4577</v>
      </c>
      <c r="B3995" s="1127">
        <v>195</v>
      </c>
      <c r="C3995" s="1128">
        <v>384.78</v>
      </c>
      <c r="D3995" s="1128">
        <v>518.80999999999995</v>
      </c>
      <c r="E3995" s="1126"/>
    </row>
    <row r="3996" spans="1:5" x14ac:dyDescent="0.2">
      <c r="A3996" s="1126" t="s">
        <v>4578</v>
      </c>
      <c r="B3996" s="1127">
        <v>551</v>
      </c>
      <c r="C3996" s="1128">
        <v>0</v>
      </c>
      <c r="D3996" s="1128">
        <v>298.74</v>
      </c>
      <c r="E3996" s="1126"/>
    </row>
    <row r="3997" spans="1:5" x14ac:dyDescent="0.2">
      <c r="A3997" s="1126" t="s">
        <v>4579</v>
      </c>
      <c r="B3997" s="1127">
        <v>159</v>
      </c>
      <c r="C3997" s="1128">
        <v>0</v>
      </c>
      <c r="D3997" s="1128">
        <v>101.31</v>
      </c>
      <c r="E3997" s="1126"/>
    </row>
    <row r="3998" spans="1:5" x14ac:dyDescent="0.2">
      <c r="A3998" s="1126" t="s">
        <v>4580</v>
      </c>
      <c r="B3998" s="1127">
        <v>93</v>
      </c>
      <c r="C3998" s="1128">
        <v>35.049999999999997</v>
      </c>
      <c r="D3998" s="1128">
        <v>98.97</v>
      </c>
      <c r="E3998" s="1126"/>
    </row>
    <row r="3999" spans="1:5" x14ac:dyDescent="0.2">
      <c r="A3999" s="1126" t="s">
        <v>4581</v>
      </c>
      <c r="B3999" s="1127">
        <v>119</v>
      </c>
      <c r="C3999" s="1128">
        <v>0</v>
      </c>
      <c r="D3999" s="1128">
        <v>15.57</v>
      </c>
      <c r="E3999" s="1126"/>
    </row>
    <row r="4000" spans="1:5" x14ac:dyDescent="0.2">
      <c r="A4000" s="1126" t="s">
        <v>4582</v>
      </c>
      <c r="B4000" s="1127">
        <v>89</v>
      </c>
      <c r="C4000" s="1128">
        <v>0</v>
      </c>
      <c r="D4000" s="1128">
        <v>4.71</v>
      </c>
      <c r="E4000" s="1126"/>
    </row>
    <row r="4001" spans="1:5" x14ac:dyDescent="0.2">
      <c r="A4001" s="1126" t="s">
        <v>4583</v>
      </c>
      <c r="B4001" s="1127">
        <v>159</v>
      </c>
      <c r="C4001" s="1128">
        <v>0</v>
      </c>
      <c r="D4001" s="1128">
        <v>97.38</v>
      </c>
      <c r="E4001" s="1126"/>
    </row>
    <row r="4002" spans="1:5" x14ac:dyDescent="0.2">
      <c r="A4002" s="1126" t="s">
        <v>4584</v>
      </c>
      <c r="B4002" s="1127">
        <v>168</v>
      </c>
      <c r="C4002" s="1128">
        <v>137.63</v>
      </c>
      <c r="D4002" s="1128">
        <v>253.1</v>
      </c>
      <c r="E4002" s="1126"/>
    </row>
    <row r="4003" spans="1:5" x14ac:dyDescent="0.2">
      <c r="A4003" s="1126" t="s">
        <v>4585</v>
      </c>
      <c r="B4003" s="1127">
        <v>74</v>
      </c>
      <c r="C4003" s="1128">
        <v>0</v>
      </c>
      <c r="D4003" s="1128">
        <v>36.520000000000003</v>
      </c>
      <c r="E4003" s="1126"/>
    </row>
    <row r="4004" spans="1:5" x14ac:dyDescent="0.2">
      <c r="A4004" s="1126" t="s">
        <v>4586</v>
      </c>
      <c r="B4004" s="1127">
        <v>102</v>
      </c>
      <c r="C4004" s="1128">
        <v>117.4</v>
      </c>
      <c r="D4004" s="1128">
        <v>187.51</v>
      </c>
      <c r="E4004" s="1126"/>
    </row>
    <row r="4005" spans="1:5" x14ac:dyDescent="0.2">
      <c r="A4005" s="1126" t="s">
        <v>4587</v>
      </c>
      <c r="B4005" s="1127">
        <v>203</v>
      </c>
      <c r="C4005" s="1128">
        <v>691.26</v>
      </c>
      <c r="D4005" s="1128">
        <v>830.8</v>
      </c>
      <c r="E4005" s="1126"/>
    </row>
    <row r="4006" spans="1:5" x14ac:dyDescent="0.2">
      <c r="A4006" s="1126" t="s">
        <v>4588</v>
      </c>
      <c r="B4006" s="1127">
        <v>256</v>
      </c>
      <c r="C4006" s="1128">
        <v>153.68</v>
      </c>
      <c r="D4006" s="1128">
        <v>329.65</v>
      </c>
      <c r="E4006" s="1126"/>
    </row>
    <row r="4007" spans="1:5" x14ac:dyDescent="0.2">
      <c r="A4007" s="1126" t="s">
        <v>4589</v>
      </c>
      <c r="B4007" s="1127">
        <v>391</v>
      </c>
      <c r="C4007" s="1128">
        <v>117.2</v>
      </c>
      <c r="D4007" s="1128">
        <v>385.96</v>
      </c>
      <c r="E4007" s="1126"/>
    </row>
    <row r="4008" spans="1:5" x14ac:dyDescent="0.2">
      <c r="A4008" s="1126" t="s">
        <v>4590</v>
      </c>
      <c r="B4008" s="1127">
        <v>203</v>
      </c>
      <c r="C4008" s="1128">
        <v>0</v>
      </c>
      <c r="D4008" s="1128">
        <v>27.31</v>
      </c>
      <c r="E4008" s="1126"/>
    </row>
    <row r="4009" spans="1:5" x14ac:dyDescent="0.2">
      <c r="A4009" s="1126" t="s">
        <v>4591</v>
      </c>
      <c r="B4009" s="1127">
        <v>67</v>
      </c>
      <c r="C4009" s="1128">
        <v>4.1500000000000004</v>
      </c>
      <c r="D4009" s="1128">
        <v>50.21</v>
      </c>
      <c r="E4009" s="1126"/>
    </row>
    <row r="4010" spans="1:5" x14ac:dyDescent="0.2">
      <c r="A4010" s="1126" t="s">
        <v>4592</v>
      </c>
      <c r="B4010" s="1127">
        <v>665</v>
      </c>
      <c r="C4010" s="1128">
        <v>339.83</v>
      </c>
      <c r="D4010" s="1128">
        <v>796.93</v>
      </c>
      <c r="E4010" s="1126"/>
    </row>
    <row r="4011" spans="1:5" x14ac:dyDescent="0.2">
      <c r="A4011" s="1126" t="s">
        <v>4593</v>
      </c>
      <c r="B4011" s="1127">
        <v>488</v>
      </c>
      <c r="C4011" s="1128">
        <v>934.3</v>
      </c>
      <c r="D4011" s="1128">
        <v>1269.73</v>
      </c>
      <c r="E4011" s="1126"/>
    </row>
    <row r="4012" spans="1:5" x14ac:dyDescent="0.2">
      <c r="A4012" s="1126" t="s">
        <v>4594</v>
      </c>
      <c r="B4012" s="1127">
        <v>191</v>
      </c>
      <c r="C4012" s="1128">
        <v>0</v>
      </c>
      <c r="D4012" s="1128">
        <v>103.32</v>
      </c>
      <c r="E4012" s="1126"/>
    </row>
    <row r="4013" spans="1:5" x14ac:dyDescent="0.2">
      <c r="A4013" s="1126" t="s">
        <v>4595</v>
      </c>
      <c r="B4013" s="1127">
        <v>231</v>
      </c>
      <c r="C4013" s="1128">
        <v>0</v>
      </c>
      <c r="D4013" s="1128">
        <v>99.05</v>
      </c>
      <c r="E4013" s="1126"/>
    </row>
    <row r="4014" spans="1:5" x14ac:dyDescent="0.2">
      <c r="A4014" s="1126" t="s">
        <v>4596</v>
      </c>
      <c r="B4014" s="1127">
        <v>27</v>
      </c>
      <c r="C4014" s="1128">
        <v>30.29</v>
      </c>
      <c r="D4014" s="1128">
        <v>48.85</v>
      </c>
      <c r="E4014" s="1126" t="s">
        <v>669</v>
      </c>
    </row>
    <row r="4015" spans="1:5" x14ac:dyDescent="0.2">
      <c r="A4015" s="1126" t="s">
        <v>4597</v>
      </c>
      <c r="B4015" s="1127">
        <v>154</v>
      </c>
      <c r="C4015" s="1128">
        <v>205.7</v>
      </c>
      <c r="D4015" s="1128">
        <v>311.55</v>
      </c>
      <c r="E4015" s="1126"/>
    </row>
    <row r="4016" spans="1:5" x14ac:dyDescent="0.2">
      <c r="A4016" s="1126" t="s">
        <v>4598</v>
      </c>
      <c r="B4016" s="1127">
        <v>63</v>
      </c>
      <c r="C4016" s="1128">
        <v>82.32</v>
      </c>
      <c r="D4016" s="1128">
        <v>125.62</v>
      </c>
      <c r="E4016" s="1126"/>
    </row>
    <row r="4017" spans="1:5" x14ac:dyDescent="0.2">
      <c r="A4017" s="1126" t="s">
        <v>4599</v>
      </c>
      <c r="B4017" s="1127">
        <v>319</v>
      </c>
      <c r="C4017" s="1128">
        <v>0</v>
      </c>
      <c r="D4017" s="1128">
        <v>29.37</v>
      </c>
      <c r="E4017" s="1126"/>
    </row>
    <row r="4018" spans="1:5" x14ac:dyDescent="0.2">
      <c r="A4018" s="1126" t="s">
        <v>4600</v>
      </c>
      <c r="B4018" s="1127">
        <v>250</v>
      </c>
      <c r="C4018" s="1128">
        <v>0</v>
      </c>
      <c r="D4018" s="1128">
        <v>14.59</v>
      </c>
      <c r="E4018" s="1126"/>
    </row>
    <row r="4019" spans="1:5" x14ac:dyDescent="0.2">
      <c r="A4019" s="1126" t="s">
        <v>4601</v>
      </c>
      <c r="B4019" s="1127">
        <v>268</v>
      </c>
      <c r="C4019" s="1128">
        <v>763.4</v>
      </c>
      <c r="D4019" s="1128">
        <v>947.61</v>
      </c>
      <c r="E4019" s="1126"/>
    </row>
    <row r="4020" spans="1:5" x14ac:dyDescent="0.2">
      <c r="A4020" s="1126" t="s">
        <v>4602</v>
      </c>
      <c r="B4020" s="1127">
        <v>237</v>
      </c>
      <c r="C4020" s="1128">
        <v>112.78</v>
      </c>
      <c r="D4020" s="1128">
        <v>275.68</v>
      </c>
      <c r="E4020" s="1126"/>
    </row>
    <row r="4021" spans="1:5" x14ac:dyDescent="0.2">
      <c r="A4021" s="1126" t="s">
        <v>4603</v>
      </c>
      <c r="B4021" s="1127">
        <v>278</v>
      </c>
      <c r="C4021" s="1128">
        <v>0</v>
      </c>
      <c r="D4021" s="1128">
        <v>153.32</v>
      </c>
      <c r="E4021" s="1126"/>
    </row>
    <row r="4022" spans="1:5" x14ac:dyDescent="0.2">
      <c r="A4022" s="1126" t="s">
        <v>4604</v>
      </c>
      <c r="B4022" s="1127">
        <v>107</v>
      </c>
      <c r="C4022" s="1128">
        <v>28.28</v>
      </c>
      <c r="D4022" s="1128">
        <v>101.83</v>
      </c>
      <c r="E4022" s="1126"/>
    </row>
    <row r="4023" spans="1:5" x14ac:dyDescent="0.2">
      <c r="A4023" s="1126" t="s">
        <v>4605</v>
      </c>
      <c r="B4023" s="1127">
        <v>294</v>
      </c>
      <c r="C4023" s="1128">
        <v>201.49</v>
      </c>
      <c r="D4023" s="1128">
        <v>403.58</v>
      </c>
      <c r="E4023" s="1126"/>
    </row>
    <row r="4024" spans="1:5" x14ac:dyDescent="0.2">
      <c r="A4024" s="1126" t="s">
        <v>4606</v>
      </c>
      <c r="B4024" s="1127">
        <v>473</v>
      </c>
      <c r="C4024" s="1128">
        <v>0</v>
      </c>
      <c r="D4024" s="1128">
        <v>115.93</v>
      </c>
      <c r="E4024" s="1126"/>
    </row>
    <row r="4025" spans="1:5" x14ac:dyDescent="0.2">
      <c r="A4025" s="1126" t="s">
        <v>4607</v>
      </c>
      <c r="B4025" s="1127">
        <v>161</v>
      </c>
      <c r="C4025" s="1128">
        <v>151.78</v>
      </c>
      <c r="D4025" s="1128">
        <v>262.45</v>
      </c>
      <c r="E4025" s="1126"/>
    </row>
    <row r="4026" spans="1:5" x14ac:dyDescent="0.2">
      <c r="A4026" s="1126" t="s">
        <v>4608</v>
      </c>
      <c r="B4026" s="1127">
        <v>252</v>
      </c>
      <c r="C4026" s="1128">
        <v>217.08</v>
      </c>
      <c r="D4026" s="1128">
        <v>390.3</v>
      </c>
      <c r="E4026" s="1126"/>
    </row>
    <row r="4027" spans="1:5" x14ac:dyDescent="0.2">
      <c r="A4027" s="1126" t="s">
        <v>4609</v>
      </c>
      <c r="B4027" s="1127">
        <v>208</v>
      </c>
      <c r="C4027" s="1128">
        <v>0</v>
      </c>
      <c r="D4027" s="1128">
        <v>100.55</v>
      </c>
      <c r="E4027" s="1126"/>
    </row>
    <row r="4028" spans="1:5" x14ac:dyDescent="0.2">
      <c r="A4028" s="1126" t="s">
        <v>4610</v>
      </c>
      <c r="B4028" s="1127">
        <v>149</v>
      </c>
      <c r="C4028" s="1128">
        <v>238.09</v>
      </c>
      <c r="D4028" s="1128">
        <v>340.5</v>
      </c>
      <c r="E4028" s="1126"/>
    </row>
    <row r="4029" spans="1:5" x14ac:dyDescent="0.2">
      <c r="A4029" s="1126" t="s">
        <v>4611</v>
      </c>
      <c r="B4029" s="1127">
        <v>174</v>
      </c>
      <c r="C4029" s="1128">
        <v>445.32</v>
      </c>
      <c r="D4029" s="1128">
        <v>564.91999999999996</v>
      </c>
      <c r="E4029" s="1126"/>
    </row>
    <row r="4030" spans="1:5" x14ac:dyDescent="0.2">
      <c r="A4030" s="1126" t="s">
        <v>4612</v>
      </c>
      <c r="B4030" s="1127">
        <v>79</v>
      </c>
      <c r="C4030" s="1128">
        <v>184.25</v>
      </c>
      <c r="D4030" s="1128">
        <v>238.55</v>
      </c>
      <c r="E4030" s="1126"/>
    </row>
    <row r="4031" spans="1:5" x14ac:dyDescent="0.2">
      <c r="A4031" s="1126" t="s">
        <v>4613</v>
      </c>
      <c r="B4031" s="1127">
        <v>209</v>
      </c>
      <c r="C4031" s="1128">
        <v>113.21</v>
      </c>
      <c r="D4031" s="1128">
        <v>256.86</v>
      </c>
      <c r="E4031" s="1126"/>
    </row>
    <row r="4032" spans="1:5" x14ac:dyDescent="0.2">
      <c r="A4032" s="1126" t="s">
        <v>4614</v>
      </c>
      <c r="B4032" s="1127">
        <v>458</v>
      </c>
      <c r="C4032" s="1128">
        <v>1422.84</v>
      </c>
      <c r="D4032" s="1128">
        <v>1737.66</v>
      </c>
      <c r="E4032" s="1126"/>
    </row>
    <row r="4033" spans="1:5" x14ac:dyDescent="0.2">
      <c r="A4033" s="1126" t="s">
        <v>4615</v>
      </c>
      <c r="B4033" s="1127">
        <v>112</v>
      </c>
      <c r="C4033" s="1128">
        <v>0</v>
      </c>
      <c r="D4033" s="1128">
        <v>23.8</v>
      </c>
      <c r="E4033" s="1126"/>
    </row>
    <row r="4034" spans="1:5" x14ac:dyDescent="0.2">
      <c r="A4034" s="1126" t="s">
        <v>4616</v>
      </c>
      <c r="B4034" s="1127">
        <v>162</v>
      </c>
      <c r="C4034" s="1128">
        <v>410.46</v>
      </c>
      <c r="D4034" s="1128">
        <v>521.80999999999995</v>
      </c>
      <c r="E4034" s="1126"/>
    </row>
    <row r="4035" spans="1:5" x14ac:dyDescent="0.2">
      <c r="A4035" s="1126" t="s">
        <v>4617</v>
      </c>
      <c r="B4035" s="1127">
        <v>316</v>
      </c>
      <c r="C4035" s="1128">
        <v>0</v>
      </c>
      <c r="D4035" s="1128">
        <v>193.12</v>
      </c>
      <c r="E4035" s="1126"/>
    </row>
    <row r="4036" spans="1:5" x14ac:dyDescent="0.2">
      <c r="A4036" s="1126" t="s">
        <v>4618</v>
      </c>
      <c r="B4036" s="1127">
        <v>93</v>
      </c>
      <c r="C4036" s="1128">
        <v>0</v>
      </c>
      <c r="D4036" s="1128">
        <v>30.53</v>
      </c>
      <c r="E4036" s="1126"/>
    </row>
    <row r="4037" spans="1:5" x14ac:dyDescent="0.2">
      <c r="A4037" s="1126" t="s">
        <v>4619</v>
      </c>
      <c r="B4037" s="1127">
        <v>207</v>
      </c>
      <c r="C4037" s="1128">
        <v>0</v>
      </c>
      <c r="D4037" s="1128">
        <v>110.84</v>
      </c>
      <c r="E4037" s="1126"/>
    </row>
    <row r="4038" spans="1:5" x14ac:dyDescent="0.2">
      <c r="A4038" s="1126" t="s">
        <v>4620</v>
      </c>
      <c r="B4038" s="1127">
        <v>42</v>
      </c>
      <c r="C4038" s="1128">
        <v>0</v>
      </c>
      <c r="D4038" s="1128">
        <v>5</v>
      </c>
      <c r="E4038" s="1126"/>
    </row>
    <row r="4039" spans="1:5" x14ac:dyDescent="0.2">
      <c r="A4039" s="1126" t="s">
        <v>4621</v>
      </c>
      <c r="B4039" s="1127">
        <v>139</v>
      </c>
      <c r="C4039" s="1128">
        <v>0</v>
      </c>
      <c r="D4039" s="1128">
        <v>37.700000000000003</v>
      </c>
      <c r="E4039" s="1126"/>
    </row>
    <row r="4040" spans="1:5" x14ac:dyDescent="0.2">
      <c r="A4040" s="1126" t="s">
        <v>4622</v>
      </c>
      <c r="B4040" s="1127">
        <v>359</v>
      </c>
      <c r="C4040" s="1128">
        <v>0</v>
      </c>
      <c r="D4040" s="1128">
        <v>160.77000000000001</v>
      </c>
      <c r="E4040" s="1126"/>
    </row>
    <row r="4041" spans="1:5" x14ac:dyDescent="0.2">
      <c r="A4041" s="1126" t="s">
        <v>4623</v>
      </c>
      <c r="B4041" s="1127">
        <v>263</v>
      </c>
      <c r="C4041" s="1128">
        <v>148.19</v>
      </c>
      <c r="D4041" s="1128">
        <v>328.97</v>
      </c>
      <c r="E4041" s="1126"/>
    </row>
    <row r="4042" spans="1:5" x14ac:dyDescent="0.2">
      <c r="A4042" s="1126" t="s">
        <v>4624</v>
      </c>
      <c r="B4042" s="1127">
        <v>313</v>
      </c>
      <c r="C4042" s="1128">
        <v>358.05</v>
      </c>
      <c r="D4042" s="1128">
        <v>573.20000000000005</v>
      </c>
      <c r="E4042" s="1126"/>
    </row>
    <row r="4043" spans="1:5" x14ac:dyDescent="0.2">
      <c r="A4043" s="1126" t="s">
        <v>4625</v>
      </c>
      <c r="B4043" s="1127">
        <v>297</v>
      </c>
      <c r="C4043" s="1128">
        <v>394.29</v>
      </c>
      <c r="D4043" s="1128">
        <v>598.44000000000005</v>
      </c>
      <c r="E4043" s="1126"/>
    </row>
    <row r="4044" spans="1:5" x14ac:dyDescent="0.2">
      <c r="A4044" s="1126" t="s">
        <v>4626</v>
      </c>
      <c r="B4044" s="1127">
        <v>105</v>
      </c>
      <c r="C4044" s="1128">
        <v>0</v>
      </c>
      <c r="D4044" s="1128">
        <v>22.31</v>
      </c>
      <c r="E4044" s="1126"/>
    </row>
    <row r="4045" spans="1:5" x14ac:dyDescent="0.2">
      <c r="A4045" s="1126" t="s">
        <v>4627</v>
      </c>
      <c r="B4045" s="1127">
        <v>361</v>
      </c>
      <c r="C4045" s="1128">
        <v>0</v>
      </c>
      <c r="D4045" s="1128">
        <v>239.33</v>
      </c>
      <c r="E4045" s="1126"/>
    </row>
    <row r="4046" spans="1:5" x14ac:dyDescent="0.2">
      <c r="A4046" s="1126" t="s">
        <v>4628</v>
      </c>
      <c r="B4046" s="1127">
        <v>217</v>
      </c>
      <c r="C4046" s="1128">
        <v>464.56</v>
      </c>
      <c r="D4046" s="1128">
        <v>613.72</v>
      </c>
      <c r="E4046" s="1126"/>
    </row>
    <row r="4047" spans="1:5" x14ac:dyDescent="0.2">
      <c r="A4047" s="1126" t="s">
        <v>4629</v>
      </c>
      <c r="B4047" s="1127">
        <v>149</v>
      </c>
      <c r="C4047" s="1128">
        <v>0</v>
      </c>
      <c r="D4047" s="1128">
        <v>98.02</v>
      </c>
      <c r="E4047" s="1126"/>
    </row>
    <row r="4048" spans="1:5" x14ac:dyDescent="0.2">
      <c r="A4048" s="1126" t="s">
        <v>4630</v>
      </c>
      <c r="B4048" s="1127">
        <v>64</v>
      </c>
      <c r="C4048" s="1128">
        <v>2.4</v>
      </c>
      <c r="D4048" s="1128">
        <v>46.39</v>
      </c>
      <c r="E4048" s="1126"/>
    </row>
    <row r="4049" spans="1:5" x14ac:dyDescent="0.2">
      <c r="A4049" s="1126" t="s">
        <v>4631</v>
      </c>
      <c r="B4049" s="1127">
        <v>10</v>
      </c>
      <c r="C4049" s="1128">
        <v>0</v>
      </c>
      <c r="D4049" s="1128">
        <v>0</v>
      </c>
      <c r="E4049" s="1126" t="s">
        <v>669</v>
      </c>
    </row>
    <row r="4050" spans="1:5" x14ac:dyDescent="0.2">
      <c r="A4050" s="1126" t="s">
        <v>4632</v>
      </c>
      <c r="B4050" s="1127">
        <v>400</v>
      </c>
      <c r="C4050" s="1128">
        <v>0</v>
      </c>
      <c r="D4050" s="1128">
        <v>80.02</v>
      </c>
      <c r="E4050" s="1126"/>
    </row>
    <row r="4051" spans="1:5" x14ac:dyDescent="0.2">
      <c r="A4051" s="1126" t="s">
        <v>4633</v>
      </c>
      <c r="B4051" s="1127">
        <v>167</v>
      </c>
      <c r="C4051" s="1128">
        <v>142.6</v>
      </c>
      <c r="D4051" s="1128">
        <v>257.39</v>
      </c>
      <c r="E4051" s="1126"/>
    </row>
    <row r="4052" spans="1:5" x14ac:dyDescent="0.2">
      <c r="A4052" s="1126" t="s">
        <v>4634</v>
      </c>
      <c r="B4052" s="1127">
        <v>318</v>
      </c>
      <c r="C4052" s="1128">
        <v>241.07</v>
      </c>
      <c r="D4052" s="1128">
        <v>459.65</v>
      </c>
      <c r="E4052" s="1126"/>
    </row>
    <row r="4053" spans="1:5" x14ac:dyDescent="0.2">
      <c r="A4053" s="1126" t="s">
        <v>4635</v>
      </c>
      <c r="B4053" s="1127">
        <v>378</v>
      </c>
      <c r="C4053" s="1128">
        <v>270.87</v>
      </c>
      <c r="D4053" s="1128">
        <v>530.70000000000005</v>
      </c>
      <c r="E4053" s="1126"/>
    </row>
    <row r="4054" spans="1:5" x14ac:dyDescent="0.2">
      <c r="A4054" s="1126" t="s">
        <v>4636</v>
      </c>
      <c r="B4054" s="1127">
        <v>97</v>
      </c>
      <c r="C4054" s="1128">
        <v>0</v>
      </c>
      <c r="D4054" s="1128">
        <v>29.28</v>
      </c>
      <c r="E4054" s="1126"/>
    </row>
    <row r="4055" spans="1:5" x14ac:dyDescent="0.2">
      <c r="A4055" s="1126" t="s">
        <v>4637</v>
      </c>
      <c r="B4055" s="1127">
        <v>198</v>
      </c>
      <c r="C4055" s="1128">
        <v>107.31</v>
      </c>
      <c r="D4055" s="1128">
        <v>243.41</v>
      </c>
      <c r="E4055" s="1126"/>
    </row>
    <row r="4056" spans="1:5" x14ac:dyDescent="0.2">
      <c r="A4056" s="1126" t="s">
        <v>4638</v>
      </c>
      <c r="B4056" s="1127">
        <v>277</v>
      </c>
      <c r="C4056" s="1128">
        <v>0</v>
      </c>
      <c r="D4056" s="1128">
        <v>84.96</v>
      </c>
      <c r="E4056" s="1126"/>
    </row>
    <row r="4057" spans="1:5" x14ac:dyDescent="0.2">
      <c r="A4057" s="1126" t="s">
        <v>4639</v>
      </c>
      <c r="B4057" s="1127">
        <v>152</v>
      </c>
      <c r="C4057" s="1128">
        <v>8.3800000000000008</v>
      </c>
      <c r="D4057" s="1128">
        <v>112.86</v>
      </c>
      <c r="E4057" s="1126"/>
    </row>
    <row r="4058" spans="1:5" x14ac:dyDescent="0.2">
      <c r="A4058" s="1126" t="s">
        <v>4640</v>
      </c>
      <c r="B4058" s="1127">
        <v>209</v>
      </c>
      <c r="C4058" s="1128">
        <v>267.3</v>
      </c>
      <c r="D4058" s="1128">
        <v>410.96</v>
      </c>
      <c r="E4058" s="1126"/>
    </row>
    <row r="4059" spans="1:5" x14ac:dyDescent="0.2">
      <c r="A4059" s="1126" t="s">
        <v>4641</v>
      </c>
      <c r="B4059" s="1127">
        <v>63</v>
      </c>
      <c r="C4059" s="1128">
        <v>157.34</v>
      </c>
      <c r="D4059" s="1128">
        <v>200.65</v>
      </c>
      <c r="E4059" s="1126"/>
    </row>
    <row r="4060" spans="1:5" x14ac:dyDescent="0.2">
      <c r="A4060" s="1126" t="s">
        <v>4642</v>
      </c>
      <c r="B4060" s="1127">
        <v>115</v>
      </c>
      <c r="C4060" s="1128">
        <v>0</v>
      </c>
      <c r="D4060" s="1128">
        <v>26.19</v>
      </c>
      <c r="E4060" s="1126"/>
    </row>
    <row r="4061" spans="1:5" x14ac:dyDescent="0.2">
      <c r="A4061" s="1126" t="s">
        <v>4643</v>
      </c>
      <c r="B4061" s="1127">
        <v>163</v>
      </c>
      <c r="C4061" s="1128">
        <v>0</v>
      </c>
      <c r="D4061" s="1128">
        <v>105.56</v>
      </c>
      <c r="E4061" s="1126"/>
    </row>
    <row r="4062" spans="1:5" x14ac:dyDescent="0.2">
      <c r="A4062" s="1126" t="s">
        <v>4644</v>
      </c>
      <c r="B4062" s="1127">
        <v>82</v>
      </c>
      <c r="C4062" s="1128">
        <v>0</v>
      </c>
      <c r="D4062" s="1128">
        <v>55.66</v>
      </c>
      <c r="E4062" s="1126"/>
    </row>
    <row r="4063" spans="1:5" x14ac:dyDescent="0.2">
      <c r="A4063" s="1126" t="s">
        <v>4645</v>
      </c>
      <c r="B4063" s="1127">
        <v>477</v>
      </c>
      <c r="C4063" s="1128">
        <v>0</v>
      </c>
      <c r="D4063" s="1128">
        <v>148</v>
      </c>
      <c r="E4063" s="1126"/>
    </row>
    <row r="4064" spans="1:5" x14ac:dyDescent="0.2">
      <c r="A4064" s="1126" t="s">
        <v>4646</v>
      </c>
      <c r="B4064" s="1127">
        <v>142</v>
      </c>
      <c r="C4064" s="1128">
        <v>485.38</v>
      </c>
      <c r="D4064" s="1128">
        <v>582.98</v>
      </c>
      <c r="E4064" s="1126"/>
    </row>
    <row r="4065" spans="1:5" x14ac:dyDescent="0.2">
      <c r="A4065" s="1126" t="s">
        <v>4647</v>
      </c>
      <c r="B4065" s="1127">
        <v>275</v>
      </c>
      <c r="C4065" s="1128">
        <v>295.94</v>
      </c>
      <c r="D4065" s="1128">
        <v>484.97</v>
      </c>
      <c r="E4065" s="1126"/>
    </row>
    <row r="4066" spans="1:5" x14ac:dyDescent="0.2">
      <c r="A4066" s="1126" t="s">
        <v>4648</v>
      </c>
      <c r="B4066" s="1127">
        <v>91</v>
      </c>
      <c r="C4066" s="1128">
        <v>68.23</v>
      </c>
      <c r="D4066" s="1128">
        <v>130.78</v>
      </c>
      <c r="E4066" s="1126"/>
    </row>
    <row r="4067" spans="1:5" x14ac:dyDescent="0.2">
      <c r="A4067" s="1126" t="s">
        <v>4649</v>
      </c>
      <c r="B4067" s="1127">
        <v>113</v>
      </c>
      <c r="C4067" s="1128">
        <v>163.22999999999999</v>
      </c>
      <c r="D4067" s="1128">
        <v>240.9</v>
      </c>
      <c r="E4067" s="1126"/>
    </row>
    <row r="4068" spans="1:5" x14ac:dyDescent="0.2">
      <c r="A4068" s="1126" t="s">
        <v>4650</v>
      </c>
      <c r="B4068" s="1127">
        <v>266</v>
      </c>
      <c r="C4068" s="1128">
        <v>109.91</v>
      </c>
      <c r="D4068" s="1128">
        <v>292.75</v>
      </c>
      <c r="E4068" s="1126"/>
    </row>
    <row r="4069" spans="1:5" x14ac:dyDescent="0.2">
      <c r="A4069" s="1126" t="s">
        <v>4651</v>
      </c>
      <c r="B4069" s="1127">
        <v>118</v>
      </c>
      <c r="C4069" s="1128">
        <v>0</v>
      </c>
      <c r="D4069" s="1128">
        <v>4.96</v>
      </c>
      <c r="E4069" s="1126"/>
    </row>
    <row r="4070" spans="1:5" x14ac:dyDescent="0.2">
      <c r="A4070" s="1126" t="s">
        <v>4652</v>
      </c>
      <c r="B4070" s="1127">
        <v>201</v>
      </c>
      <c r="C4070" s="1128">
        <v>629.66</v>
      </c>
      <c r="D4070" s="1128">
        <v>767.82</v>
      </c>
      <c r="E4070" s="1126"/>
    </row>
    <row r="4071" spans="1:5" x14ac:dyDescent="0.2">
      <c r="A4071" s="1126" t="s">
        <v>4653</v>
      </c>
      <c r="B4071" s="1127">
        <v>119</v>
      </c>
      <c r="C4071" s="1128">
        <v>27.57</v>
      </c>
      <c r="D4071" s="1128">
        <v>109.37</v>
      </c>
      <c r="E4071" s="1126"/>
    </row>
    <row r="4072" spans="1:5" x14ac:dyDescent="0.2">
      <c r="A4072" s="1126" t="s">
        <v>4654</v>
      </c>
      <c r="B4072" s="1127">
        <v>888</v>
      </c>
      <c r="C4072" s="1128">
        <v>0</v>
      </c>
      <c r="D4072" s="1128">
        <v>430.66</v>
      </c>
      <c r="E4072" s="1126"/>
    </row>
    <row r="4073" spans="1:5" x14ac:dyDescent="0.2">
      <c r="A4073" s="1126" t="s">
        <v>4655</v>
      </c>
      <c r="B4073" s="1127">
        <v>117</v>
      </c>
      <c r="C4073" s="1128">
        <v>113.92</v>
      </c>
      <c r="D4073" s="1128">
        <v>194.34</v>
      </c>
      <c r="E4073" s="1126"/>
    </row>
    <row r="4074" spans="1:5" x14ac:dyDescent="0.2">
      <c r="A4074" s="1126" t="s">
        <v>4656</v>
      </c>
      <c r="B4074" s="1127">
        <v>57</v>
      </c>
      <c r="C4074" s="1128">
        <v>59.19</v>
      </c>
      <c r="D4074" s="1128">
        <v>98.37</v>
      </c>
      <c r="E4074" s="1126"/>
    </row>
    <row r="4075" spans="1:5" x14ac:dyDescent="0.2">
      <c r="A4075" s="1126" t="s">
        <v>4657</v>
      </c>
      <c r="B4075" s="1127">
        <v>245</v>
      </c>
      <c r="C4075" s="1128">
        <v>0</v>
      </c>
      <c r="D4075" s="1128">
        <v>37.71</v>
      </c>
      <c r="E4075" s="1126"/>
    </row>
    <row r="4076" spans="1:5" x14ac:dyDescent="0.2">
      <c r="A4076" s="1126" t="s">
        <v>4658</v>
      </c>
      <c r="B4076" s="1127">
        <v>77</v>
      </c>
      <c r="C4076" s="1128">
        <v>0</v>
      </c>
      <c r="D4076" s="1128">
        <v>0</v>
      </c>
      <c r="E4076" s="1126"/>
    </row>
    <row r="4077" spans="1:5" x14ac:dyDescent="0.2">
      <c r="A4077" s="1126" t="s">
        <v>4659</v>
      </c>
      <c r="B4077" s="1127">
        <v>86</v>
      </c>
      <c r="C4077" s="1128">
        <v>81.819999999999993</v>
      </c>
      <c r="D4077" s="1128">
        <v>140.93</v>
      </c>
      <c r="E4077" s="1126"/>
    </row>
    <row r="4078" spans="1:5" x14ac:dyDescent="0.2">
      <c r="A4078" s="1126" t="s">
        <v>4660</v>
      </c>
      <c r="B4078" s="1127">
        <v>311</v>
      </c>
      <c r="C4078" s="1128">
        <v>118.41</v>
      </c>
      <c r="D4078" s="1128">
        <v>332.18</v>
      </c>
      <c r="E4078" s="1126"/>
    </row>
    <row r="4079" spans="1:5" x14ac:dyDescent="0.2">
      <c r="A4079" s="1126" t="s">
        <v>4661</v>
      </c>
      <c r="B4079" s="1127">
        <v>345</v>
      </c>
      <c r="C4079" s="1128">
        <v>0</v>
      </c>
      <c r="D4079" s="1128">
        <v>175.17</v>
      </c>
      <c r="E4079" s="1126"/>
    </row>
    <row r="4080" spans="1:5" x14ac:dyDescent="0.2">
      <c r="A4080" s="1126" t="s">
        <v>4662</v>
      </c>
      <c r="B4080" s="1127">
        <v>339</v>
      </c>
      <c r="C4080" s="1128">
        <v>468.68</v>
      </c>
      <c r="D4080" s="1128">
        <v>701.69</v>
      </c>
      <c r="E4080" s="1126"/>
    </row>
    <row r="4081" spans="1:5" x14ac:dyDescent="0.2">
      <c r="A4081" s="1126" t="s">
        <v>4663</v>
      </c>
      <c r="B4081" s="1127">
        <v>137</v>
      </c>
      <c r="C4081" s="1128">
        <v>0</v>
      </c>
      <c r="D4081" s="1128">
        <v>49.75</v>
      </c>
      <c r="E4081" s="1126"/>
    </row>
    <row r="4082" spans="1:5" x14ac:dyDescent="0.2">
      <c r="A4082" s="1126" t="s">
        <v>4664</v>
      </c>
      <c r="B4082" s="1127">
        <v>63</v>
      </c>
      <c r="C4082" s="1128">
        <v>208.32</v>
      </c>
      <c r="D4082" s="1128">
        <v>251.63</v>
      </c>
      <c r="E4082" s="1126"/>
    </row>
    <row r="4083" spans="1:5" x14ac:dyDescent="0.2">
      <c r="A4083" s="1126" t="s">
        <v>4665</v>
      </c>
      <c r="B4083" s="1127">
        <v>205</v>
      </c>
      <c r="C4083" s="1128">
        <v>512.02</v>
      </c>
      <c r="D4083" s="1128">
        <v>652.92999999999995</v>
      </c>
      <c r="E4083" s="1126"/>
    </row>
    <row r="4084" spans="1:5" x14ac:dyDescent="0.2">
      <c r="A4084" s="1126" t="s">
        <v>4666</v>
      </c>
      <c r="B4084" s="1127">
        <v>299</v>
      </c>
      <c r="C4084" s="1128">
        <v>0</v>
      </c>
      <c r="D4084" s="1128">
        <v>23.59</v>
      </c>
      <c r="E4084" s="1126"/>
    </row>
    <row r="4085" spans="1:5" x14ac:dyDescent="0.2">
      <c r="A4085" s="1126" t="s">
        <v>4667</v>
      </c>
      <c r="B4085" s="1127">
        <v>362</v>
      </c>
      <c r="C4085" s="1128">
        <v>465.26</v>
      </c>
      <c r="D4085" s="1128">
        <v>714.09</v>
      </c>
      <c r="E4085" s="1126"/>
    </row>
    <row r="4086" spans="1:5" x14ac:dyDescent="0.2">
      <c r="A4086" s="1126" t="s">
        <v>4668</v>
      </c>
      <c r="B4086" s="1127">
        <v>158</v>
      </c>
      <c r="C4086" s="1128">
        <v>56.74</v>
      </c>
      <c r="D4086" s="1128">
        <v>165.34</v>
      </c>
      <c r="E4086" s="1126"/>
    </row>
    <row r="4087" spans="1:5" x14ac:dyDescent="0.2">
      <c r="A4087" s="1126" t="s">
        <v>4669</v>
      </c>
      <c r="B4087" s="1127">
        <v>225</v>
      </c>
      <c r="C4087" s="1128">
        <v>86.01</v>
      </c>
      <c r="D4087" s="1128">
        <v>240.67</v>
      </c>
      <c r="E4087" s="1126"/>
    </row>
    <row r="4088" spans="1:5" x14ac:dyDescent="0.2">
      <c r="A4088" s="1126" t="s">
        <v>4670</v>
      </c>
      <c r="B4088" s="1127">
        <v>118</v>
      </c>
      <c r="C4088" s="1128">
        <v>123.46</v>
      </c>
      <c r="D4088" s="1128">
        <v>204.57</v>
      </c>
      <c r="E4088" s="1126"/>
    </row>
    <row r="4089" spans="1:5" x14ac:dyDescent="0.2">
      <c r="A4089" s="1126" t="s">
        <v>4671</v>
      </c>
      <c r="B4089" s="1127">
        <v>70</v>
      </c>
      <c r="C4089" s="1128">
        <v>98.65</v>
      </c>
      <c r="D4089" s="1128">
        <v>146.77000000000001</v>
      </c>
      <c r="E4089" s="1126"/>
    </row>
    <row r="4090" spans="1:5" x14ac:dyDescent="0.2">
      <c r="A4090" s="1126" t="s">
        <v>4672</v>
      </c>
      <c r="B4090" s="1127">
        <v>126</v>
      </c>
      <c r="C4090" s="1128">
        <v>168.52</v>
      </c>
      <c r="D4090" s="1128">
        <v>255.13</v>
      </c>
      <c r="E4090" s="1126"/>
    </row>
    <row r="4091" spans="1:5" x14ac:dyDescent="0.2">
      <c r="A4091" s="1126" t="s">
        <v>4673</v>
      </c>
      <c r="B4091" s="1127">
        <v>392</v>
      </c>
      <c r="C4091" s="1128">
        <v>0</v>
      </c>
      <c r="D4091" s="1128">
        <v>164.77</v>
      </c>
      <c r="E4091" s="1126"/>
    </row>
    <row r="4092" spans="1:5" x14ac:dyDescent="0.2">
      <c r="A4092" s="1126" t="s">
        <v>4674</v>
      </c>
      <c r="B4092" s="1127">
        <v>74</v>
      </c>
      <c r="C4092" s="1128">
        <v>6.85</v>
      </c>
      <c r="D4092" s="1128">
        <v>57.71</v>
      </c>
      <c r="E4092" s="1126"/>
    </row>
    <row r="4093" spans="1:5" x14ac:dyDescent="0.2">
      <c r="A4093" s="1126" t="s">
        <v>4675</v>
      </c>
      <c r="B4093" s="1127">
        <v>409</v>
      </c>
      <c r="C4093" s="1128">
        <v>0</v>
      </c>
      <c r="D4093" s="1128">
        <v>137.15</v>
      </c>
      <c r="E4093" s="1126"/>
    </row>
    <row r="4094" spans="1:5" x14ac:dyDescent="0.2">
      <c r="A4094" s="1126" t="s">
        <v>4676</v>
      </c>
      <c r="B4094" s="1127">
        <v>191</v>
      </c>
      <c r="C4094" s="1128">
        <v>0</v>
      </c>
      <c r="D4094" s="1128">
        <v>76.62</v>
      </c>
      <c r="E4094" s="1126"/>
    </row>
    <row r="4095" spans="1:5" x14ac:dyDescent="0.2">
      <c r="A4095" s="1126" t="s">
        <v>4677</v>
      </c>
      <c r="B4095" s="1127">
        <v>274</v>
      </c>
      <c r="C4095" s="1128">
        <v>0</v>
      </c>
      <c r="D4095" s="1128">
        <v>81.56</v>
      </c>
      <c r="E4095" s="1126"/>
    </row>
    <row r="4096" spans="1:5" x14ac:dyDescent="0.2">
      <c r="A4096" s="1126" t="s">
        <v>4678</v>
      </c>
      <c r="B4096" s="1127">
        <v>213</v>
      </c>
      <c r="C4096" s="1128">
        <v>412.69</v>
      </c>
      <c r="D4096" s="1128">
        <v>559.1</v>
      </c>
      <c r="E4096" s="1126"/>
    </row>
    <row r="4097" spans="1:5" x14ac:dyDescent="0.2">
      <c r="A4097" s="1126" t="s">
        <v>4679</v>
      </c>
      <c r="B4097" s="1127">
        <v>236</v>
      </c>
      <c r="C4097" s="1128">
        <v>377.21</v>
      </c>
      <c r="D4097" s="1128">
        <v>539.42999999999995</v>
      </c>
      <c r="E4097" s="1126"/>
    </row>
    <row r="4098" spans="1:5" x14ac:dyDescent="0.2">
      <c r="A4098" s="1126" t="s">
        <v>4680</v>
      </c>
      <c r="B4098" s="1127">
        <v>336</v>
      </c>
      <c r="C4098" s="1128">
        <v>0</v>
      </c>
      <c r="D4098" s="1128">
        <v>68.3</v>
      </c>
      <c r="E4098" s="1126"/>
    </row>
    <row r="4099" spans="1:5" x14ac:dyDescent="0.2">
      <c r="A4099" s="1126" t="s">
        <v>4681</v>
      </c>
      <c r="B4099" s="1127">
        <v>180</v>
      </c>
      <c r="C4099" s="1128">
        <v>448.89</v>
      </c>
      <c r="D4099" s="1128">
        <v>572.61</v>
      </c>
      <c r="E4099" s="1126"/>
    </row>
    <row r="4100" spans="1:5" x14ac:dyDescent="0.2">
      <c r="A4100" s="1126" t="s">
        <v>4682</v>
      </c>
      <c r="B4100" s="1127">
        <v>564</v>
      </c>
      <c r="C4100" s="1128">
        <v>0</v>
      </c>
      <c r="D4100" s="1128">
        <v>81.22</v>
      </c>
      <c r="E4100" s="1126"/>
    </row>
    <row r="4101" spans="1:5" x14ac:dyDescent="0.2">
      <c r="A4101" s="1126" t="s">
        <v>4683</v>
      </c>
      <c r="B4101" s="1127">
        <v>198</v>
      </c>
      <c r="C4101" s="1128">
        <v>160.33000000000001</v>
      </c>
      <c r="D4101" s="1128">
        <v>296.43</v>
      </c>
      <c r="E4101" s="1126"/>
    </row>
    <row r="4102" spans="1:5" x14ac:dyDescent="0.2">
      <c r="A4102" s="1126" t="s">
        <v>4684</v>
      </c>
      <c r="B4102" s="1127">
        <v>41</v>
      </c>
      <c r="C4102" s="1128">
        <v>0</v>
      </c>
      <c r="D4102" s="1128">
        <v>21.03</v>
      </c>
      <c r="E4102" s="1126"/>
    </row>
    <row r="4103" spans="1:5" x14ac:dyDescent="0.2">
      <c r="A4103" s="1126" t="s">
        <v>4685</v>
      </c>
      <c r="B4103" s="1127">
        <v>37</v>
      </c>
      <c r="C4103" s="1128">
        <v>0</v>
      </c>
      <c r="D4103" s="1128">
        <v>8.83</v>
      </c>
      <c r="E4103" s="1126" t="s">
        <v>669</v>
      </c>
    </row>
    <row r="4104" spans="1:5" x14ac:dyDescent="0.2">
      <c r="A4104" s="1126" t="s">
        <v>4686</v>
      </c>
      <c r="B4104" s="1127">
        <v>291</v>
      </c>
      <c r="C4104" s="1128">
        <v>766.5</v>
      </c>
      <c r="D4104" s="1128">
        <v>966.52</v>
      </c>
      <c r="E4104" s="1126"/>
    </row>
    <row r="4105" spans="1:5" x14ac:dyDescent="0.2">
      <c r="A4105" s="1126" t="s">
        <v>4687</v>
      </c>
      <c r="B4105" s="1127">
        <v>72</v>
      </c>
      <c r="C4105" s="1128">
        <v>0</v>
      </c>
      <c r="D4105" s="1128">
        <v>23.09</v>
      </c>
      <c r="E4105" s="1126"/>
    </row>
    <row r="4106" spans="1:5" x14ac:dyDescent="0.2">
      <c r="A4106" s="1126" t="s">
        <v>4688</v>
      </c>
      <c r="B4106" s="1127">
        <v>145</v>
      </c>
      <c r="C4106" s="1128">
        <v>174.57</v>
      </c>
      <c r="D4106" s="1128">
        <v>274.23</v>
      </c>
      <c r="E4106" s="1126"/>
    </row>
    <row r="4107" spans="1:5" x14ac:dyDescent="0.2">
      <c r="A4107" s="1126" t="s">
        <v>4689</v>
      </c>
      <c r="B4107" s="1127">
        <v>255</v>
      </c>
      <c r="C4107" s="1128">
        <v>605.98</v>
      </c>
      <c r="D4107" s="1128">
        <v>781.26</v>
      </c>
      <c r="E4107" s="1126"/>
    </row>
    <row r="4108" spans="1:5" x14ac:dyDescent="0.2">
      <c r="A4108" s="1126" t="s">
        <v>4690</v>
      </c>
      <c r="B4108" s="1127">
        <v>81</v>
      </c>
      <c r="C4108" s="1128">
        <v>251.23</v>
      </c>
      <c r="D4108" s="1128">
        <v>306.89999999999998</v>
      </c>
      <c r="E4108" s="1126"/>
    </row>
    <row r="4109" spans="1:5" x14ac:dyDescent="0.2">
      <c r="A4109" s="1126" t="s">
        <v>4691</v>
      </c>
      <c r="B4109" s="1127">
        <v>139</v>
      </c>
      <c r="C4109" s="1128">
        <v>403.34</v>
      </c>
      <c r="D4109" s="1128">
        <v>498.88</v>
      </c>
      <c r="E4109" s="1126"/>
    </row>
    <row r="4110" spans="1:5" x14ac:dyDescent="0.2">
      <c r="A4110" s="1126" t="s">
        <v>4692</v>
      </c>
      <c r="B4110" s="1127">
        <v>219</v>
      </c>
      <c r="C4110" s="1128">
        <v>652.70000000000005</v>
      </c>
      <c r="D4110" s="1128">
        <v>803.23</v>
      </c>
      <c r="E4110" s="1126"/>
    </row>
    <row r="4111" spans="1:5" x14ac:dyDescent="0.2">
      <c r="A4111" s="1126" t="s">
        <v>4693</v>
      </c>
      <c r="B4111" s="1127">
        <v>162</v>
      </c>
      <c r="C4111" s="1128">
        <v>0</v>
      </c>
      <c r="D4111" s="1128">
        <v>100.75</v>
      </c>
      <c r="E4111" s="1126"/>
    </row>
    <row r="4112" spans="1:5" x14ac:dyDescent="0.2">
      <c r="A4112" s="1126" t="s">
        <v>4694</v>
      </c>
      <c r="B4112" s="1127">
        <v>421</v>
      </c>
      <c r="C4112" s="1128">
        <v>0</v>
      </c>
      <c r="D4112" s="1128">
        <v>100.73</v>
      </c>
      <c r="E4112" s="1126"/>
    </row>
    <row r="4113" spans="1:5" x14ac:dyDescent="0.2">
      <c r="A4113" s="1126" t="s">
        <v>4695</v>
      </c>
      <c r="B4113" s="1127">
        <v>312</v>
      </c>
      <c r="C4113" s="1128">
        <v>0.47</v>
      </c>
      <c r="D4113" s="1128">
        <v>214.92</v>
      </c>
      <c r="E4113" s="1126"/>
    </row>
    <row r="4114" spans="1:5" x14ac:dyDescent="0.2">
      <c r="A4114" s="1126" t="s">
        <v>4696</v>
      </c>
      <c r="B4114" s="1127">
        <v>331</v>
      </c>
      <c r="C4114" s="1128">
        <v>120.43</v>
      </c>
      <c r="D4114" s="1128">
        <v>347.95</v>
      </c>
      <c r="E4114" s="1126"/>
    </row>
    <row r="4115" spans="1:5" x14ac:dyDescent="0.2">
      <c r="A4115" s="1126" t="s">
        <v>4697</v>
      </c>
      <c r="B4115" s="1127">
        <v>43</v>
      </c>
      <c r="C4115" s="1128">
        <v>0</v>
      </c>
      <c r="D4115" s="1128">
        <v>0</v>
      </c>
      <c r="E4115" s="1126"/>
    </row>
    <row r="4116" spans="1:5" x14ac:dyDescent="0.2">
      <c r="A4116" s="1126" t="s">
        <v>4698</v>
      </c>
      <c r="B4116" s="1127">
        <v>185</v>
      </c>
      <c r="C4116" s="1128">
        <v>53.88</v>
      </c>
      <c r="D4116" s="1128">
        <v>181.05</v>
      </c>
      <c r="E4116" s="1126"/>
    </row>
    <row r="4117" spans="1:5" x14ac:dyDescent="0.2">
      <c r="A4117" s="1126" t="s">
        <v>4699</v>
      </c>
      <c r="B4117" s="1127">
        <v>505</v>
      </c>
      <c r="C4117" s="1128">
        <v>0</v>
      </c>
      <c r="D4117" s="1128">
        <v>100.24</v>
      </c>
      <c r="E4117" s="1126"/>
    </row>
    <row r="4118" spans="1:5" x14ac:dyDescent="0.2">
      <c r="A4118" s="1126" t="s">
        <v>4700</v>
      </c>
      <c r="B4118" s="1127">
        <v>348</v>
      </c>
      <c r="C4118" s="1128">
        <v>1110.1500000000001</v>
      </c>
      <c r="D4118" s="1128">
        <v>1349.36</v>
      </c>
      <c r="E4118" s="1126"/>
    </row>
    <row r="4119" spans="1:5" x14ac:dyDescent="0.2">
      <c r="A4119" s="1126" t="s">
        <v>4701</v>
      </c>
      <c r="B4119" s="1127">
        <v>212</v>
      </c>
      <c r="C4119" s="1128">
        <v>616.48</v>
      </c>
      <c r="D4119" s="1128">
        <v>762.2</v>
      </c>
      <c r="E4119" s="1126"/>
    </row>
    <row r="4120" spans="1:5" x14ac:dyDescent="0.2">
      <c r="A4120" s="1126" t="s">
        <v>4702</v>
      </c>
      <c r="B4120" s="1127">
        <v>167</v>
      </c>
      <c r="C4120" s="1128">
        <v>424.06</v>
      </c>
      <c r="D4120" s="1128">
        <v>538.85</v>
      </c>
      <c r="E4120" s="1126"/>
    </row>
    <row r="4121" spans="1:5" x14ac:dyDescent="0.2">
      <c r="A4121" s="1126" t="s">
        <v>4703</v>
      </c>
      <c r="B4121" s="1127">
        <v>90</v>
      </c>
      <c r="C4121" s="1128">
        <v>0</v>
      </c>
      <c r="D4121" s="1128">
        <v>13.09</v>
      </c>
      <c r="E4121" s="1126"/>
    </row>
    <row r="4122" spans="1:5" x14ac:dyDescent="0.2">
      <c r="A4122" s="1126" t="s">
        <v>4704</v>
      </c>
      <c r="B4122" s="1127">
        <v>200</v>
      </c>
      <c r="C4122" s="1128">
        <v>120.25</v>
      </c>
      <c r="D4122" s="1128">
        <v>257.72000000000003</v>
      </c>
      <c r="E4122" s="1126"/>
    </row>
    <row r="4123" spans="1:5" x14ac:dyDescent="0.2">
      <c r="A4123" s="1126" t="s">
        <v>4705</v>
      </c>
      <c r="B4123" s="1127">
        <v>403</v>
      </c>
      <c r="C4123" s="1128">
        <v>0</v>
      </c>
      <c r="D4123" s="1128">
        <v>104.15</v>
      </c>
      <c r="E4123" s="1126"/>
    </row>
    <row r="4124" spans="1:5" x14ac:dyDescent="0.2">
      <c r="A4124" s="1126" t="s">
        <v>4706</v>
      </c>
      <c r="B4124" s="1127">
        <v>134</v>
      </c>
      <c r="C4124" s="1128">
        <v>0</v>
      </c>
      <c r="D4124" s="1128">
        <v>13.7</v>
      </c>
      <c r="E4124" s="1126"/>
    </row>
    <row r="4125" spans="1:5" x14ac:dyDescent="0.2">
      <c r="A4125" s="1126" t="s">
        <v>4707</v>
      </c>
      <c r="B4125" s="1127">
        <v>64</v>
      </c>
      <c r="C4125" s="1128">
        <v>0</v>
      </c>
      <c r="D4125" s="1128">
        <v>14.8</v>
      </c>
      <c r="E4125" s="1126"/>
    </row>
    <row r="4126" spans="1:5" x14ac:dyDescent="0.2">
      <c r="A4126" s="1126" t="s">
        <v>4708</v>
      </c>
      <c r="B4126" s="1127">
        <v>110</v>
      </c>
      <c r="C4126" s="1128">
        <v>331.17</v>
      </c>
      <c r="D4126" s="1128">
        <v>406.78</v>
      </c>
      <c r="E4126" s="1126"/>
    </row>
    <row r="4127" spans="1:5" x14ac:dyDescent="0.2">
      <c r="A4127" s="1126" t="s">
        <v>4709</v>
      </c>
      <c r="B4127" s="1127">
        <v>141</v>
      </c>
      <c r="C4127" s="1128">
        <v>165.93</v>
      </c>
      <c r="D4127" s="1128">
        <v>262.83999999999997</v>
      </c>
      <c r="E4127" s="1126"/>
    </row>
    <row r="4128" spans="1:5" x14ac:dyDescent="0.2">
      <c r="A4128" s="1126" t="s">
        <v>4710</v>
      </c>
      <c r="B4128" s="1127">
        <v>446</v>
      </c>
      <c r="C4128" s="1128">
        <v>0</v>
      </c>
      <c r="D4128" s="1128">
        <v>261.66000000000003</v>
      </c>
      <c r="E4128" s="1126"/>
    </row>
    <row r="4129" spans="1:5" x14ac:dyDescent="0.2">
      <c r="A4129" s="1126" t="s">
        <v>4711</v>
      </c>
      <c r="B4129" s="1127">
        <v>120</v>
      </c>
      <c r="C4129" s="1128">
        <v>0</v>
      </c>
      <c r="D4129" s="1128">
        <v>20.239999999999998</v>
      </c>
      <c r="E4129" s="1126"/>
    </row>
    <row r="4130" spans="1:5" x14ac:dyDescent="0.2">
      <c r="A4130" s="1126" t="s">
        <v>4712</v>
      </c>
      <c r="B4130" s="1127">
        <v>38</v>
      </c>
      <c r="C4130" s="1128">
        <v>0</v>
      </c>
      <c r="D4130" s="1128">
        <v>9.83</v>
      </c>
      <c r="E4130" s="1126" t="s">
        <v>669</v>
      </c>
    </row>
    <row r="4131" spans="1:5" x14ac:dyDescent="0.2">
      <c r="A4131" s="1126" t="s">
        <v>4713</v>
      </c>
      <c r="B4131" s="1127">
        <v>206</v>
      </c>
      <c r="C4131" s="1128">
        <v>69.64</v>
      </c>
      <c r="D4131" s="1128">
        <v>211.23</v>
      </c>
      <c r="E4131" s="1126"/>
    </row>
    <row r="4132" spans="1:5" x14ac:dyDescent="0.2">
      <c r="A4132" s="1126" t="s">
        <v>4714</v>
      </c>
      <c r="B4132" s="1127">
        <v>356</v>
      </c>
      <c r="C4132" s="1128">
        <v>221.13</v>
      </c>
      <c r="D4132" s="1128">
        <v>465.83</v>
      </c>
      <c r="E4132" s="1126"/>
    </row>
    <row r="4133" spans="1:5" x14ac:dyDescent="0.2">
      <c r="A4133" s="1126" t="s">
        <v>4715</v>
      </c>
      <c r="B4133" s="1127">
        <v>428</v>
      </c>
      <c r="C4133" s="1128">
        <v>0</v>
      </c>
      <c r="D4133" s="1128">
        <v>130.24</v>
      </c>
      <c r="E4133" s="1126"/>
    </row>
    <row r="4134" spans="1:5" x14ac:dyDescent="0.2">
      <c r="A4134" s="1126" t="s">
        <v>4716</v>
      </c>
      <c r="B4134" s="1127">
        <v>123</v>
      </c>
      <c r="C4134" s="1128">
        <v>390.06</v>
      </c>
      <c r="D4134" s="1128">
        <v>474.6</v>
      </c>
      <c r="E4134" s="1126"/>
    </row>
    <row r="4135" spans="1:5" x14ac:dyDescent="0.2">
      <c r="A4135" s="1126" t="s">
        <v>4717</v>
      </c>
      <c r="B4135" s="1127">
        <v>148</v>
      </c>
      <c r="C4135" s="1128">
        <v>0</v>
      </c>
      <c r="D4135" s="1128">
        <v>70.23</v>
      </c>
      <c r="E4135" s="1126"/>
    </row>
    <row r="4136" spans="1:5" x14ac:dyDescent="0.2">
      <c r="A4136" s="1126" t="s">
        <v>4718</v>
      </c>
      <c r="B4136" s="1127">
        <v>327</v>
      </c>
      <c r="C4136" s="1128">
        <v>91.78</v>
      </c>
      <c r="D4136" s="1128">
        <v>316.55</v>
      </c>
      <c r="E4136" s="1126"/>
    </row>
    <row r="4137" spans="1:5" x14ac:dyDescent="0.2">
      <c r="A4137" s="1126" t="s">
        <v>4719</v>
      </c>
      <c r="B4137" s="1127">
        <v>136</v>
      </c>
      <c r="C4137" s="1128">
        <v>0</v>
      </c>
      <c r="D4137" s="1128">
        <v>85.79</v>
      </c>
      <c r="E4137" s="1126"/>
    </row>
    <row r="4138" spans="1:5" x14ac:dyDescent="0.2">
      <c r="A4138" s="1126" t="s">
        <v>4720</v>
      </c>
      <c r="B4138" s="1127">
        <v>81</v>
      </c>
      <c r="C4138" s="1128">
        <v>274.04000000000002</v>
      </c>
      <c r="D4138" s="1128">
        <v>329.71</v>
      </c>
      <c r="E4138" s="1126"/>
    </row>
    <row r="4139" spans="1:5" x14ac:dyDescent="0.2">
      <c r="A4139" s="1126" t="s">
        <v>4721</v>
      </c>
      <c r="B4139" s="1127">
        <v>155</v>
      </c>
      <c r="C4139" s="1128">
        <v>16.260000000000002</v>
      </c>
      <c r="D4139" s="1128">
        <v>122.8</v>
      </c>
      <c r="E4139" s="1126"/>
    </row>
    <row r="4140" spans="1:5" x14ac:dyDescent="0.2">
      <c r="A4140" s="1126" t="s">
        <v>4722</v>
      </c>
      <c r="B4140" s="1127">
        <v>198</v>
      </c>
      <c r="C4140" s="1128">
        <v>0</v>
      </c>
      <c r="D4140" s="1128">
        <v>60.8</v>
      </c>
      <c r="E4140" s="1126"/>
    </row>
    <row r="4141" spans="1:5" x14ac:dyDescent="0.2">
      <c r="A4141" s="1126" t="s">
        <v>4723</v>
      </c>
      <c r="B4141" s="1127">
        <v>295</v>
      </c>
      <c r="C4141" s="1128">
        <v>0</v>
      </c>
      <c r="D4141" s="1128">
        <v>86.63</v>
      </c>
      <c r="E4141" s="1126"/>
    </row>
    <row r="4142" spans="1:5" x14ac:dyDescent="0.2">
      <c r="A4142" s="1126" t="s">
        <v>4724</v>
      </c>
      <c r="B4142" s="1127">
        <v>471</v>
      </c>
      <c r="C4142" s="1128">
        <v>0</v>
      </c>
      <c r="D4142" s="1128">
        <v>299.67</v>
      </c>
      <c r="E4142" s="1126"/>
    </row>
    <row r="4143" spans="1:5" x14ac:dyDescent="0.2">
      <c r="A4143" s="1126" t="s">
        <v>4725</v>
      </c>
      <c r="B4143" s="1127">
        <v>168</v>
      </c>
      <c r="C4143" s="1128">
        <v>60.31</v>
      </c>
      <c r="D4143" s="1128">
        <v>175.79</v>
      </c>
      <c r="E4143" s="1126"/>
    </row>
    <row r="4144" spans="1:5" x14ac:dyDescent="0.2">
      <c r="A4144" s="1126" t="s">
        <v>4726</v>
      </c>
      <c r="B4144" s="1127">
        <v>114</v>
      </c>
      <c r="C4144" s="1128">
        <v>21.45</v>
      </c>
      <c r="D4144" s="1128">
        <v>99.81</v>
      </c>
      <c r="E4144" s="1126"/>
    </row>
    <row r="4145" spans="1:5" x14ac:dyDescent="0.2">
      <c r="A4145" s="1126" t="s">
        <v>4727</v>
      </c>
      <c r="B4145" s="1127">
        <v>252</v>
      </c>
      <c r="C4145" s="1128">
        <v>0</v>
      </c>
      <c r="D4145" s="1128">
        <v>15.14</v>
      </c>
      <c r="E4145" s="1126"/>
    </row>
    <row r="4146" spans="1:5" x14ac:dyDescent="0.2">
      <c r="A4146" s="1126" t="s">
        <v>4728</v>
      </c>
      <c r="B4146" s="1127">
        <v>135</v>
      </c>
      <c r="C4146" s="1128">
        <v>0</v>
      </c>
      <c r="D4146" s="1128">
        <v>54.49</v>
      </c>
      <c r="E4146" s="1126"/>
    </row>
    <row r="4147" spans="1:5" x14ac:dyDescent="0.2">
      <c r="A4147" s="1126" t="s">
        <v>4729</v>
      </c>
      <c r="B4147" s="1127">
        <v>53</v>
      </c>
      <c r="C4147" s="1128">
        <v>0</v>
      </c>
      <c r="D4147" s="1128">
        <v>27.78</v>
      </c>
      <c r="E4147" s="1126"/>
    </row>
    <row r="4148" spans="1:5" x14ac:dyDescent="0.2">
      <c r="A4148" s="1126" t="s">
        <v>4730</v>
      </c>
      <c r="B4148" s="1127">
        <v>107</v>
      </c>
      <c r="C4148" s="1128">
        <v>254.31</v>
      </c>
      <c r="D4148" s="1128">
        <v>327.86</v>
      </c>
      <c r="E4148" s="1126"/>
    </row>
    <row r="4149" spans="1:5" x14ac:dyDescent="0.2">
      <c r="A4149" s="1126" t="s">
        <v>4731</v>
      </c>
      <c r="B4149" s="1127">
        <v>158</v>
      </c>
      <c r="C4149" s="1128">
        <v>237.53</v>
      </c>
      <c r="D4149" s="1128">
        <v>346.14</v>
      </c>
      <c r="E4149" s="1126"/>
    </row>
    <row r="4150" spans="1:5" x14ac:dyDescent="0.2">
      <c r="A4150" s="1126" t="s">
        <v>4732</v>
      </c>
      <c r="B4150" s="1127">
        <v>192</v>
      </c>
      <c r="C4150" s="1128">
        <v>176.75</v>
      </c>
      <c r="D4150" s="1128">
        <v>308.72000000000003</v>
      </c>
      <c r="E4150" s="1126"/>
    </row>
    <row r="4151" spans="1:5" x14ac:dyDescent="0.2">
      <c r="A4151" s="1126" t="s">
        <v>4733</v>
      </c>
      <c r="B4151" s="1127">
        <v>222</v>
      </c>
      <c r="C4151" s="1128">
        <v>316.55</v>
      </c>
      <c r="D4151" s="1128">
        <v>469.15</v>
      </c>
      <c r="E4151" s="1126"/>
    </row>
    <row r="4152" spans="1:5" x14ac:dyDescent="0.2">
      <c r="A4152" s="1126" t="s">
        <v>4734</v>
      </c>
      <c r="B4152" s="1127">
        <v>34</v>
      </c>
      <c r="C4152" s="1128">
        <v>13.65</v>
      </c>
      <c r="D4152" s="1128">
        <v>37.020000000000003</v>
      </c>
      <c r="E4152" s="1126" t="s">
        <v>669</v>
      </c>
    </row>
    <row r="4153" spans="1:5" x14ac:dyDescent="0.2">
      <c r="A4153" s="1126" t="s">
        <v>4735</v>
      </c>
      <c r="B4153" s="1127">
        <v>322</v>
      </c>
      <c r="C4153" s="1128">
        <v>675.08</v>
      </c>
      <c r="D4153" s="1128">
        <v>896.41</v>
      </c>
      <c r="E4153" s="1126"/>
    </row>
    <row r="4154" spans="1:5" x14ac:dyDescent="0.2">
      <c r="A4154" s="1126" t="s">
        <v>4736</v>
      </c>
      <c r="B4154" s="1127">
        <v>325</v>
      </c>
      <c r="C4154" s="1128">
        <v>116.94</v>
      </c>
      <c r="D4154" s="1128">
        <v>340.34</v>
      </c>
      <c r="E4154" s="1126"/>
    </row>
    <row r="4155" spans="1:5" x14ac:dyDescent="0.2">
      <c r="A4155" s="1126" t="s">
        <v>4737</v>
      </c>
      <c r="B4155" s="1127">
        <v>470</v>
      </c>
      <c r="C4155" s="1128">
        <v>0</v>
      </c>
      <c r="D4155" s="1128">
        <v>321.43</v>
      </c>
      <c r="E4155" s="1126"/>
    </row>
    <row r="4156" spans="1:5" x14ac:dyDescent="0.2">
      <c r="A4156" s="1126" t="s">
        <v>4738</v>
      </c>
      <c r="B4156" s="1127">
        <v>59</v>
      </c>
      <c r="C4156" s="1128">
        <v>6.31</v>
      </c>
      <c r="D4156" s="1128">
        <v>46.86</v>
      </c>
      <c r="E4156" s="1126"/>
    </row>
    <row r="4157" spans="1:5" x14ac:dyDescent="0.2">
      <c r="A4157" s="1126" t="s">
        <v>4739</v>
      </c>
      <c r="B4157" s="1127">
        <v>149</v>
      </c>
      <c r="C4157" s="1128">
        <v>0</v>
      </c>
      <c r="D4157" s="1128">
        <v>28.64</v>
      </c>
      <c r="E4157" s="1126"/>
    </row>
    <row r="4158" spans="1:5" x14ac:dyDescent="0.2">
      <c r="A4158" s="1126" t="s">
        <v>4740</v>
      </c>
      <c r="B4158" s="1127">
        <v>201</v>
      </c>
      <c r="C4158" s="1128">
        <v>151.66999999999999</v>
      </c>
      <c r="D4158" s="1128">
        <v>289.83</v>
      </c>
      <c r="E4158" s="1126"/>
    </row>
    <row r="4159" spans="1:5" x14ac:dyDescent="0.2">
      <c r="A4159" s="1126" t="s">
        <v>4741</v>
      </c>
      <c r="B4159" s="1127">
        <v>163</v>
      </c>
      <c r="C4159" s="1128">
        <v>146.78</v>
      </c>
      <c r="D4159" s="1128">
        <v>258.82</v>
      </c>
      <c r="E4159" s="1126"/>
    </row>
    <row r="4160" spans="1:5" x14ac:dyDescent="0.2">
      <c r="A4160" s="1126" t="s">
        <v>4742</v>
      </c>
      <c r="B4160" s="1127">
        <v>201</v>
      </c>
      <c r="C4160" s="1128">
        <v>0</v>
      </c>
      <c r="D4160" s="1128">
        <v>38.729999999999997</v>
      </c>
      <c r="E4160" s="1126"/>
    </row>
    <row r="4161" spans="1:5" x14ac:dyDescent="0.2">
      <c r="A4161" s="1126" t="s">
        <v>4743</v>
      </c>
      <c r="B4161" s="1127">
        <v>308</v>
      </c>
      <c r="C4161" s="1128">
        <v>0</v>
      </c>
      <c r="D4161" s="1128">
        <v>149.05000000000001</v>
      </c>
      <c r="E4161" s="1126"/>
    </row>
    <row r="4162" spans="1:5" x14ac:dyDescent="0.2">
      <c r="A4162" s="1126" t="s">
        <v>4744</v>
      </c>
      <c r="B4162" s="1127">
        <v>47</v>
      </c>
      <c r="C4162" s="1128">
        <v>0</v>
      </c>
      <c r="D4162" s="1128">
        <v>31.68</v>
      </c>
      <c r="E4162" s="1126"/>
    </row>
    <row r="4163" spans="1:5" x14ac:dyDescent="0.2">
      <c r="A4163" s="1126" t="s">
        <v>4745</v>
      </c>
      <c r="B4163" s="1127">
        <v>326</v>
      </c>
      <c r="C4163" s="1128">
        <v>0</v>
      </c>
      <c r="D4163" s="1128">
        <v>32.24</v>
      </c>
      <c r="E4163" s="1126"/>
    </row>
    <row r="4164" spans="1:5" x14ac:dyDescent="0.2">
      <c r="A4164" s="1126" t="s">
        <v>4746</v>
      </c>
      <c r="B4164" s="1127">
        <v>406</v>
      </c>
      <c r="C4164" s="1128">
        <v>0</v>
      </c>
      <c r="D4164" s="1128">
        <v>51.26</v>
      </c>
      <c r="E4164" s="1126"/>
    </row>
    <row r="4165" spans="1:5" x14ac:dyDescent="0.2">
      <c r="A4165" s="1126" t="s">
        <v>4747</v>
      </c>
      <c r="B4165" s="1127">
        <v>105</v>
      </c>
      <c r="C4165" s="1128">
        <v>0</v>
      </c>
      <c r="D4165" s="1128">
        <v>14.22</v>
      </c>
      <c r="E4165" s="1126"/>
    </row>
    <row r="4166" spans="1:5" x14ac:dyDescent="0.2">
      <c r="A4166" s="1126" t="s">
        <v>4748</v>
      </c>
      <c r="B4166" s="1127">
        <v>187</v>
      </c>
      <c r="C4166" s="1128">
        <v>78.36</v>
      </c>
      <c r="D4166" s="1128">
        <v>206.9</v>
      </c>
      <c r="E4166" s="1126"/>
    </row>
    <row r="4167" spans="1:5" x14ac:dyDescent="0.2">
      <c r="A4167" s="1126" t="s">
        <v>4749</v>
      </c>
      <c r="B4167" s="1127">
        <v>76</v>
      </c>
      <c r="C4167" s="1128">
        <v>0</v>
      </c>
      <c r="D4167" s="1128">
        <v>24.71</v>
      </c>
      <c r="E4167" s="1126"/>
    </row>
    <row r="4168" spans="1:5" x14ac:dyDescent="0.2">
      <c r="A4168" s="1126" t="s">
        <v>4750</v>
      </c>
      <c r="B4168" s="1127">
        <v>181</v>
      </c>
      <c r="C4168" s="1128">
        <v>0</v>
      </c>
      <c r="D4168" s="1128">
        <v>30.97</v>
      </c>
      <c r="E4168" s="1126"/>
    </row>
    <row r="4169" spans="1:5" x14ac:dyDescent="0.2">
      <c r="A4169" s="1126" t="s">
        <v>4751</v>
      </c>
      <c r="B4169" s="1127">
        <v>321</v>
      </c>
      <c r="C4169" s="1128">
        <v>0</v>
      </c>
      <c r="D4169" s="1128">
        <v>90.88</v>
      </c>
      <c r="E4169" s="1126"/>
    </row>
    <row r="4170" spans="1:5" x14ac:dyDescent="0.2">
      <c r="A4170" s="1126" t="s">
        <v>4752</v>
      </c>
      <c r="B4170" s="1127">
        <v>333</v>
      </c>
      <c r="C4170" s="1128">
        <v>40.450000000000003</v>
      </c>
      <c r="D4170" s="1128">
        <v>269.33999999999997</v>
      </c>
      <c r="E4170" s="1126"/>
    </row>
    <row r="4171" spans="1:5" x14ac:dyDescent="0.2">
      <c r="A4171" s="1126" t="s">
        <v>4753</v>
      </c>
      <c r="B4171" s="1127">
        <v>420</v>
      </c>
      <c r="C4171" s="1128">
        <v>0</v>
      </c>
      <c r="D4171" s="1128">
        <v>46.14</v>
      </c>
      <c r="E4171" s="1126"/>
    </row>
    <row r="4172" spans="1:5" x14ac:dyDescent="0.2">
      <c r="A4172" s="1126" t="s">
        <v>4754</v>
      </c>
      <c r="B4172" s="1127">
        <v>110</v>
      </c>
      <c r="C4172" s="1128">
        <v>0</v>
      </c>
      <c r="D4172" s="1128">
        <v>31.23</v>
      </c>
      <c r="E4172" s="1126"/>
    </row>
    <row r="4173" spans="1:5" x14ac:dyDescent="0.2">
      <c r="A4173" s="1126" t="s">
        <v>4755</v>
      </c>
      <c r="B4173" s="1127">
        <v>173</v>
      </c>
      <c r="C4173" s="1128">
        <v>0</v>
      </c>
      <c r="D4173" s="1128">
        <v>87.13</v>
      </c>
      <c r="E4173" s="1126"/>
    </row>
    <row r="4174" spans="1:5" x14ac:dyDescent="0.2">
      <c r="A4174" s="1126" t="s">
        <v>4756</v>
      </c>
      <c r="B4174" s="1127">
        <v>52</v>
      </c>
      <c r="C4174" s="1128">
        <v>0</v>
      </c>
      <c r="D4174" s="1128">
        <v>19.28</v>
      </c>
      <c r="E4174" s="1126"/>
    </row>
    <row r="4175" spans="1:5" x14ac:dyDescent="0.2">
      <c r="A4175" s="1126" t="s">
        <v>4757</v>
      </c>
      <c r="B4175" s="1127">
        <v>105</v>
      </c>
      <c r="C4175" s="1128">
        <v>0</v>
      </c>
      <c r="D4175" s="1128">
        <v>69.78</v>
      </c>
      <c r="E4175" s="1126"/>
    </row>
    <row r="4176" spans="1:5" x14ac:dyDescent="0.2">
      <c r="A4176" s="1126" t="s">
        <v>4758</v>
      </c>
      <c r="B4176" s="1127">
        <v>106</v>
      </c>
      <c r="C4176" s="1128">
        <v>0</v>
      </c>
      <c r="D4176" s="1128">
        <v>31.98</v>
      </c>
      <c r="E4176" s="1126"/>
    </row>
    <row r="4177" spans="1:5" x14ac:dyDescent="0.2">
      <c r="A4177" s="1126" t="s">
        <v>4759</v>
      </c>
      <c r="B4177" s="1127">
        <v>121</v>
      </c>
      <c r="C4177" s="1128">
        <v>46.22</v>
      </c>
      <c r="D4177" s="1128">
        <v>129.38999999999999</v>
      </c>
      <c r="E4177" s="1126"/>
    </row>
    <row r="4178" spans="1:5" x14ac:dyDescent="0.2">
      <c r="A4178" s="1126" t="s">
        <v>4760</v>
      </c>
      <c r="B4178" s="1127">
        <v>145</v>
      </c>
      <c r="C4178" s="1128">
        <v>0</v>
      </c>
      <c r="D4178" s="1128">
        <v>95.14</v>
      </c>
      <c r="E4178" s="1126"/>
    </row>
    <row r="4179" spans="1:5" x14ac:dyDescent="0.2">
      <c r="A4179" s="1126" t="s">
        <v>4761</v>
      </c>
      <c r="B4179" s="1127">
        <v>214</v>
      </c>
      <c r="C4179" s="1128">
        <v>0</v>
      </c>
      <c r="D4179" s="1128">
        <v>73.5</v>
      </c>
      <c r="E4179" s="1126"/>
    </row>
    <row r="4180" spans="1:5" x14ac:dyDescent="0.2">
      <c r="A4180" s="1126" t="s">
        <v>4762</v>
      </c>
      <c r="B4180" s="1127">
        <v>100</v>
      </c>
      <c r="C4180" s="1128">
        <v>0</v>
      </c>
      <c r="D4180" s="1128">
        <v>24.96</v>
      </c>
      <c r="E4180" s="1126"/>
    </row>
    <row r="4181" spans="1:5" x14ac:dyDescent="0.2">
      <c r="A4181" s="1126" t="s">
        <v>4763</v>
      </c>
      <c r="B4181" s="1127">
        <v>144</v>
      </c>
      <c r="C4181" s="1128">
        <v>0</v>
      </c>
      <c r="D4181" s="1128">
        <v>74.19</v>
      </c>
      <c r="E4181" s="1126"/>
    </row>
    <row r="4182" spans="1:5" x14ac:dyDescent="0.2">
      <c r="A4182" s="1126" t="s">
        <v>4764</v>
      </c>
      <c r="B4182" s="1127">
        <v>192</v>
      </c>
      <c r="C4182" s="1128">
        <v>270.56</v>
      </c>
      <c r="D4182" s="1128">
        <v>402.53</v>
      </c>
      <c r="E4182" s="1126"/>
    </row>
    <row r="4183" spans="1:5" x14ac:dyDescent="0.2">
      <c r="A4183" s="1126" t="s">
        <v>4765</v>
      </c>
      <c r="B4183" s="1127">
        <v>172</v>
      </c>
      <c r="C4183" s="1128">
        <v>253.05</v>
      </c>
      <c r="D4183" s="1128">
        <v>371.28</v>
      </c>
      <c r="E4183" s="1126"/>
    </row>
    <row r="4184" spans="1:5" x14ac:dyDescent="0.2">
      <c r="A4184" s="1126" t="s">
        <v>4766</v>
      </c>
      <c r="B4184" s="1127">
        <v>127</v>
      </c>
      <c r="C4184" s="1128">
        <v>95.3</v>
      </c>
      <c r="D4184" s="1128">
        <v>182.59</v>
      </c>
      <c r="E4184" s="1126"/>
    </row>
    <row r="4185" spans="1:5" x14ac:dyDescent="0.2">
      <c r="A4185" s="1126" t="s">
        <v>4767</v>
      </c>
      <c r="B4185" s="1127">
        <v>304</v>
      </c>
      <c r="C4185" s="1128">
        <v>1184.6099999999999</v>
      </c>
      <c r="D4185" s="1128">
        <v>1393.56</v>
      </c>
      <c r="E4185" s="1126"/>
    </row>
    <row r="4186" spans="1:5" x14ac:dyDescent="0.2">
      <c r="A4186" s="1126" t="s">
        <v>4768</v>
      </c>
      <c r="B4186" s="1127">
        <v>241</v>
      </c>
      <c r="C4186" s="1128">
        <v>716.99</v>
      </c>
      <c r="D4186" s="1128">
        <v>882.64</v>
      </c>
      <c r="E4186" s="1126"/>
    </row>
    <row r="4187" spans="1:5" x14ac:dyDescent="0.2">
      <c r="A4187" s="1126" t="s">
        <v>4769</v>
      </c>
      <c r="B4187" s="1127">
        <v>158</v>
      </c>
      <c r="C4187" s="1128">
        <v>37.42</v>
      </c>
      <c r="D4187" s="1128">
        <v>146.03</v>
      </c>
      <c r="E4187" s="1126"/>
    </row>
    <row r="4188" spans="1:5" x14ac:dyDescent="0.2">
      <c r="A4188" s="1126" t="s">
        <v>4770</v>
      </c>
      <c r="B4188" s="1127">
        <v>224</v>
      </c>
      <c r="C4188" s="1128">
        <v>0</v>
      </c>
      <c r="D4188" s="1128">
        <v>8.75</v>
      </c>
      <c r="E4188" s="1126"/>
    </row>
    <row r="4189" spans="1:5" x14ac:dyDescent="0.2">
      <c r="A4189" s="1126" t="s">
        <v>4771</v>
      </c>
      <c r="B4189" s="1127">
        <v>54</v>
      </c>
      <c r="C4189" s="1128">
        <v>36.72</v>
      </c>
      <c r="D4189" s="1128">
        <v>73.83</v>
      </c>
      <c r="E4189" s="1126"/>
    </row>
    <row r="4190" spans="1:5" x14ac:dyDescent="0.2">
      <c r="A4190" s="1126" t="s">
        <v>4772</v>
      </c>
      <c r="B4190" s="1127">
        <v>280</v>
      </c>
      <c r="C4190" s="1128">
        <v>0</v>
      </c>
      <c r="D4190" s="1128">
        <v>144.78</v>
      </c>
      <c r="E4190" s="1126"/>
    </row>
    <row r="4191" spans="1:5" x14ac:dyDescent="0.2">
      <c r="A4191" s="1126" t="s">
        <v>4773</v>
      </c>
      <c r="B4191" s="1127">
        <v>70</v>
      </c>
      <c r="C4191" s="1128">
        <v>0</v>
      </c>
      <c r="D4191" s="1128">
        <v>15.78</v>
      </c>
      <c r="E4191" s="1126"/>
    </row>
    <row r="4192" spans="1:5" x14ac:dyDescent="0.2">
      <c r="A4192" s="1126" t="s">
        <v>4774</v>
      </c>
      <c r="B4192" s="1127">
        <v>209</v>
      </c>
      <c r="C4192" s="1128">
        <v>0</v>
      </c>
      <c r="D4192" s="1128">
        <v>71.58</v>
      </c>
      <c r="E4192" s="1126"/>
    </row>
    <row r="4193" spans="1:5" x14ac:dyDescent="0.2">
      <c r="A4193" s="1126" t="s">
        <v>4775</v>
      </c>
      <c r="B4193" s="1127">
        <v>162</v>
      </c>
      <c r="C4193" s="1128">
        <v>0</v>
      </c>
      <c r="D4193" s="1128">
        <v>11.36</v>
      </c>
      <c r="E4193" s="1126"/>
    </row>
    <row r="4194" spans="1:5" x14ac:dyDescent="0.2">
      <c r="A4194" s="1126" t="s">
        <v>4776</v>
      </c>
      <c r="B4194" s="1127">
        <v>439</v>
      </c>
      <c r="C4194" s="1128">
        <v>0</v>
      </c>
      <c r="D4194" s="1128">
        <v>198.53</v>
      </c>
      <c r="E4194" s="1126"/>
    </row>
    <row r="4195" spans="1:5" x14ac:dyDescent="0.2">
      <c r="A4195" s="1126" t="s">
        <v>4777</v>
      </c>
      <c r="B4195" s="1127">
        <v>145</v>
      </c>
      <c r="C4195" s="1128">
        <v>0</v>
      </c>
      <c r="D4195" s="1128">
        <v>74.400000000000006</v>
      </c>
      <c r="E4195" s="1126"/>
    </row>
    <row r="4196" spans="1:5" x14ac:dyDescent="0.2">
      <c r="A4196" s="1126" t="s">
        <v>4778</v>
      </c>
      <c r="B4196" s="1127">
        <v>36</v>
      </c>
      <c r="C4196" s="1128">
        <v>0</v>
      </c>
      <c r="D4196" s="1128">
        <v>0</v>
      </c>
      <c r="E4196" s="1126" t="s">
        <v>669</v>
      </c>
    </row>
    <row r="4197" spans="1:5" x14ac:dyDescent="0.2">
      <c r="A4197" s="1126" t="s">
        <v>4779</v>
      </c>
      <c r="B4197" s="1127">
        <v>45</v>
      </c>
      <c r="C4197" s="1128">
        <v>1.73</v>
      </c>
      <c r="D4197" s="1128">
        <v>32.67</v>
      </c>
      <c r="E4197" s="1126"/>
    </row>
    <row r="4198" spans="1:5" x14ac:dyDescent="0.2">
      <c r="A4198" s="1126" t="s">
        <v>4780</v>
      </c>
      <c r="B4198" s="1127">
        <v>139</v>
      </c>
      <c r="C4198" s="1128">
        <v>0</v>
      </c>
      <c r="D4198" s="1128">
        <v>25.17</v>
      </c>
      <c r="E4198" s="1126"/>
    </row>
    <row r="4199" spans="1:5" x14ac:dyDescent="0.2">
      <c r="A4199" s="1126" t="s">
        <v>4781</v>
      </c>
      <c r="B4199" s="1127">
        <v>52</v>
      </c>
      <c r="C4199" s="1128">
        <v>167.24</v>
      </c>
      <c r="D4199" s="1128">
        <v>202.98</v>
      </c>
      <c r="E4199" s="1126"/>
    </row>
    <row r="4200" spans="1:5" x14ac:dyDescent="0.2">
      <c r="A4200" s="1126" t="s">
        <v>4782</v>
      </c>
      <c r="B4200" s="1127">
        <v>86</v>
      </c>
      <c r="C4200" s="1128">
        <v>55.46</v>
      </c>
      <c r="D4200" s="1128">
        <v>114.57</v>
      </c>
      <c r="E4200" s="1126"/>
    </row>
    <row r="4201" spans="1:5" x14ac:dyDescent="0.2">
      <c r="A4201" s="1126" t="s">
        <v>4783</v>
      </c>
      <c r="B4201" s="1127">
        <v>83</v>
      </c>
      <c r="C4201" s="1128">
        <v>0</v>
      </c>
      <c r="D4201" s="1128">
        <v>18.55</v>
      </c>
      <c r="E4201" s="1126"/>
    </row>
    <row r="4202" spans="1:5" x14ac:dyDescent="0.2">
      <c r="A4202" s="1126" t="s">
        <v>4784</v>
      </c>
      <c r="B4202" s="1127">
        <v>38</v>
      </c>
      <c r="C4202" s="1128">
        <v>0</v>
      </c>
      <c r="D4202" s="1128">
        <v>0</v>
      </c>
      <c r="E4202" s="1126" t="s">
        <v>669</v>
      </c>
    </row>
    <row r="4203" spans="1:5" x14ac:dyDescent="0.2">
      <c r="A4203" s="1126" t="s">
        <v>4785</v>
      </c>
      <c r="B4203" s="1127">
        <v>234</v>
      </c>
      <c r="C4203" s="1128">
        <v>0</v>
      </c>
      <c r="D4203" s="1128">
        <v>42.88</v>
      </c>
      <c r="E4203" s="1126"/>
    </row>
    <row r="4204" spans="1:5" x14ac:dyDescent="0.2">
      <c r="A4204" s="1126" t="s">
        <v>4786</v>
      </c>
      <c r="B4204" s="1127">
        <v>366</v>
      </c>
      <c r="C4204" s="1128">
        <v>0</v>
      </c>
      <c r="D4204" s="1128">
        <v>130.07</v>
      </c>
      <c r="E4204" s="1126"/>
    </row>
    <row r="4205" spans="1:5" x14ac:dyDescent="0.2">
      <c r="A4205" s="1126" t="s">
        <v>4787</v>
      </c>
      <c r="B4205" s="1127">
        <v>308</v>
      </c>
      <c r="C4205" s="1128">
        <v>0</v>
      </c>
      <c r="D4205" s="1128">
        <v>126.15</v>
      </c>
      <c r="E4205" s="1126"/>
    </row>
    <row r="4206" spans="1:5" x14ac:dyDescent="0.2">
      <c r="A4206" s="1126" t="s">
        <v>4788</v>
      </c>
      <c r="B4206" s="1127">
        <v>55</v>
      </c>
      <c r="C4206" s="1128">
        <v>0</v>
      </c>
      <c r="D4206" s="1128">
        <v>20.21</v>
      </c>
      <c r="E4206" s="1126"/>
    </row>
    <row r="4207" spans="1:5" x14ac:dyDescent="0.2">
      <c r="A4207" s="1126" t="s">
        <v>4789</v>
      </c>
      <c r="B4207" s="1127">
        <v>189</v>
      </c>
      <c r="C4207" s="1128">
        <v>76.56</v>
      </c>
      <c r="D4207" s="1128">
        <v>206.47</v>
      </c>
      <c r="E4207" s="1126"/>
    </row>
    <row r="4208" spans="1:5" x14ac:dyDescent="0.2">
      <c r="A4208" s="1126" t="s">
        <v>4790</v>
      </c>
      <c r="B4208" s="1127">
        <v>54</v>
      </c>
      <c r="C4208" s="1128">
        <v>0</v>
      </c>
      <c r="D4208" s="1128">
        <v>14.82</v>
      </c>
      <c r="E4208" s="1126"/>
    </row>
    <row r="4209" spans="1:5" x14ac:dyDescent="0.2">
      <c r="A4209" s="1126" t="s">
        <v>4791</v>
      </c>
      <c r="B4209" s="1127">
        <v>261</v>
      </c>
      <c r="C4209" s="1128">
        <v>0</v>
      </c>
      <c r="D4209" s="1128">
        <v>66.08</v>
      </c>
      <c r="E4209" s="1126"/>
    </row>
    <row r="4210" spans="1:5" x14ac:dyDescent="0.2">
      <c r="A4210" s="1126" t="s">
        <v>4792</v>
      </c>
      <c r="B4210" s="1127">
        <v>295</v>
      </c>
      <c r="C4210" s="1128">
        <v>0</v>
      </c>
      <c r="D4210" s="1128">
        <v>138.19</v>
      </c>
      <c r="E4210" s="1126"/>
    </row>
    <row r="4211" spans="1:5" x14ac:dyDescent="0.2">
      <c r="A4211" s="1126" t="s">
        <v>4793</v>
      </c>
      <c r="B4211" s="1127">
        <v>71</v>
      </c>
      <c r="C4211" s="1128">
        <v>0</v>
      </c>
      <c r="D4211" s="1128">
        <v>23.45</v>
      </c>
      <c r="E4211" s="1126"/>
    </row>
    <row r="4212" spans="1:5" x14ac:dyDescent="0.2">
      <c r="A4212" s="1126" t="s">
        <v>4794</v>
      </c>
      <c r="B4212" s="1127">
        <v>75</v>
      </c>
      <c r="C4212" s="1128">
        <v>142.49</v>
      </c>
      <c r="D4212" s="1128">
        <v>194.04</v>
      </c>
      <c r="E4212" s="1126"/>
    </row>
    <row r="4213" spans="1:5" x14ac:dyDescent="0.2">
      <c r="A4213" s="1126" t="s">
        <v>4795</v>
      </c>
      <c r="B4213" s="1127">
        <v>54</v>
      </c>
      <c r="C4213" s="1128">
        <v>0</v>
      </c>
      <c r="D4213" s="1128">
        <v>9.1</v>
      </c>
      <c r="E4213" s="1126"/>
    </row>
    <row r="4214" spans="1:5" x14ac:dyDescent="0.2">
      <c r="A4214" s="1126" t="s">
        <v>4796</v>
      </c>
      <c r="B4214" s="1127">
        <v>100</v>
      </c>
      <c r="C4214" s="1128">
        <v>0</v>
      </c>
      <c r="D4214" s="1128">
        <v>9.24</v>
      </c>
      <c r="E4214" s="1126"/>
    </row>
    <row r="4215" spans="1:5" x14ac:dyDescent="0.2">
      <c r="A4215" s="1126" t="s">
        <v>4797</v>
      </c>
      <c r="B4215" s="1127">
        <v>244</v>
      </c>
      <c r="C4215" s="1128">
        <v>201.47</v>
      </c>
      <c r="D4215" s="1128">
        <v>369.19</v>
      </c>
      <c r="E4215" s="1126"/>
    </row>
    <row r="4216" spans="1:5" x14ac:dyDescent="0.2">
      <c r="A4216" s="1126" t="s">
        <v>4798</v>
      </c>
      <c r="B4216" s="1127">
        <v>247</v>
      </c>
      <c r="C4216" s="1128">
        <v>0</v>
      </c>
      <c r="D4216" s="1128">
        <v>78.53</v>
      </c>
      <c r="E4216" s="1126"/>
    </row>
    <row r="4217" spans="1:5" x14ac:dyDescent="0.2">
      <c r="A4217" s="1126" t="s">
        <v>4799</v>
      </c>
      <c r="B4217" s="1127">
        <v>163</v>
      </c>
      <c r="C4217" s="1128">
        <v>0</v>
      </c>
      <c r="D4217" s="1128">
        <v>105.08</v>
      </c>
      <c r="E4217" s="1126"/>
    </row>
    <row r="4218" spans="1:5" x14ac:dyDescent="0.2">
      <c r="A4218" s="1126" t="s">
        <v>4800</v>
      </c>
      <c r="B4218" s="1127">
        <v>150</v>
      </c>
      <c r="C4218" s="1128">
        <v>0</v>
      </c>
      <c r="D4218" s="1128">
        <v>99.73</v>
      </c>
      <c r="E4218" s="1126"/>
    </row>
    <row r="4219" spans="1:5" x14ac:dyDescent="0.2">
      <c r="A4219" s="1126" t="s">
        <v>4801</v>
      </c>
      <c r="B4219" s="1127">
        <v>307</v>
      </c>
      <c r="C4219" s="1128">
        <v>122.29</v>
      </c>
      <c r="D4219" s="1128">
        <v>333.31</v>
      </c>
      <c r="E4219" s="1126"/>
    </row>
    <row r="4220" spans="1:5" x14ac:dyDescent="0.2">
      <c r="A4220" s="1126" t="s">
        <v>4802</v>
      </c>
      <c r="B4220" s="1127">
        <v>446</v>
      </c>
      <c r="C4220" s="1128">
        <v>0</v>
      </c>
      <c r="D4220" s="1128">
        <v>5.64</v>
      </c>
      <c r="E4220" s="1126"/>
    </row>
    <row r="4221" spans="1:5" x14ac:dyDescent="0.2">
      <c r="A4221" s="1126" t="s">
        <v>4803</v>
      </c>
      <c r="B4221" s="1127">
        <v>318</v>
      </c>
      <c r="C4221" s="1128">
        <v>0</v>
      </c>
      <c r="D4221" s="1128">
        <v>0</v>
      </c>
      <c r="E4221" s="1126"/>
    </row>
    <row r="4222" spans="1:5" x14ac:dyDescent="0.2">
      <c r="A4222" s="1126" t="s">
        <v>4804</v>
      </c>
      <c r="B4222" s="1127">
        <v>451</v>
      </c>
      <c r="C4222" s="1128">
        <v>0</v>
      </c>
      <c r="D4222" s="1128">
        <v>190.18</v>
      </c>
      <c r="E4222" s="1126"/>
    </row>
    <row r="4223" spans="1:5" x14ac:dyDescent="0.2">
      <c r="A4223" s="1126" t="s">
        <v>4805</v>
      </c>
      <c r="B4223" s="1127">
        <v>139</v>
      </c>
      <c r="C4223" s="1128">
        <v>0</v>
      </c>
      <c r="D4223" s="1128">
        <v>67.739999999999995</v>
      </c>
      <c r="E4223" s="1126"/>
    </row>
    <row r="4224" spans="1:5" x14ac:dyDescent="0.2">
      <c r="A4224" s="1126" t="s">
        <v>4806</v>
      </c>
      <c r="B4224" s="1127">
        <v>210</v>
      </c>
      <c r="C4224" s="1128">
        <v>0</v>
      </c>
      <c r="D4224" s="1128">
        <v>50.3</v>
      </c>
      <c r="E4224" s="1126"/>
    </row>
    <row r="4225" spans="1:5" x14ac:dyDescent="0.2">
      <c r="A4225" s="1126" t="s">
        <v>4807</v>
      </c>
      <c r="B4225" s="1127">
        <v>345</v>
      </c>
      <c r="C4225" s="1128">
        <v>0</v>
      </c>
      <c r="D4225" s="1128">
        <v>99.12</v>
      </c>
      <c r="E4225" s="1126"/>
    </row>
    <row r="4226" spans="1:5" x14ac:dyDescent="0.2">
      <c r="A4226" s="1126" t="s">
        <v>4808</v>
      </c>
      <c r="B4226" s="1127">
        <v>225</v>
      </c>
      <c r="C4226" s="1128">
        <v>0</v>
      </c>
      <c r="D4226" s="1128">
        <v>9.17</v>
      </c>
      <c r="E4226" s="1126"/>
    </row>
    <row r="4227" spans="1:5" x14ac:dyDescent="0.2">
      <c r="A4227" s="1126" t="s">
        <v>4809</v>
      </c>
      <c r="B4227" s="1127">
        <v>498</v>
      </c>
      <c r="C4227" s="1128">
        <v>0</v>
      </c>
      <c r="D4227" s="1128">
        <v>78.569999999999993</v>
      </c>
      <c r="E4227" s="1126"/>
    </row>
    <row r="4228" spans="1:5" x14ac:dyDescent="0.2">
      <c r="A4228" s="1126" t="s">
        <v>4810</v>
      </c>
      <c r="B4228" s="1127">
        <v>113</v>
      </c>
      <c r="C4228" s="1128">
        <v>32.4</v>
      </c>
      <c r="D4228" s="1128">
        <v>110.07</v>
      </c>
      <c r="E4228" s="1126"/>
    </row>
    <row r="4229" spans="1:5" x14ac:dyDescent="0.2">
      <c r="A4229" s="1126" t="s">
        <v>4811</v>
      </c>
      <c r="B4229" s="1127">
        <v>498</v>
      </c>
      <c r="C4229" s="1128">
        <v>0</v>
      </c>
      <c r="D4229" s="1128">
        <v>180.29</v>
      </c>
      <c r="E4229" s="1126"/>
    </row>
    <row r="4230" spans="1:5" x14ac:dyDescent="0.2">
      <c r="A4230" s="1126" t="s">
        <v>4812</v>
      </c>
      <c r="B4230" s="1127">
        <v>304</v>
      </c>
      <c r="C4230" s="1128">
        <v>0</v>
      </c>
      <c r="D4230" s="1128">
        <v>74.08</v>
      </c>
      <c r="E4230" s="1126"/>
    </row>
    <row r="4231" spans="1:5" x14ac:dyDescent="0.2">
      <c r="A4231" s="1126" t="s">
        <v>4813</v>
      </c>
      <c r="B4231" s="1127">
        <v>83</v>
      </c>
      <c r="C4231" s="1128">
        <v>0</v>
      </c>
      <c r="D4231" s="1128">
        <v>56.33</v>
      </c>
      <c r="E4231" s="1126"/>
    </row>
    <row r="4232" spans="1:5" x14ac:dyDescent="0.2">
      <c r="A4232" s="1126" t="s">
        <v>4814</v>
      </c>
      <c r="B4232" s="1127">
        <v>147</v>
      </c>
      <c r="C4232" s="1128">
        <v>534.09</v>
      </c>
      <c r="D4232" s="1128">
        <v>635.13</v>
      </c>
      <c r="E4232" s="1126"/>
    </row>
    <row r="4233" spans="1:5" x14ac:dyDescent="0.2">
      <c r="A4233" s="1126" t="s">
        <v>4815</v>
      </c>
      <c r="B4233" s="1127">
        <v>392</v>
      </c>
      <c r="C4233" s="1128">
        <v>34.47</v>
      </c>
      <c r="D4233" s="1128">
        <v>303.92</v>
      </c>
      <c r="E4233" s="1126"/>
    </row>
    <row r="4234" spans="1:5" x14ac:dyDescent="0.2">
      <c r="A4234" s="1126" t="s">
        <v>4816</v>
      </c>
      <c r="B4234" s="1127">
        <v>324</v>
      </c>
      <c r="C4234" s="1128">
        <v>0</v>
      </c>
      <c r="D4234" s="1128">
        <v>73.099999999999994</v>
      </c>
      <c r="E4234" s="1126"/>
    </row>
    <row r="4235" spans="1:5" x14ac:dyDescent="0.2">
      <c r="A4235" s="1126" t="s">
        <v>4817</v>
      </c>
      <c r="B4235" s="1127">
        <v>218</v>
      </c>
      <c r="C4235" s="1128">
        <v>0</v>
      </c>
      <c r="D4235" s="1128">
        <v>44.17</v>
      </c>
      <c r="E4235" s="1126"/>
    </row>
    <row r="4236" spans="1:5" x14ac:dyDescent="0.2">
      <c r="A4236" s="1126" t="s">
        <v>4818</v>
      </c>
      <c r="B4236" s="1127">
        <v>40</v>
      </c>
      <c r="C4236" s="1128">
        <v>0</v>
      </c>
      <c r="D4236" s="1128">
        <v>23.9</v>
      </c>
      <c r="E4236" s="1126" t="s">
        <v>669</v>
      </c>
    </row>
    <row r="4237" spans="1:5" x14ac:dyDescent="0.2">
      <c r="A4237" s="1126" t="s">
        <v>4819</v>
      </c>
      <c r="B4237" s="1127">
        <v>86</v>
      </c>
      <c r="C4237" s="1128">
        <v>1.9</v>
      </c>
      <c r="D4237" s="1128">
        <v>61.01</v>
      </c>
      <c r="E4237" s="1126"/>
    </row>
    <row r="4238" spans="1:5" x14ac:dyDescent="0.2">
      <c r="A4238" s="1126" t="s">
        <v>4820</v>
      </c>
      <c r="B4238" s="1127">
        <v>154</v>
      </c>
      <c r="C4238" s="1128">
        <v>0</v>
      </c>
      <c r="D4238" s="1128">
        <v>64.010000000000005</v>
      </c>
      <c r="E4238" s="1126"/>
    </row>
    <row r="4239" spans="1:5" x14ac:dyDescent="0.2">
      <c r="A4239" s="1126" t="s">
        <v>4821</v>
      </c>
      <c r="B4239" s="1127">
        <v>110</v>
      </c>
      <c r="C4239" s="1128">
        <v>11.24</v>
      </c>
      <c r="D4239" s="1128">
        <v>86.85</v>
      </c>
      <c r="E4239" s="1126"/>
    </row>
    <row r="4240" spans="1:5" x14ac:dyDescent="0.2">
      <c r="A4240" s="1126" t="s">
        <v>4822</v>
      </c>
      <c r="B4240" s="1127">
        <v>176</v>
      </c>
      <c r="C4240" s="1128">
        <v>0</v>
      </c>
      <c r="D4240" s="1128">
        <v>0</v>
      </c>
      <c r="E4240" s="1126"/>
    </row>
    <row r="4241" spans="1:5" x14ac:dyDescent="0.2">
      <c r="A4241" s="1126" t="s">
        <v>4823</v>
      </c>
      <c r="B4241" s="1127">
        <v>76</v>
      </c>
      <c r="C4241" s="1128">
        <v>70.05</v>
      </c>
      <c r="D4241" s="1128">
        <v>122.29</v>
      </c>
      <c r="E4241" s="1126"/>
    </row>
    <row r="4242" spans="1:5" x14ac:dyDescent="0.2">
      <c r="A4242" s="1126" t="s">
        <v>4824</v>
      </c>
      <c r="B4242" s="1127">
        <v>45</v>
      </c>
      <c r="C4242" s="1128">
        <v>0</v>
      </c>
      <c r="D4242" s="1128">
        <v>0</v>
      </c>
      <c r="E4242" s="1126"/>
    </row>
    <row r="4243" spans="1:5" x14ac:dyDescent="0.2">
      <c r="A4243" s="1126" t="s">
        <v>4825</v>
      </c>
      <c r="B4243" s="1127">
        <v>176</v>
      </c>
      <c r="C4243" s="1128">
        <v>82.78</v>
      </c>
      <c r="D4243" s="1128">
        <v>203.75</v>
      </c>
      <c r="E4243" s="1126"/>
    </row>
    <row r="4244" spans="1:5" x14ac:dyDescent="0.2">
      <c r="A4244" s="1126" t="s">
        <v>4826</v>
      </c>
      <c r="B4244" s="1127">
        <v>266</v>
      </c>
      <c r="C4244" s="1128">
        <v>19.73</v>
      </c>
      <c r="D4244" s="1128">
        <v>202.57</v>
      </c>
      <c r="E4244" s="1126"/>
    </row>
    <row r="4245" spans="1:5" x14ac:dyDescent="0.2">
      <c r="A4245" s="1126" t="s">
        <v>4827</v>
      </c>
      <c r="B4245" s="1127">
        <v>134</v>
      </c>
      <c r="C4245" s="1128">
        <v>290.29000000000002</v>
      </c>
      <c r="D4245" s="1128">
        <v>382.4</v>
      </c>
      <c r="E4245" s="1126"/>
    </row>
    <row r="4246" spans="1:5" x14ac:dyDescent="0.2">
      <c r="A4246" s="1126" t="s">
        <v>4828</v>
      </c>
      <c r="B4246" s="1127">
        <v>161</v>
      </c>
      <c r="C4246" s="1128">
        <v>432.83</v>
      </c>
      <c r="D4246" s="1128">
        <v>543.5</v>
      </c>
      <c r="E4246" s="1126"/>
    </row>
    <row r="4247" spans="1:5" x14ac:dyDescent="0.2">
      <c r="A4247" s="1126" t="s">
        <v>4829</v>
      </c>
      <c r="B4247" s="1127">
        <v>41</v>
      </c>
      <c r="C4247" s="1128">
        <v>0</v>
      </c>
      <c r="D4247" s="1128">
        <v>18.690000000000001</v>
      </c>
      <c r="E4247" s="1126"/>
    </row>
    <row r="4248" spans="1:5" x14ac:dyDescent="0.2">
      <c r="A4248" s="1126" t="s">
        <v>4830</v>
      </c>
      <c r="B4248" s="1127">
        <v>57</v>
      </c>
      <c r="C4248" s="1128">
        <v>0</v>
      </c>
      <c r="D4248" s="1128">
        <v>22.5</v>
      </c>
      <c r="E4248" s="1126"/>
    </row>
    <row r="4249" spans="1:5" x14ac:dyDescent="0.2">
      <c r="A4249" s="1126" t="s">
        <v>4831</v>
      </c>
      <c r="B4249" s="1127">
        <v>200</v>
      </c>
      <c r="C4249" s="1128">
        <v>646.99</v>
      </c>
      <c r="D4249" s="1128">
        <v>784.46</v>
      </c>
      <c r="E4249" s="1126"/>
    </row>
    <row r="4250" spans="1:5" x14ac:dyDescent="0.2">
      <c r="A4250" s="1126" t="s">
        <v>4832</v>
      </c>
      <c r="B4250" s="1127">
        <v>76</v>
      </c>
      <c r="C4250" s="1128">
        <v>143.94999999999999</v>
      </c>
      <c r="D4250" s="1128">
        <v>196.19</v>
      </c>
      <c r="E4250" s="1126"/>
    </row>
    <row r="4251" spans="1:5" x14ac:dyDescent="0.2">
      <c r="A4251" s="1126" t="s">
        <v>4833</v>
      </c>
      <c r="B4251" s="1127">
        <v>44</v>
      </c>
      <c r="C4251" s="1128">
        <v>0</v>
      </c>
      <c r="D4251" s="1128">
        <v>0</v>
      </c>
      <c r="E4251" s="1126"/>
    </row>
    <row r="4252" spans="1:5" x14ac:dyDescent="0.2">
      <c r="A4252" s="1126" t="s">
        <v>4834</v>
      </c>
      <c r="B4252" s="1127">
        <v>293</v>
      </c>
      <c r="C4252" s="1128">
        <v>52.11</v>
      </c>
      <c r="D4252" s="1128">
        <v>253.51</v>
      </c>
      <c r="E4252" s="1126"/>
    </row>
    <row r="4253" spans="1:5" x14ac:dyDescent="0.2">
      <c r="A4253" s="1126" t="s">
        <v>4835</v>
      </c>
      <c r="B4253" s="1127">
        <v>85</v>
      </c>
      <c r="C4253" s="1128">
        <v>0</v>
      </c>
      <c r="D4253" s="1128">
        <v>50.47</v>
      </c>
      <c r="E4253" s="1126"/>
    </row>
    <row r="4254" spans="1:5" x14ac:dyDescent="0.2">
      <c r="A4254" s="1126" t="s">
        <v>4836</v>
      </c>
      <c r="B4254" s="1127">
        <v>130</v>
      </c>
      <c r="C4254" s="1128">
        <v>74.91</v>
      </c>
      <c r="D4254" s="1128">
        <v>164.26</v>
      </c>
      <c r="E4254" s="1126"/>
    </row>
    <row r="4255" spans="1:5" x14ac:dyDescent="0.2">
      <c r="A4255" s="1126" t="s">
        <v>4837</v>
      </c>
      <c r="B4255" s="1127">
        <v>257</v>
      </c>
      <c r="C4255" s="1128">
        <v>0</v>
      </c>
      <c r="D4255" s="1128">
        <v>144.66</v>
      </c>
      <c r="E4255" s="1126"/>
    </row>
    <row r="4256" spans="1:5" x14ac:dyDescent="0.2">
      <c r="A4256" s="1126" t="s">
        <v>4838</v>
      </c>
      <c r="B4256" s="1127">
        <v>238</v>
      </c>
      <c r="C4256" s="1128">
        <v>37.9</v>
      </c>
      <c r="D4256" s="1128">
        <v>201.49</v>
      </c>
      <c r="E4256" s="1126"/>
    </row>
    <row r="4257" spans="1:5" x14ac:dyDescent="0.2">
      <c r="A4257" s="1126" t="s">
        <v>4839</v>
      </c>
      <c r="B4257" s="1127">
        <v>121</v>
      </c>
      <c r="C4257" s="1128">
        <v>0</v>
      </c>
      <c r="D4257" s="1128">
        <v>63.44</v>
      </c>
      <c r="E4257" s="1126"/>
    </row>
    <row r="4258" spans="1:5" x14ac:dyDescent="0.2">
      <c r="A4258" s="1126" t="s">
        <v>4840</v>
      </c>
      <c r="B4258" s="1127">
        <v>246</v>
      </c>
      <c r="C4258" s="1128">
        <v>0</v>
      </c>
      <c r="D4258" s="1128">
        <v>60.45</v>
      </c>
      <c r="E4258" s="1126"/>
    </row>
    <row r="4259" spans="1:5" x14ac:dyDescent="0.2">
      <c r="A4259" s="1126" t="s">
        <v>4841</v>
      </c>
      <c r="B4259" s="1127">
        <v>214</v>
      </c>
      <c r="C4259" s="1128">
        <v>0</v>
      </c>
      <c r="D4259" s="1128">
        <v>126.69</v>
      </c>
      <c r="E4259" s="1126"/>
    </row>
    <row r="4260" spans="1:5" x14ac:dyDescent="0.2">
      <c r="A4260" s="1126" t="s">
        <v>4842</v>
      </c>
      <c r="B4260" s="1127">
        <v>206</v>
      </c>
      <c r="C4260" s="1128">
        <v>28.06</v>
      </c>
      <c r="D4260" s="1128">
        <v>169.66</v>
      </c>
      <c r="E4260" s="1126"/>
    </row>
    <row r="4261" spans="1:5" x14ac:dyDescent="0.2">
      <c r="A4261" s="1126" t="s">
        <v>4843</v>
      </c>
      <c r="B4261" s="1127">
        <v>150</v>
      </c>
      <c r="C4261" s="1128">
        <v>394.98</v>
      </c>
      <c r="D4261" s="1128">
        <v>498.08</v>
      </c>
      <c r="E4261" s="1126"/>
    </row>
    <row r="4262" spans="1:5" x14ac:dyDescent="0.2">
      <c r="A4262" s="1126" t="s">
        <v>4844</v>
      </c>
      <c r="B4262" s="1127">
        <v>106</v>
      </c>
      <c r="C4262" s="1128">
        <v>268.99</v>
      </c>
      <c r="D4262" s="1128">
        <v>341.85</v>
      </c>
      <c r="E4262" s="1126"/>
    </row>
    <row r="4263" spans="1:5" x14ac:dyDescent="0.2">
      <c r="A4263" s="1126" t="s">
        <v>4845</v>
      </c>
      <c r="B4263" s="1127">
        <v>160</v>
      </c>
      <c r="C4263" s="1128">
        <v>323.33999999999997</v>
      </c>
      <c r="D4263" s="1128">
        <v>433.32</v>
      </c>
      <c r="E4263" s="1126"/>
    </row>
    <row r="4264" spans="1:5" x14ac:dyDescent="0.2">
      <c r="A4264" s="1126" t="s">
        <v>4846</v>
      </c>
      <c r="B4264" s="1127">
        <v>149</v>
      </c>
      <c r="C4264" s="1128">
        <v>119.26</v>
      </c>
      <c r="D4264" s="1128">
        <v>221.68</v>
      </c>
      <c r="E4264" s="1126"/>
    </row>
    <row r="4265" spans="1:5" x14ac:dyDescent="0.2">
      <c r="A4265" s="1126" t="s">
        <v>4847</v>
      </c>
      <c r="B4265" s="1127">
        <v>340</v>
      </c>
      <c r="C4265" s="1128">
        <v>0</v>
      </c>
      <c r="D4265" s="1128">
        <v>151.59</v>
      </c>
      <c r="E4265" s="1126"/>
    </row>
    <row r="4266" spans="1:5" x14ac:dyDescent="0.2">
      <c r="A4266" s="1126" t="s">
        <v>4848</v>
      </c>
      <c r="B4266" s="1127">
        <v>138</v>
      </c>
      <c r="C4266" s="1128">
        <v>191.75</v>
      </c>
      <c r="D4266" s="1128">
        <v>286.60000000000002</v>
      </c>
      <c r="E4266" s="1126"/>
    </row>
    <row r="4267" spans="1:5" x14ac:dyDescent="0.2">
      <c r="A4267" s="1126" t="s">
        <v>4849</v>
      </c>
      <c r="B4267" s="1127">
        <v>109</v>
      </c>
      <c r="C4267" s="1128">
        <v>12.71</v>
      </c>
      <c r="D4267" s="1128">
        <v>87.63</v>
      </c>
      <c r="E4267" s="1126"/>
    </row>
    <row r="4268" spans="1:5" x14ac:dyDescent="0.2">
      <c r="A4268" s="1126" t="s">
        <v>4850</v>
      </c>
      <c r="B4268" s="1127">
        <v>221</v>
      </c>
      <c r="C4268" s="1128">
        <v>177.8</v>
      </c>
      <c r="D4268" s="1128">
        <v>329.71</v>
      </c>
      <c r="E4268" s="1126"/>
    </row>
    <row r="4269" spans="1:5" x14ac:dyDescent="0.2">
      <c r="A4269" s="1126" t="s">
        <v>4851</v>
      </c>
      <c r="B4269" s="1127">
        <v>262</v>
      </c>
      <c r="C4269" s="1128">
        <v>0</v>
      </c>
      <c r="D4269" s="1128">
        <v>54.19</v>
      </c>
      <c r="E4269" s="1126"/>
    </row>
    <row r="4270" spans="1:5" x14ac:dyDescent="0.2">
      <c r="A4270" s="1126" t="s">
        <v>4852</v>
      </c>
      <c r="B4270" s="1127">
        <v>45</v>
      </c>
      <c r="C4270" s="1128">
        <v>66.81</v>
      </c>
      <c r="D4270" s="1128">
        <v>97.74</v>
      </c>
      <c r="E4270" s="1126"/>
    </row>
    <row r="4271" spans="1:5" x14ac:dyDescent="0.2">
      <c r="A4271" s="1126" t="s">
        <v>4853</v>
      </c>
      <c r="B4271" s="1127">
        <v>109</v>
      </c>
      <c r="C4271" s="1128">
        <v>0</v>
      </c>
      <c r="D4271" s="1128">
        <v>24.72</v>
      </c>
      <c r="E4271" s="1126"/>
    </row>
    <row r="4272" spans="1:5" x14ac:dyDescent="0.2">
      <c r="A4272" s="1126" t="s">
        <v>4854</v>
      </c>
      <c r="B4272" s="1127">
        <v>133</v>
      </c>
      <c r="C4272" s="1128">
        <v>23.84</v>
      </c>
      <c r="D4272" s="1128">
        <v>115.25</v>
      </c>
      <c r="E4272" s="1126"/>
    </row>
    <row r="4273" spans="1:5" x14ac:dyDescent="0.2">
      <c r="A4273" s="1126" t="s">
        <v>4855</v>
      </c>
      <c r="B4273" s="1127">
        <v>76</v>
      </c>
      <c r="C4273" s="1128">
        <v>0</v>
      </c>
      <c r="D4273" s="1128">
        <v>48.51</v>
      </c>
      <c r="E4273" s="1126"/>
    </row>
    <row r="4274" spans="1:5" x14ac:dyDescent="0.2">
      <c r="A4274" s="1126" t="s">
        <v>4856</v>
      </c>
      <c r="B4274" s="1127">
        <v>104</v>
      </c>
      <c r="C4274" s="1128">
        <v>151.38999999999999</v>
      </c>
      <c r="D4274" s="1128">
        <v>222.87</v>
      </c>
      <c r="E4274" s="1126"/>
    </row>
    <row r="4275" spans="1:5" x14ac:dyDescent="0.2">
      <c r="A4275" s="1126" t="s">
        <v>4857</v>
      </c>
      <c r="B4275" s="1127">
        <v>231</v>
      </c>
      <c r="C4275" s="1128">
        <v>0</v>
      </c>
      <c r="D4275" s="1128">
        <v>0</v>
      </c>
      <c r="E4275" s="1126"/>
    </row>
    <row r="4276" spans="1:5" x14ac:dyDescent="0.2">
      <c r="A4276" s="1126" t="s">
        <v>4858</v>
      </c>
      <c r="B4276" s="1127">
        <v>244</v>
      </c>
      <c r="C4276" s="1128">
        <v>63.23</v>
      </c>
      <c r="D4276" s="1128">
        <v>230.95</v>
      </c>
      <c r="E4276" s="1126"/>
    </row>
    <row r="4277" spans="1:5" x14ac:dyDescent="0.2">
      <c r="A4277" s="1126" t="s">
        <v>4859</v>
      </c>
      <c r="B4277" s="1127">
        <v>253</v>
      </c>
      <c r="C4277" s="1128">
        <v>275.39</v>
      </c>
      <c r="D4277" s="1128">
        <v>449.29</v>
      </c>
      <c r="E4277" s="1126"/>
    </row>
    <row r="4278" spans="1:5" x14ac:dyDescent="0.2">
      <c r="A4278" s="1126" t="s">
        <v>4860</v>
      </c>
      <c r="B4278" s="1127">
        <v>143</v>
      </c>
      <c r="C4278" s="1128">
        <v>55.43</v>
      </c>
      <c r="D4278" s="1128">
        <v>153.72999999999999</v>
      </c>
      <c r="E4278" s="1126"/>
    </row>
    <row r="4279" spans="1:5" x14ac:dyDescent="0.2">
      <c r="A4279" s="1126" t="s">
        <v>4861</v>
      </c>
      <c r="B4279" s="1127">
        <v>226</v>
      </c>
      <c r="C4279" s="1128">
        <v>0</v>
      </c>
      <c r="D4279" s="1128">
        <v>93.41</v>
      </c>
      <c r="E4279" s="1126"/>
    </row>
    <row r="4280" spans="1:5" x14ac:dyDescent="0.2">
      <c r="A4280" s="1126" t="s">
        <v>4862</v>
      </c>
      <c r="B4280" s="1127">
        <v>256</v>
      </c>
      <c r="C4280" s="1128">
        <v>170.96</v>
      </c>
      <c r="D4280" s="1128">
        <v>346.92</v>
      </c>
      <c r="E4280" s="1126"/>
    </row>
    <row r="4281" spans="1:5" x14ac:dyDescent="0.2">
      <c r="A4281" s="1126" t="s">
        <v>4863</v>
      </c>
      <c r="B4281" s="1127">
        <v>79</v>
      </c>
      <c r="C4281" s="1128">
        <v>0</v>
      </c>
      <c r="D4281" s="1128">
        <v>24.27</v>
      </c>
      <c r="E4281" s="1126"/>
    </row>
    <row r="4282" spans="1:5" x14ac:dyDescent="0.2">
      <c r="A4282" s="1126" t="s">
        <v>4864</v>
      </c>
      <c r="B4282" s="1127">
        <v>206</v>
      </c>
      <c r="C4282" s="1128">
        <v>0</v>
      </c>
      <c r="D4282" s="1128">
        <v>46.09</v>
      </c>
      <c r="E4282" s="1126"/>
    </row>
    <row r="4283" spans="1:5" x14ac:dyDescent="0.2">
      <c r="A4283" s="1126" t="s">
        <v>4865</v>
      </c>
      <c r="B4283" s="1127">
        <v>181</v>
      </c>
      <c r="C4283" s="1128">
        <v>0</v>
      </c>
      <c r="D4283" s="1128">
        <v>36.130000000000003</v>
      </c>
      <c r="E4283" s="1126"/>
    </row>
    <row r="4284" spans="1:5" x14ac:dyDescent="0.2">
      <c r="A4284" s="1126" t="s">
        <v>4866</v>
      </c>
      <c r="B4284" s="1127">
        <v>147</v>
      </c>
      <c r="C4284" s="1128">
        <v>131.47</v>
      </c>
      <c r="D4284" s="1128">
        <v>232.51</v>
      </c>
      <c r="E4284" s="1126"/>
    </row>
    <row r="4285" spans="1:5" x14ac:dyDescent="0.2">
      <c r="A4285" s="1126" t="s">
        <v>4867</v>
      </c>
      <c r="B4285" s="1127">
        <v>58</v>
      </c>
      <c r="C4285" s="1128">
        <v>127.71</v>
      </c>
      <c r="D4285" s="1128">
        <v>167.58</v>
      </c>
      <c r="E4285" s="1126"/>
    </row>
    <row r="4286" spans="1:5" x14ac:dyDescent="0.2">
      <c r="A4286" s="1126" t="s">
        <v>4868</v>
      </c>
      <c r="B4286" s="1127">
        <v>326</v>
      </c>
      <c r="C4286" s="1128">
        <v>0</v>
      </c>
      <c r="D4286" s="1128">
        <v>168.5</v>
      </c>
      <c r="E4286" s="1126"/>
    </row>
    <row r="4287" spans="1:5" x14ac:dyDescent="0.2">
      <c r="A4287" s="1126" t="s">
        <v>4869</v>
      </c>
      <c r="B4287" s="1127">
        <v>200</v>
      </c>
      <c r="C4287" s="1128">
        <v>90.09</v>
      </c>
      <c r="D4287" s="1128">
        <v>227.57</v>
      </c>
      <c r="E4287" s="1126"/>
    </row>
    <row r="4288" spans="1:5" x14ac:dyDescent="0.2">
      <c r="A4288" s="1126" t="s">
        <v>4870</v>
      </c>
      <c r="B4288" s="1127">
        <v>139</v>
      </c>
      <c r="C4288" s="1128">
        <v>295.32</v>
      </c>
      <c r="D4288" s="1128">
        <v>390.87</v>
      </c>
      <c r="E4288" s="1126"/>
    </row>
    <row r="4289" spans="1:5" x14ac:dyDescent="0.2">
      <c r="A4289" s="1126" t="s">
        <v>4871</v>
      </c>
      <c r="B4289" s="1127">
        <v>485</v>
      </c>
      <c r="C4289" s="1128">
        <v>0</v>
      </c>
      <c r="D4289" s="1128">
        <v>130.52000000000001</v>
      </c>
      <c r="E4289" s="1126"/>
    </row>
    <row r="4290" spans="1:5" x14ac:dyDescent="0.2">
      <c r="A4290" s="1126" t="s">
        <v>4872</v>
      </c>
      <c r="B4290" s="1127">
        <v>60</v>
      </c>
      <c r="C4290" s="1128">
        <v>0</v>
      </c>
      <c r="D4290" s="1128">
        <v>11.46</v>
      </c>
      <c r="E4290" s="1126"/>
    </row>
    <row r="4291" spans="1:5" x14ac:dyDescent="0.2">
      <c r="A4291" s="1126" t="s">
        <v>4873</v>
      </c>
      <c r="B4291" s="1127">
        <v>154</v>
      </c>
      <c r="C4291" s="1128">
        <v>0.64</v>
      </c>
      <c r="D4291" s="1128">
        <v>106.5</v>
      </c>
      <c r="E4291" s="1126"/>
    </row>
    <row r="4292" spans="1:5" x14ac:dyDescent="0.2">
      <c r="A4292" s="1126" t="s">
        <v>4874</v>
      </c>
      <c r="B4292" s="1127">
        <v>427</v>
      </c>
      <c r="C4292" s="1128">
        <v>0</v>
      </c>
      <c r="D4292" s="1128">
        <v>55.32</v>
      </c>
      <c r="E4292" s="1126"/>
    </row>
    <row r="4293" spans="1:5" x14ac:dyDescent="0.2">
      <c r="A4293" s="1126" t="s">
        <v>4875</v>
      </c>
      <c r="B4293" s="1127">
        <v>364</v>
      </c>
      <c r="C4293" s="1128">
        <v>0</v>
      </c>
      <c r="D4293" s="1128">
        <v>100.9</v>
      </c>
      <c r="E4293" s="1126"/>
    </row>
    <row r="4294" spans="1:5" x14ac:dyDescent="0.2">
      <c r="A4294" s="1126" t="s">
        <v>4876</v>
      </c>
      <c r="B4294" s="1127">
        <v>152</v>
      </c>
      <c r="C4294" s="1128">
        <v>3.2</v>
      </c>
      <c r="D4294" s="1128">
        <v>107.68</v>
      </c>
      <c r="E4294" s="1126"/>
    </row>
    <row r="4295" spans="1:5" x14ac:dyDescent="0.2">
      <c r="A4295" s="1126" t="s">
        <v>4877</v>
      </c>
      <c r="B4295" s="1127">
        <v>281</v>
      </c>
      <c r="C4295" s="1128">
        <v>0</v>
      </c>
      <c r="D4295" s="1128">
        <v>110.99</v>
      </c>
      <c r="E4295" s="1126"/>
    </row>
    <row r="4296" spans="1:5" x14ac:dyDescent="0.2">
      <c r="A4296" s="1126" t="s">
        <v>4878</v>
      </c>
      <c r="B4296" s="1127">
        <v>44</v>
      </c>
      <c r="C4296" s="1128">
        <v>4.79</v>
      </c>
      <c r="D4296" s="1128">
        <v>35.03</v>
      </c>
      <c r="E4296" s="1126"/>
    </row>
    <row r="4297" spans="1:5" x14ac:dyDescent="0.2">
      <c r="A4297" s="1126" t="s">
        <v>4879</v>
      </c>
      <c r="B4297" s="1127">
        <v>360</v>
      </c>
      <c r="C4297" s="1128">
        <v>0</v>
      </c>
      <c r="D4297" s="1128">
        <v>97.6</v>
      </c>
      <c r="E4297" s="1126"/>
    </row>
    <row r="4298" spans="1:5" x14ac:dyDescent="0.2">
      <c r="A4298" s="1126" t="s">
        <v>4880</v>
      </c>
      <c r="B4298" s="1127">
        <v>76</v>
      </c>
      <c r="C4298" s="1128">
        <v>140.43</v>
      </c>
      <c r="D4298" s="1128">
        <v>192.67</v>
      </c>
      <c r="E4298" s="1126"/>
    </row>
    <row r="4299" spans="1:5" x14ac:dyDescent="0.2">
      <c r="A4299" s="1126" t="s">
        <v>4881</v>
      </c>
      <c r="B4299" s="1127">
        <v>444</v>
      </c>
      <c r="C4299" s="1128">
        <v>0</v>
      </c>
      <c r="D4299" s="1128">
        <v>30.21</v>
      </c>
      <c r="E4299" s="1126"/>
    </row>
    <row r="4300" spans="1:5" x14ac:dyDescent="0.2">
      <c r="A4300" s="1126" t="s">
        <v>4882</v>
      </c>
      <c r="B4300" s="1127">
        <v>197</v>
      </c>
      <c r="C4300" s="1128">
        <v>518.49</v>
      </c>
      <c r="D4300" s="1128">
        <v>653.9</v>
      </c>
      <c r="E4300" s="1126"/>
    </row>
    <row r="4301" spans="1:5" x14ac:dyDescent="0.2">
      <c r="A4301" s="1126" t="s">
        <v>4883</v>
      </c>
      <c r="B4301" s="1127">
        <v>149</v>
      </c>
      <c r="C4301" s="1128">
        <v>209.71</v>
      </c>
      <c r="D4301" s="1128">
        <v>312.12</v>
      </c>
      <c r="E4301" s="1126"/>
    </row>
    <row r="4302" spans="1:5" x14ac:dyDescent="0.2">
      <c r="A4302" s="1126" t="s">
        <v>4884</v>
      </c>
      <c r="B4302" s="1127">
        <v>223</v>
      </c>
      <c r="C4302" s="1128">
        <v>85.87</v>
      </c>
      <c r="D4302" s="1128">
        <v>239.15</v>
      </c>
      <c r="E4302" s="1126"/>
    </row>
    <row r="4303" spans="1:5" x14ac:dyDescent="0.2">
      <c r="A4303" s="1126" t="s">
        <v>4885</v>
      </c>
      <c r="B4303" s="1127">
        <v>247</v>
      </c>
      <c r="C4303" s="1128">
        <v>135.41999999999999</v>
      </c>
      <c r="D4303" s="1128">
        <v>305.2</v>
      </c>
      <c r="E4303" s="1126"/>
    </row>
    <row r="4304" spans="1:5" x14ac:dyDescent="0.2">
      <c r="A4304" s="1126" t="s">
        <v>4886</v>
      </c>
      <c r="B4304" s="1127">
        <v>203</v>
      </c>
      <c r="C4304" s="1128">
        <v>0</v>
      </c>
      <c r="D4304" s="1128">
        <v>81.75</v>
      </c>
      <c r="E4304" s="1126"/>
    </row>
    <row r="4305" spans="1:5" x14ac:dyDescent="0.2">
      <c r="A4305" s="1126" t="s">
        <v>4887</v>
      </c>
      <c r="B4305" s="1127">
        <v>532</v>
      </c>
      <c r="C4305" s="1128">
        <v>0</v>
      </c>
      <c r="D4305" s="1128">
        <v>293.58999999999997</v>
      </c>
      <c r="E4305" s="1126"/>
    </row>
    <row r="4306" spans="1:5" x14ac:dyDescent="0.2">
      <c r="A4306" s="1126" t="s">
        <v>4888</v>
      </c>
      <c r="B4306" s="1127">
        <v>82</v>
      </c>
      <c r="C4306" s="1128">
        <v>89.82</v>
      </c>
      <c r="D4306" s="1128">
        <v>146.19</v>
      </c>
      <c r="E4306" s="1126"/>
    </row>
    <row r="4307" spans="1:5" x14ac:dyDescent="0.2">
      <c r="A4307" s="1126" t="s">
        <v>4889</v>
      </c>
      <c r="B4307" s="1127">
        <v>185</v>
      </c>
      <c r="C4307" s="1128">
        <v>191.3</v>
      </c>
      <c r="D4307" s="1128">
        <v>318.45999999999998</v>
      </c>
      <c r="E4307" s="1126"/>
    </row>
    <row r="4308" spans="1:5" x14ac:dyDescent="0.2">
      <c r="A4308" s="1126" t="s">
        <v>4890</v>
      </c>
      <c r="B4308" s="1127">
        <v>84</v>
      </c>
      <c r="C4308" s="1128">
        <v>0</v>
      </c>
      <c r="D4308" s="1128">
        <v>50.46</v>
      </c>
      <c r="E4308" s="1126"/>
    </row>
    <row r="4309" spans="1:5" x14ac:dyDescent="0.2">
      <c r="A4309" s="1126" t="s">
        <v>4891</v>
      </c>
      <c r="B4309" s="1127">
        <v>558</v>
      </c>
      <c r="C4309" s="1128">
        <v>0</v>
      </c>
      <c r="D4309" s="1128">
        <v>159.54</v>
      </c>
      <c r="E4309" s="1126"/>
    </row>
    <row r="4310" spans="1:5" x14ac:dyDescent="0.2">
      <c r="A4310" s="1126" t="s">
        <v>4892</v>
      </c>
      <c r="B4310" s="1127">
        <v>140</v>
      </c>
      <c r="C4310" s="1128">
        <v>0</v>
      </c>
      <c r="D4310" s="1128">
        <v>45.98</v>
      </c>
      <c r="E4310" s="1126"/>
    </row>
    <row r="4311" spans="1:5" x14ac:dyDescent="0.2">
      <c r="A4311" s="1126" t="s">
        <v>4893</v>
      </c>
      <c r="B4311" s="1127">
        <v>164</v>
      </c>
      <c r="C4311" s="1128">
        <v>66.510000000000005</v>
      </c>
      <c r="D4311" s="1128">
        <v>179.24</v>
      </c>
      <c r="E4311" s="1126"/>
    </row>
    <row r="4312" spans="1:5" x14ac:dyDescent="0.2">
      <c r="A4312" s="1126" t="s">
        <v>4894</v>
      </c>
      <c r="B4312" s="1127">
        <v>307</v>
      </c>
      <c r="C4312" s="1128">
        <v>0</v>
      </c>
      <c r="D4312" s="1128">
        <v>121.68</v>
      </c>
      <c r="E4312" s="1126"/>
    </row>
    <row r="4313" spans="1:5" x14ac:dyDescent="0.2">
      <c r="A4313" s="1126" t="s">
        <v>4895</v>
      </c>
      <c r="B4313" s="1127">
        <v>164</v>
      </c>
      <c r="C4313" s="1128">
        <v>123.3</v>
      </c>
      <c r="D4313" s="1128">
        <v>236.03</v>
      </c>
      <c r="E4313" s="1126"/>
    </row>
    <row r="4314" spans="1:5" x14ac:dyDescent="0.2">
      <c r="A4314" s="1126" t="s">
        <v>4896</v>
      </c>
      <c r="B4314" s="1127">
        <v>288</v>
      </c>
      <c r="C4314" s="1128">
        <v>0</v>
      </c>
      <c r="D4314" s="1128">
        <v>30.98</v>
      </c>
      <c r="E4314" s="1126"/>
    </row>
    <row r="4315" spans="1:5" x14ac:dyDescent="0.2">
      <c r="A4315" s="1126" t="s">
        <v>4897</v>
      </c>
      <c r="B4315" s="1127">
        <v>136</v>
      </c>
      <c r="C4315" s="1128">
        <v>8.19</v>
      </c>
      <c r="D4315" s="1128">
        <v>101.68</v>
      </c>
      <c r="E4315" s="1126"/>
    </row>
    <row r="4316" spans="1:5" x14ac:dyDescent="0.2">
      <c r="A4316" s="1126" t="s">
        <v>4898</v>
      </c>
      <c r="B4316" s="1127">
        <v>504</v>
      </c>
      <c r="C4316" s="1128">
        <v>123.8</v>
      </c>
      <c r="D4316" s="1128">
        <v>470.23</v>
      </c>
      <c r="E4316" s="1126"/>
    </row>
    <row r="4317" spans="1:5" x14ac:dyDescent="0.2">
      <c r="A4317" s="1126" t="s">
        <v>4899</v>
      </c>
      <c r="B4317" s="1127">
        <v>548</v>
      </c>
      <c r="C4317" s="1128">
        <v>485.93</v>
      </c>
      <c r="D4317" s="1128">
        <v>862.6</v>
      </c>
      <c r="E4317" s="1126"/>
    </row>
    <row r="4318" spans="1:5" x14ac:dyDescent="0.2">
      <c r="A4318" s="1126" t="s">
        <v>4900</v>
      </c>
      <c r="B4318" s="1127">
        <v>230</v>
      </c>
      <c r="C4318" s="1128">
        <v>0</v>
      </c>
      <c r="D4318" s="1128">
        <v>44.35</v>
      </c>
      <c r="E4318" s="1126"/>
    </row>
    <row r="4319" spans="1:5" x14ac:dyDescent="0.2">
      <c r="A4319" s="1126" t="s">
        <v>4901</v>
      </c>
      <c r="B4319" s="1127">
        <v>145</v>
      </c>
      <c r="C4319" s="1128">
        <v>90.11</v>
      </c>
      <c r="D4319" s="1128">
        <v>189.77</v>
      </c>
      <c r="E4319" s="1126"/>
    </row>
    <row r="4320" spans="1:5" x14ac:dyDescent="0.2">
      <c r="A4320" s="1126" t="s">
        <v>4902</v>
      </c>
      <c r="B4320" s="1127">
        <v>110</v>
      </c>
      <c r="C4320" s="1128">
        <v>0</v>
      </c>
      <c r="D4320" s="1128">
        <v>22.14</v>
      </c>
      <c r="E4320" s="1126"/>
    </row>
    <row r="4321" spans="1:5" x14ac:dyDescent="0.2">
      <c r="A4321" s="1126" t="s">
        <v>4903</v>
      </c>
      <c r="B4321" s="1127">
        <v>234</v>
      </c>
      <c r="C4321" s="1128">
        <v>96.9</v>
      </c>
      <c r="D4321" s="1128">
        <v>257.74</v>
      </c>
      <c r="E4321" s="1126"/>
    </row>
    <row r="4322" spans="1:5" x14ac:dyDescent="0.2">
      <c r="A4322" s="1126" t="s">
        <v>4904</v>
      </c>
      <c r="B4322" s="1127">
        <v>329</v>
      </c>
      <c r="C4322" s="1128">
        <v>826.27</v>
      </c>
      <c r="D4322" s="1128">
        <v>1052.4100000000001</v>
      </c>
      <c r="E4322" s="1126"/>
    </row>
    <row r="4323" spans="1:5" x14ac:dyDescent="0.2">
      <c r="A4323" s="1126" t="s">
        <v>4905</v>
      </c>
      <c r="B4323" s="1127">
        <v>378</v>
      </c>
      <c r="C4323" s="1128">
        <v>2.5</v>
      </c>
      <c r="D4323" s="1128">
        <v>262.33</v>
      </c>
      <c r="E4323" s="1126"/>
    </row>
    <row r="4324" spans="1:5" x14ac:dyDescent="0.2">
      <c r="A4324" s="1126" t="s">
        <v>4906</v>
      </c>
      <c r="B4324" s="1127">
        <v>344</v>
      </c>
      <c r="C4324" s="1128">
        <v>266.10000000000002</v>
      </c>
      <c r="D4324" s="1128">
        <v>502.56</v>
      </c>
      <c r="E4324" s="1126"/>
    </row>
    <row r="4325" spans="1:5" x14ac:dyDescent="0.2">
      <c r="A4325" s="1126" t="s">
        <v>4907</v>
      </c>
      <c r="B4325" s="1127">
        <v>89</v>
      </c>
      <c r="C4325" s="1128">
        <v>0</v>
      </c>
      <c r="D4325" s="1128">
        <v>26.75</v>
      </c>
      <c r="E4325" s="1126"/>
    </row>
    <row r="4326" spans="1:5" x14ac:dyDescent="0.2">
      <c r="A4326" s="1126" t="s">
        <v>4908</v>
      </c>
      <c r="B4326" s="1127">
        <v>245</v>
      </c>
      <c r="C4326" s="1128">
        <v>684.81</v>
      </c>
      <c r="D4326" s="1128">
        <v>853.21</v>
      </c>
      <c r="E4326" s="1126"/>
    </row>
    <row r="4327" spans="1:5" x14ac:dyDescent="0.2">
      <c r="A4327" s="1126" t="s">
        <v>4909</v>
      </c>
      <c r="B4327" s="1127">
        <v>164</v>
      </c>
      <c r="C4327" s="1128">
        <v>60.06</v>
      </c>
      <c r="D4327" s="1128">
        <v>172.79</v>
      </c>
      <c r="E4327" s="1126"/>
    </row>
    <row r="4328" spans="1:5" x14ac:dyDescent="0.2">
      <c r="A4328" s="1126" t="s">
        <v>4910</v>
      </c>
      <c r="B4328" s="1127">
        <v>449</v>
      </c>
      <c r="C4328" s="1128">
        <v>318.82</v>
      </c>
      <c r="D4328" s="1128">
        <v>627.44000000000005</v>
      </c>
      <c r="E4328" s="1126"/>
    </row>
    <row r="4329" spans="1:5" x14ac:dyDescent="0.2">
      <c r="A4329" s="1126" t="s">
        <v>4911</v>
      </c>
      <c r="B4329" s="1127">
        <v>39</v>
      </c>
      <c r="C4329" s="1128">
        <v>0</v>
      </c>
      <c r="D4329" s="1128">
        <v>21.66</v>
      </c>
      <c r="E4329" s="1126" t="s">
        <v>669</v>
      </c>
    </row>
    <row r="4330" spans="1:5" x14ac:dyDescent="0.2">
      <c r="A4330" s="1126" t="s">
        <v>4912</v>
      </c>
      <c r="B4330" s="1127">
        <v>189</v>
      </c>
      <c r="C4330" s="1128">
        <v>130.56</v>
      </c>
      <c r="D4330" s="1128">
        <v>260.47000000000003</v>
      </c>
      <c r="E4330" s="1126"/>
    </row>
    <row r="4331" spans="1:5" x14ac:dyDescent="0.2">
      <c r="A4331" s="1126" t="s">
        <v>4913</v>
      </c>
      <c r="B4331" s="1127">
        <v>143</v>
      </c>
      <c r="C4331" s="1128">
        <v>277.02999999999997</v>
      </c>
      <c r="D4331" s="1128">
        <v>375.32</v>
      </c>
      <c r="E4331" s="1126"/>
    </row>
    <row r="4332" spans="1:5" x14ac:dyDescent="0.2">
      <c r="A4332" s="1126" t="s">
        <v>4914</v>
      </c>
      <c r="B4332" s="1127">
        <v>211</v>
      </c>
      <c r="C4332" s="1128">
        <v>290.20999999999998</v>
      </c>
      <c r="D4332" s="1128">
        <v>435.24</v>
      </c>
      <c r="E4332" s="1126"/>
    </row>
    <row r="4333" spans="1:5" x14ac:dyDescent="0.2">
      <c r="A4333" s="1126" t="s">
        <v>4915</v>
      </c>
      <c r="B4333" s="1127">
        <v>210</v>
      </c>
      <c r="C4333" s="1128">
        <v>0</v>
      </c>
      <c r="D4333" s="1128">
        <v>46.29</v>
      </c>
      <c r="E4333" s="1126"/>
    </row>
    <row r="4334" spans="1:5" x14ac:dyDescent="0.2">
      <c r="A4334" s="1126" t="s">
        <v>4916</v>
      </c>
      <c r="B4334" s="1127">
        <v>235</v>
      </c>
      <c r="C4334" s="1128">
        <v>143.44</v>
      </c>
      <c r="D4334" s="1128">
        <v>304.97000000000003</v>
      </c>
      <c r="E4334" s="1126"/>
    </row>
    <row r="4335" spans="1:5" x14ac:dyDescent="0.2">
      <c r="A4335" s="1126" t="s">
        <v>4917</v>
      </c>
      <c r="B4335" s="1127">
        <v>350</v>
      </c>
      <c r="C4335" s="1128">
        <v>0</v>
      </c>
      <c r="D4335" s="1128">
        <v>155.04</v>
      </c>
      <c r="E4335" s="1126"/>
    </row>
    <row r="4336" spans="1:5" x14ac:dyDescent="0.2">
      <c r="A4336" s="1126" t="s">
        <v>4918</v>
      </c>
      <c r="B4336" s="1127">
        <v>233</v>
      </c>
      <c r="C4336" s="1128">
        <v>0</v>
      </c>
      <c r="D4336" s="1128">
        <v>152.06</v>
      </c>
      <c r="E4336" s="1126"/>
    </row>
    <row r="4337" spans="1:5" x14ac:dyDescent="0.2">
      <c r="A4337" s="1126" t="s">
        <v>4919</v>
      </c>
      <c r="B4337" s="1127">
        <v>110</v>
      </c>
      <c r="C4337" s="1128">
        <v>0</v>
      </c>
      <c r="D4337" s="1128">
        <v>63.3</v>
      </c>
      <c r="E4337" s="1126"/>
    </row>
    <row r="4338" spans="1:5" x14ac:dyDescent="0.2">
      <c r="A4338" s="1126" t="s">
        <v>4920</v>
      </c>
      <c r="B4338" s="1127">
        <v>98</v>
      </c>
      <c r="C4338" s="1128">
        <v>9.5500000000000007</v>
      </c>
      <c r="D4338" s="1128">
        <v>76.91</v>
      </c>
      <c r="E4338" s="1126"/>
    </row>
    <row r="4339" spans="1:5" x14ac:dyDescent="0.2">
      <c r="A4339" s="1126" t="s">
        <v>4921</v>
      </c>
      <c r="B4339" s="1127">
        <v>210</v>
      </c>
      <c r="C4339" s="1128">
        <v>69.349999999999994</v>
      </c>
      <c r="D4339" s="1128">
        <v>213.69</v>
      </c>
      <c r="E4339" s="1126"/>
    </row>
    <row r="4340" spans="1:5" x14ac:dyDescent="0.2">
      <c r="A4340" s="1126" t="s">
        <v>4922</v>
      </c>
      <c r="B4340" s="1127">
        <v>59</v>
      </c>
      <c r="C4340" s="1128">
        <v>0</v>
      </c>
      <c r="D4340" s="1128">
        <v>10.34</v>
      </c>
      <c r="E4340" s="1126"/>
    </row>
    <row r="4341" spans="1:5" x14ac:dyDescent="0.2">
      <c r="A4341" s="1126" t="s">
        <v>4923</v>
      </c>
      <c r="B4341" s="1127">
        <v>196</v>
      </c>
      <c r="C4341" s="1128">
        <v>13.84</v>
      </c>
      <c r="D4341" s="1128">
        <v>148.56</v>
      </c>
      <c r="E4341" s="1126"/>
    </row>
    <row r="4342" spans="1:5" x14ac:dyDescent="0.2">
      <c r="A4342" s="1126" t="s">
        <v>4924</v>
      </c>
      <c r="B4342" s="1127">
        <v>249</v>
      </c>
      <c r="C4342" s="1128">
        <v>516.78</v>
      </c>
      <c r="D4342" s="1128">
        <v>687.93</v>
      </c>
      <c r="E4342" s="1126"/>
    </row>
    <row r="4343" spans="1:5" x14ac:dyDescent="0.2">
      <c r="A4343" s="1126" t="s">
        <v>4925</v>
      </c>
      <c r="B4343" s="1127">
        <v>78</v>
      </c>
      <c r="C4343" s="1128">
        <v>52.56</v>
      </c>
      <c r="D4343" s="1128">
        <v>106.18</v>
      </c>
      <c r="E4343" s="1126"/>
    </row>
    <row r="4344" spans="1:5" x14ac:dyDescent="0.2">
      <c r="A4344" s="1126" t="s">
        <v>4926</v>
      </c>
      <c r="B4344" s="1127">
        <v>395</v>
      </c>
      <c r="C4344" s="1128">
        <v>0</v>
      </c>
      <c r="D4344" s="1128">
        <v>51.03</v>
      </c>
      <c r="E4344" s="1126"/>
    </row>
    <row r="4345" spans="1:5" x14ac:dyDescent="0.2">
      <c r="A4345" s="1126" t="s">
        <v>4927</v>
      </c>
      <c r="B4345" s="1127">
        <v>345</v>
      </c>
      <c r="C4345" s="1128">
        <v>180.63</v>
      </c>
      <c r="D4345" s="1128">
        <v>417.77</v>
      </c>
      <c r="E4345" s="1126"/>
    </row>
    <row r="4346" spans="1:5" x14ac:dyDescent="0.2">
      <c r="A4346" s="1126" t="s">
        <v>4928</v>
      </c>
      <c r="B4346" s="1127">
        <v>119</v>
      </c>
      <c r="C4346" s="1128">
        <v>502.69</v>
      </c>
      <c r="D4346" s="1128">
        <v>584.49</v>
      </c>
      <c r="E4346" s="1126"/>
    </row>
    <row r="4347" spans="1:5" x14ac:dyDescent="0.2">
      <c r="A4347" s="1126" t="s">
        <v>4929</v>
      </c>
      <c r="B4347" s="1127">
        <v>162</v>
      </c>
      <c r="C4347" s="1128">
        <v>410.03</v>
      </c>
      <c r="D4347" s="1128">
        <v>521.38</v>
      </c>
      <c r="E4347" s="1126"/>
    </row>
    <row r="4348" spans="1:5" x14ac:dyDescent="0.2">
      <c r="A4348" s="1126" t="s">
        <v>4930</v>
      </c>
      <c r="B4348" s="1127">
        <v>520</v>
      </c>
      <c r="C4348" s="1128">
        <v>0</v>
      </c>
      <c r="D4348" s="1128">
        <v>229.03</v>
      </c>
      <c r="E4348" s="1126"/>
    </row>
    <row r="4349" spans="1:5" x14ac:dyDescent="0.2">
      <c r="A4349" s="1126" t="s">
        <v>4931</v>
      </c>
      <c r="B4349" s="1127">
        <v>206</v>
      </c>
      <c r="C4349" s="1128">
        <v>63.82</v>
      </c>
      <c r="D4349" s="1128">
        <v>205.42</v>
      </c>
      <c r="E4349" s="1126"/>
    </row>
    <row r="4350" spans="1:5" x14ac:dyDescent="0.2">
      <c r="A4350" s="1126" t="s">
        <v>4932</v>
      </c>
      <c r="B4350" s="1127">
        <v>328</v>
      </c>
      <c r="C4350" s="1128">
        <v>0</v>
      </c>
      <c r="D4350" s="1128">
        <v>122.16</v>
      </c>
      <c r="E4350" s="1126"/>
    </row>
    <row r="4351" spans="1:5" x14ac:dyDescent="0.2">
      <c r="A4351" s="1126" t="s">
        <v>4933</v>
      </c>
      <c r="B4351" s="1127">
        <v>601</v>
      </c>
      <c r="C4351" s="1128">
        <v>0</v>
      </c>
      <c r="D4351" s="1128">
        <v>352.73</v>
      </c>
      <c r="E4351" s="1126"/>
    </row>
    <row r="4352" spans="1:5" x14ac:dyDescent="0.2">
      <c r="A4352" s="1126" t="s">
        <v>4934</v>
      </c>
      <c r="B4352" s="1127">
        <v>40</v>
      </c>
      <c r="C4352" s="1128">
        <v>8.17</v>
      </c>
      <c r="D4352" s="1128">
        <v>35.67</v>
      </c>
      <c r="E4352" s="1126" t="s">
        <v>669</v>
      </c>
    </row>
    <row r="4353" spans="1:5" x14ac:dyDescent="0.2">
      <c r="A4353" s="1126" t="s">
        <v>4935</v>
      </c>
      <c r="B4353" s="1127">
        <v>241</v>
      </c>
      <c r="C4353" s="1128">
        <v>403.27</v>
      </c>
      <c r="D4353" s="1128">
        <v>568.91999999999996</v>
      </c>
      <c r="E4353" s="1126"/>
    </row>
    <row r="4354" spans="1:5" x14ac:dyDescent="0.2">
      <c r="A4354" s="1126" t="s">
        <v>4936</v>
      </c>
      <c r="B4354" s="1127">
        <v>71</v>
      </c>
      <c r="C4354" s="1128">
        <v>0</v>
      </c>
      <c r="D4354" s="1128">
        <v>9.2200000000000006</v>
      </c>
      <c r="E4354" s="1126"/>
    </row>
    <row r="4355" spans="1:5" x14ac:dyDescent="0.2">
      <c r="A4355" s="1126" t="s">
        <v>4937</v>
      </c>
      <c r="B4355" s="1127">
        <v>529</v>
      </c>
      <c r="C4355" s="1128">
        <v>0</v>
      </c>
      <c r="D4355" s="1128">
        <v>309.44</v>
      </c>
      <c r="E4355" s="1126"/>
    </row>
    <row r="4356" spans="1:5" x14ac:dyDescent="0.2">
      <c r="A4356" s="1126" t="s">
        <v>4938</v>
      </c>
      <c r="B4356" s="1127">
        <v>11</v>
      </c>
      <c r="C4356" s="1128">
        <v>3.38</v>
      </c>
      <c r="D4356" s="1128">
        <v>10.94</v>
      </c>
      <c r="E4356" s="1126" t="s">
        <v>669</v>
      </c>
    </row>
    <row r="4357" spans="1:5" x14ac:dyDescent="0.2">
      <c r="A4357" s="1126" t="s">
        <v>4939</v>
      </c>
      <c r="B4357" s="1127">
        <v>198</v>
      </c>
      <c r="C4357" s="1128">
        <v>0</v>
      </c>
      <c r="D4357" s="1128">
        <v>122.83</v>
      </c>
      <c r="E4357" s="1126"/>
    </row>
    <row r="4358" spans="1:5" x14ac:dyDescent="0.2">
      <c r="A4358" s="1126" t="s">
        <v>4940</v>
      </c>
      <c r="B4358" s="1127">
        <v>165</v>
      </c>
      <c r="C4358" s="1128">
        <v>357.11</v>
      </c>
      <c r="D4358" s="1128">
        <v>470.53</v>
      </c>
      <c r="E4358" s="1126"/>
    </row>
    <row r="4359" spans="1:5" x14ac:dyDescent="0.2">
      <c r="A4359" s="1126" t="s">
        <v>4941</v>
      </c>
      <c r="B4359" s="1127">
        <v>281</v>
      </c>
      <c r="C4359" s="1128">
        <v>79.959999999999994</v>
      </c>
      <c r="D4359" s="1128">
        <v>273.11</v>
      </c>
      <c r="E4359" s="1126"/>
    </row>
    <row r="4360" spans="1:5" x14ac:dyDescent="0.2">
      <c r="A4360" s="1126" t="s">
        <v>4942</v>
      </c>
      <c r="B4360" s="1127">
        <v>220</v>
      </c>
      <c r="C4360" s="1128">
        <v>0</v>
      </c>
      <c r="D4360" s="1128">
        <v>107.28</v>
      </c>
      <c r="E4360" s="1126"/>
    </row>
    <row r="4361" spans="1:5" x14ac:dyDescent="0.2">
      <c r="A4361" s="1126" t="s">
        <v>4943</v>
      </c>
      <c r="B4361" s="1127">
        <v>338</v>
      </c>
      <c r="C4361" s="1128">
        <v>146.52000000000001</v>
      </c>
      <c r="D4361" s="1128">
        <v>378.85</v>
      </c>
      <c r="E4361" s="1126"/>
    </row>
    <row r="4362" spans="1:5" x14ac:dyDescent="0.2">
      <c r="A4362" s="1126" t="s">
        <v>4944</v>
      </c>
      <c r="B4362" s="1127">
        <v>177</v>
      </c>
      <c r="C4362" s="1128">
        <v>0</v>
      </c>
      <c r="D4362" s="1128">
        <v>102.82</v>
      </c>
      <c r="E4362" s="1126"/>
    </row>
    <row r="4363" spans="1:5" x14ac:dyDescent="0.2">
      <c r="A4363" s="1126" t="s">
        <v>4945</v>
      </c>
      <c r="B4363" s="1127">
        <v>92</v>
      </c>
      <c r="C4363" s="1128">
        <v>70.760000000000005</v>
      </c>
      <c r="D4363" s="1128">
        <v>134</v>
      </c>
      <c r="E4363" s="1126"/>
    </row>
    <row r="4364" spans="1:5" x14ac:dyDescent="0.2">
      <c r="A4364" s="1126" t="s">
        <v>4946</v>
      </c>
      <c r="B4364" s="1127">
        <v>45</v>
      </c>
      <c r="C4364" s="1128">
        <v>41.46</v>
      </c>
      <c r="D4364" s="1128">
        <v>72.39</v>
      </c>
      <c r="E4364" s="1126"/>
    </row>
    <row r="4365" spans="1:5" x14ac:dyDescent="0.2">
      <c r="A4365" s="1126" t="s">
        <v>4947</v>
      </c>
      <c r="B4365" s="1127">
        <v>193</v>
      </c>
      <c r="C4365" s="1128">
        <v>0</v>
      </c>
      <c r="D4365" s="1128">
        <v>69.98</v>
      </c>
      <c r="E4365" s="1126"/>
    </row>
    <row r="4366" spans="1:5" x14ac:dyDescent="0.2">
      <c r="A4366" s="1126" t="s">
        <v>4948</v>
      </c>
      <c r="B4366" s="1127">
        <v>508</v>
      </c>
      <c r="C4366" s="1128">
        <v>560.75</v>
      </c>
      <c r="D4366" s="1128">
        <v>909.93</v>
      </c>
      <c r="E4366" s="1126"/>
    </row>
    <row r="4367" spans="1:5" x14ac:dyDescent="0.2">
      <c r="A4367" s="1126" t="s">
        <v>4949</v>
      </c>
      <c r="B4367" s="1127">
        <v>227</v>
      </c>
      <c r="C4367" s="1128">
        <v>348.77</v>
      </c>
      <c r="D4367" s="1128">
        <v>504.8</v>
      </c>
      <c r="E4367" s="1126"/>
    </row>
    <row r="4368" spans="1:5" x14ac:dyDescent="0.2">
      <c r="A4368" s="1126" t="s">
        <v>4950</v>
      </c>
      <c r="B4368" s="1127">
        <v>261</v>
      </c>
      <c r="C4368" s="1128">
        <v>0</v>
      </c>
      <c r="D4368" s="1128">
        <v>114.67</v>
      </c>
      <c r="E4368" s="1126"/>
    </row>
    <row r="4369" spans="1:5" x14ac:dyDescent="0.2">
      <c r="A4369" s="1126" t="s">
        <v>4951</v>
      </c>
      <c r="B4369" s="1127">
        <v>174</v>
      </c>
      <c r="C4369" s="1128">
        <v>23.01</v>
      </c>
      <c r="D4369" s="1128">
        <v>142.61000000000001</v>
      </c>
      <c r="E4369" s="1126"/>
    </row>
    <row r="4370" spans="1:5" x14ac:dyDescent="0.2">
      <c r="A4370" s="1126" t="s">
        <v>4952</v>
      </c>
      <c r="B4370" s="1127">
        <v>85</v>
      </c>
      <c r="C4370" s="1128">
        <v>31.63</v>
      </c>
      <c r="D4370" s="1128">
        <v>90.06</v>
      </c>
      <c r="E4370" s="1126"/>
    </row>
    <row r="4371" spans="1:5" x14ac:dyDescent="0.2">
      <c r="A4371" s="1126" t="s">
        <v>4953</v>
      </c>
      <c r="B4371" s="1127">
        <v>56</v>
      </c>
      <c r="C4371" s="1128">
        <v>25.47</v>
      </c>
      <c r="D4371" s="1128">
        <v>63.96</v>
      </c>
      <c r="E4371" s="1126"/>
    </row>
    <row r="4372" spans="1:5" x14ac:dyDescent="0.2">
      <c r="A4372" s="1126" t="s">
        <v>4954</v>
      </c>
      <c r="B4372" s="1127">
        <v>161</v>
      </c>
      <c r="C4372" s="1128">
        <v>0</v>
      </c>
      <c r="D4372" s="1128">
        <v>65.69</v>
      </c>
      <c r="E4372" s="1126"/>
    </row>
    <row r="4373" spans="1:5" x14ac:dyDescent="0.2">
      <c r="A4373" s="1126" t="s">
        <v>4955</v>
      </c>
      <c r="B4373" s="1127">
        <v>283</v>
      </c>
      <c r="C4373" s="1128">
        <v>49.18</v>
      </c>
      <c r="D4373" s="1128">
        <v>243.7</v>
      </c>
      <c r="E4373" s="1126"/>
    </row>
    <row r="4374" spans="1:5" x14ac:dyDescent="0.2">
      <c r="A4374" s="1126" t="s">
        <v>4956</v>
      </c>
      <c r="B4374" s="1127">
        <v>457</v>
      </c>
      <c r="C4374" s="1128">
        <v>0</v>
      </c>
      <c r="D4374" s="1128">
        <v>80.56</v>
      </c>
      <c r="E4374" s="1126"/>
    </row>
    <row r="4375" spans="1:5" x14ac:dyDescent="0.2">
      <c r="A4375" s="1126" t="s">
        <v>4957</v>
      </c>
      <c r="B4375" s="1127">
        <v>285</v>
      </c>
      <c r="C4375" s="1128">
        <v>134.01</v>
      </c>
      <c r="D4375" s="1128">
        <v>329.91</v>
      </c>
      <c r="E4375" s="1126"/>
    </row>
    <row r="4376" spans="1:5" x14ac:dyDescent="0.2">
      <c r="A4376" s="1126" t="s">
        <v>4958</v>
      </c>
      <c r="B4376" s="1127">
        <v>64</v>
      </c>
      <c r="C4376" s="1128">
        <v>120.23</v>
      </c>
      <c r="D4376" s="1128">
        <v>164.22</v>
      </c>
      <c r="E4376" s="1126"/>
    </row>
    <row r="4377" spans="1:5" x14ac:dyDescent="0.2">
      <c r="A4377" s="1126" t="s">
        <v>4959</v>
      </c>
      <c r="B4377" s="1127">
        <v>170</v>
      </c>
      <c r="C4377" s="1128">
        <v>600.26</v>
      </c>
      <c r="D4377" s="1128">
        <v>717.11</v>
      </c>
      <c r="E4377" s="1126"/>
    </row>
    <row r="4378" spans="1:5" x14ac:dyDescent="0.2">
      <c r="A4378" s="1126" t="s">
        <v>4960</v>
      </c>
      <c r="B4378" s="1127">
        <v>167</v>
      </c>
      <c r="C4378" s="1128">
        <v>0</v>
      </c>
      <c r="D4378" s="1128">
        <v>79.739999999999995</v>
      </c>
      <c r="E4378" s="1126"/>
    </row>
    <row r="4379" spans="1:5" x14ac:dyDescent="0.2">
      <c r="A4379" s="1126" t="s">
        <v>4961</v>
      </c>
      <c r="B4379" s="1127">
        <v>172</v>
      </c>
      <c r="C4379" s="1128">
        <v>520.75</v>
      </c>
      <c r="D4379" s="1128">
        <v>638.98</v>
      </c>
      <c r="E4379" s="1126"/>
    </row>
    <row r="4380" spans="1:5" x14ac:dyDescent="0.2">
      <c r="A4380" s="1126" t="s">
        <v>4962</v>
      </c>
      <c r="B4380" s="1127">
        <v>149</v>
      </c>
      <c r="C4380" s="1128">
        <v>516.83000000000004</v>
      </c>
      <c r="D4380" s="1128">
        <v>619.24</v>
      </c>
      <c r="E4380" s="1126"/>
    </row>
    <row r="4381" spans="1:5" x14ac:dyDescent="0.2">
      <c r="A4381" s="1126" t="s">
        <v>4963</v>
      </c>
      <c r="B4381" s="1127">
        <v>217</v>
      </c>
      <c r="C4381" s="1128">
        <v>434.64</v>
      </c>
      <c r="D4381" s="1128">
        <v>583.79</v>
      </c>
      <c r="E4381" s="1126"/>
    </row>
    <row r="4382" spans="1:5" x14ac:dyDescent="0.2">
      <c r="A4382" s="1126" t="s">
        <v>4964</v>
      </c>
      <c r="B4382" s="1127">
        <v>191</v>
      </c>
      <c r="C4382" s="1128">
        <v>0</v>
      </c>
      <c r="D4382" s="1128">
        <v>109.94</v>
      </c>
      <c r="E4382" s="1126"/>
    </row>
    <row r="4383" spans="1:5" x14ac:dyDescent="0.2">
      <c r="A4383" s="1126" t="s">
        <v>4965</v>
      </c>
      <c r="B4383" s="1127">
        <v>94</v>
      </c>
      <c r="C4383" s="1128">
        <v>0</v>
      </c>
      <c r="D4383" s="1128">
        <v>5.41</v>
      </c>
      <c r="E4383" s="1126"/>
    </row>
    <row r="4384" spans="1:5" x14ac:dyDescent="0.2">
      <c r="A4384" s="1126" t="s">
        <v>4966</v>
      </c>
      <c r="B4384" s="1127">
        <v>140</v>
      </c>
      <c r="C4384" s="1128">
        <v>0</v>
      </c>
      <c r="D4384" s="1128">
        <v>54.02</v>
      </c>
      <c r="E4384" s="1126"/>
    </row>
    <row r="4385" spans="1:5" x14ac:dyDescent="0.2">
      <c r="A4385" s="1126" t="s">
        <v>4967</v>
      </c>
      <c r="B4385" s="1127">
        <v>313</v>
      </c>
      <c r="C4385" s="1128">
        <v>314.17</v>
      </c>
      <c r="D4385" s="1128">
        <v>529.32000000000005</v>
      </c>
      <c r="E4385" s="1126"/>
    </row>
    <row r="4386" spans="1:5" x14ac:dyDescent="0.2">
      <c r="A4386" s="1126" t="s">
        <v>4968</v>
      </c>
      <c r="B4386" s="1127">
        <v>101</v>
      </c>
      <c r="C4386" s="1128">
        <v>0</v>
      </c>
      <c r="D4386" s="1128">
        <v>9.48</v>
      </c>
      <c r="E4386" s="1126"/>
    </row>
    <row r="4387" spans="1:5" x14ac:dyDescent="0.2">
      <c r="A4387" s="1126" t="s">
        <v>4969</v>
      </c>
      <c r="B4387" s="1127">
        <v>136</v>
      </c>
      <c r="C4387" s="1128">
        <v>442.87</v>
      </c>
      <c r="D4387" s="1128">
        <v>536.35</v>
      </c>
      <c r="E4387" s="1126"/>
    </row>
    <row r="4388" spans="1:5" x14ac:dyDescent="0.2">
      <c r="A4388" s="1126" t="s">
        <v>4970</v>
      </c>
      <c r="B4388" s="1127">
        <v>174</v>
      </c>
      <c r="C4388" s="1128">
        <v>0</v>
      </c>
      <c r="D4388" s="1128">
        <v>119.34</v>
      </c>
      <c r="E4388" s="1126"/>
    </row>
    <row r="4389" spans="1:5" x14ac:dyDescent="0.2">
      <c r="A4389" s="1126" t="s">
        <v>4971</v>
      </c>
      <c r="B4389" s="1127">
        <v>293</v>
      </c>
      <c r="C4389" s="1128">
        <v>54.04</v>
      </c>
      <c r="D4389" s="1128">
        <v>255.44</v>
      </c>
      <c r="E4389" s="1126"/>
    </row>
    <row r="4390" spans="1:5" x14ac:dyDescent="0.2">
      <c r="A4390" s="1126" t="s">
        <v>4972</v>
      </c>
      <c r="B4390" s="1127">
        <v>143</v>
      </c>
      <c r="C4390" s="1128">
        <v>5.47</v>
      </c>
      <c r="D4390" s="1128">
        <v>103.77</v>
      </c>
      <c r="E4390" s="1126"/>
    </row>
    <row r="4391" spans="1:5" x14ac:dyDescent="0.2">
      <c r="A4391" s="1126" t="s">
        <v>4973</v>
      </c>
      <c r="B4391" s="1127">
        <v>193</v>
      </c>
      <c r="C4391" s="1128">
        <v>0</v>
      </c>
      <c r="D4391" s="1128">
        <v>90.92</v>
      </c>
      <c r="E4391" s="1126"/>
    </row>
    <row r="4392" spans="1:5" x14ac:dyDescent="0.2">
      <c r="A4392" s="1126" t="s">
        <v>4974</v>
      </c>
      <c r="B4392" s="1127">
        <v>396</v>
      </c>
      <c r="C4392" s="1128">
        <v>0</v>
      </c>
      <c r="D4392" s="1128">
        <v>31.4</v>
      </c>
      <c r="E4392" s="1126"/>
    </row>
    <row r="4393" spans="1:5" x14ac:dyDescent="0.2">
      <c r="A4393" s="1126" t="s">
        <v>4975</v>
      </c>
      <c r="B4393" s="1127">
        <v>197</v>
      </c>
      <c r="C4393" s="1128">
        <v>35.64</v>
      </c>
      <c r="D4393" s="1128">
        <v>171.05</v>
      </c>
      <c r="E4393" s="1126"/>
    </row>
    <row r="4394" spans="1:5" x14ac:dyDescent="0.2">
      <c r="A4394" s="1126" t="s">
        <v>4976</v>
      </c>
      <c r="B4394" s="1127">
        <v>148</v>
      </c>
      <c r="C4394" s="1128">
        <v>20.07</v>
      </c>
      <c r="D4394" s="1128">
        <v>121.8</v>
      </c>
      <c r="E4394" s="1126"/>
    </row>
    <row r="4395" spans="1:5" x14ac:dyDescent="0.2">
      <c r="A4395" s="1126" t="s">
        <v>4977</v>
      </c>
      <c r="B4395" s="1127">
        <v>258</v>
      </c>
      <c r="C4395" s="1128">
        <v>0</v>
      </c>
      <c r="D4395" s="1128">
        <v>62.64</v>
      </c>
      <c r="E4395" s="1126"/>
    </row>
    <row r="4396" spans="1:5" x14ac:dyDescent="0.2">
      <c r="A4396" s="1126" t="s">
        <v>4978</v>
      </c>
      <c r="B4396" s="1127">
        <v>62</v>
      </c>
      <c r="C4396" s="1128">
        <v>0</v>
      </c>
      <c r="D4396" s="1128">
        <v>8.9700000000000006</v>
      </c>
      <c r="E4396" s="1126"/>
    </row>
    <row r="4397" spans="1:5" x14ac:dyDescent="0.2">
      <c r="A4397" s="1126" t="s">
        <v>4979</v>
      </c>
      <c r="B4397" s="1127">
        <v>245</v>
      </c>
      <c r="C4397" s="1128">
        <v>74.55</v>
      </c>
      <c r="D4397" s="1128">
        <v>242.95</v>
      </c>
      <c r="E4397" s="1126"/>
    </row>
    <row r="4398" spans="1:5" x14ac:dyDescent="0.2">
      <c r="A4398" s="1126" t="s">
        <v>4980</v>
      </c>
      <c r="B4398" s="1127">
        <v>496</v>
      </c>
      <c r="C4398" s="1128">
        <v>0</v>
      </c>
      <c r="D4398" s="1128">
        <v>37.96</v>
      </c>
      <c r="E4398" s="1126"/>
    </row>
    <row r="4399" spans="1:5" x14ac:dyDescent="0.2">
      <c r="A4399" s="1126" t="s">
        <v>4981</v>
      </c>
      <c r="B4399" s="1127">
        <v>110</v>
      </c>
      <c r="C4399" s="1128">
        <v>292.45</v>
      </c>
      <c r="D4399" s="1128">
        <v>368.06</v>
      </c>
      <c r="E4399" s="1126"/>
    </row>
    <row r="4400" spans="1:5" x14ac:dyDescent="0.2">
      <c r="A4400" s="1126" t="s">
        <v>4982</v>
      </c>
      <c r="B4400" s="1127">
        <v>127</v>
      </c>
      <c r="C4400" s="1128">
        <v>345.31</v>
      </c>
      <c r="D4400" s="1128">
        <v>432.61</v>
      </c>
      <c r="E4400" s="1126"/>
    </row>
    <row r="4401" spans="1:5" x14ac:dyDescent="0.2">
      <c r="A4401" s="1126" t="s">
        <v>4983</v>
      </c>
      <c r="B4401" s="1127">
        <v>325</v>
      </c>
      <c r="C4401" s="1128">
        <v>1008.44</v>
      </c>
      <c r="D4401" s="1128">
        <v>1231.8399999999999</v>
      </c>
      <c r="E4401" s="1126"/>
    </row>
    <row r="4402" spans="1:5" x14ac:dyDescent="0.2">
      <c r="A4402" s="1126" t="s">
        <v>4984</v>
      </c>
      <c r="B4402" s="1127">
        <v>126</v>
      </c>
      <c r="C4402" s="1128">
        <v>272.70999999999998</v>
      </c>
      <c r="D4402" s="1128">
        <v>359.31</v>
      </c>
      <c r="E4402" s="1126"/>
    </row>
    <row r="4403" spans="1:5" x14ac:dyDescent="0.2">
      <c r="A4403" s="1126" t="s">
        <v>4985</v>
      </c>
      <c r="B4403" s="1127">
        <v>182</v>
      </c>
      <c r="C4403" s="1128">
        <v>388.73</v>
      </c>
      <c r="D4403" s="1128">
        <v>513.83000000000004</v>
      </c>
      <c r="E4403" s="1126"/>
    </row>
    <row r="4404" spans="1:5" x14ac:dyDescent="0.2">
      <c r="A4404" s="1126" t="s">
        <v>4986</v>
      </c>
      <c r="B4404" s="1127">
        <v>217</v>
      </c>
      <c r="C4404" s="1128">
        <v>166.28</v>
      </c>
      <c r="D4404" s="1128">
        <v>315.43</v>
      </c>
      <c r="E4404" s="1126"/>
    </row>
    <row r="4405" spans="1:5" x14ac:dyDescent="0.2">
      <c r="A4405" s="1126" t="s">
        <v>4987</v>
      </c>
      <c r="B4405" s="1127">
        <v>94</v>
      </c>
      <c r="C4405" s="1128">
        <v>325.77999999999997</v>
      </c>
      <c r="D4405" s="1128">
        <v>390.39</v>
      </c>
      <c r="E4405" s="1126"/>
    </row>
    <row r="4406" spans="1:5" x14ac:dyDescent="0.2">
      <c r="A4406" s="1126" t="s">
        <v>4988</v>
      </c>
      <c r="B4406" s="1127">
        <v>578</v>
      </c>
      <c r="C4406" s="1128">
        <v>0</v>
      </c>
      <c r="D4406" s="1128">
        <v>6.42</v>
      </c>
      <c r="E4406" s="1126"/>
    </row>
    <row r="4407" spans="1:5" x14ac:dyDescent="0.2">
      <c r="A4407" s="1126" t="s">
        <v>4989</v>
      </c>
      <c r="B4407" s="1127">
        <v>114</v>
      </c>
      <c r="C4407" s="1128">
        <v>95.38</v>
      </c>
      <c r="D4407" s="1128">
        <v>173.74</v>
      </c>
      <c r="E4407" s="1126"/>
    </row>
    <row r="4408" spans="1:5" x14ac:dyDescent="0.2">
      <c r="A4408" s="1126" t="s">
        <v>4990</v>
      </c>
      <c r="B4408" s="1127">
        <v>70</v>
      </c>
      <c r="C4408" s="1128">
        <v>0</v>
      </c>
      <c r="D4408" s="1128">
        <v>8.91</v>
      </c>
      <c r="E4408" s="1126"/>
    </row>
    <row r="4409" spans="1:5" x14ac:dyDescent="0.2">
      <c r="A4409" s="1126" t="s">
        <v>4991</v>
      </c>
      <c r="B4409" s="1127">
        <v>175</v>
      </c>
      <c r="C4409" s="1128">
        <v>42.65</v>
      </c>
      <c r="D4409" s="1128">
        <v>162.94</v>
      </c>
      <c r="E4409" s="1126"/>
    </row>
    <row r="4410" spans="1:5" x14ac:dyDescent="0.2">
      <c r="A4410" s="1126" t="s">
        <v>4992</v>
      </c>
      <c r="B4410" s="1127">
        <v>364</v>
      </c>
      <c r="C4410" s="1128">
        <v>244.85</v>
      </c>
      <c r="D4410" s="1128">
        <v>495.05</v>
      </c>
      <c r="E4410" s="1126"/>
    </row>
    <row r="4411" spans="1:5" x14ac:dyDescent="0.2">
      <c r="A4411" s="1126" t="s">
        <v>4993</v>
      </c>
      <c r="B4411" s="1127">
        <v>379</v>
      </c>
      <c r="C4411" s="1128">
        <v>704.53</v>
      </c>
      <c r="D4411" s="1128">
        <v>965.05</v>
      </c>
      <c r="E4411" s="1126"/>
    </row>
    <row r="4412" spans="1:5" x14ac:dyDescent="0.2">
      <c r="A4412" s="1126" t="s">
        <v>4994</v>
      </c>
      <c r="B4412" s="1127">
        <v>80</v>
      </c>
      <c r="C4412" s="1128">
        <v>18.22</v>
      </c>
      <c r="D4412" s="1128">
        <v>73.209999999999994</v>
      </c>
      <c r="E4412" s="1126"/>
    </row>
    <row r="4413" spans="1:5" x14ac:dyDescent="0.2">
      <c r="A4413" s="1126" t="s">
        <v>4995</v>
      </c>
      <c r="B4413" s="1127">
        <v>477</v>
      </c>
      <c r="C4413" s="1128">
        <v>0</v>
      </c>
      <c r="D4413" s="1128">
        <v>317.64</v>
      </c>
      <c r="E4413" s="1126"/>
    </row>
    <row r="4414" spans="1:5" x14ac:dyDescent="0.2">
      <c r="A4414" s="1126" t="s">
        <v>4996</v>
      </c>
      <c r="B4414" s="1127">
        <v>231</v>
      </c>
      <c r="C4414" s="1128">
        <v>0</v>
      </c>
      <c r="D4414" s="1128">
        <v>130.06</v>
      </c>
      <c r="E4414" s="1126"/>
    </row>
    <row r="4415" spans="1:5" x14ac:dyDescent="0.2">
      <c r="A4415" s="1126" t="s">
        <v>4997</v>
      </c>
      <c r="B4415" s="1127">
        <v>226</v>
      </c>
      <c r="C4415" s="1128">
        <v>150.77000000000001</v>
      </c>
      <c r="D4415" s="1128">
        <v>306.11</v>
      </c>
      <c r="E4415" s="1126"/>
    </row>
    <row r="4416" spans="1:5" x14ac:dyDescent="0.2">
      <c r="A4416" s="1126" t="s">
        <v>4998</v>
      </c>
      <c r="B4416" s="1127">
        <v>180</v>
      </c>
      <c r="C4416" s="1128">
        <v>0</v>
      </c>
      <c r="D4416" s="1128">
        <v>90.63</v>
      </c>
      <c r="E4416" s="1126"/>
    </row>
    <row r="4417" spans="1:5" x14ac:dyDescent="0.2">
      <c r="A4417" s="1126" t="s">
        <v>4999</v>
      </c>
      <c r="B4417" s="1127">
        <v>211</v>
      </c>
      <c r="C4417" s="1128">
        <v>161.77000000000001</v>
      </c>
      <c r="D4417" s="1128">
        <v>306.81</v>
      </c>
      <c r="E4417" s="1126"/>
    </row>
    <row r="4418" spans="1:5" x14ac:dyDescent="0.2">
      <c r="A4418" s="1126" t="s">
        <v>5000</v>
      </c>
      <c r="B4418" s="1127">
        <v>149</v>
      </c>
      <c r="C4418" s="1128">
        <v>183.06</v>
      </c>
      <c r="D4418" s="1128">
        <v>285.48</v>
      </c>
      <c r="E4418" s="1126"/>
    </row>
    <row r="4419" spans="1:5" x14ac:dyDescent="0.2">
      <c r="A4419" s="1126" t="s">
        <v>5001</v>
      </c>
      <c r="B4419" s="1127">
        <v>282</v>
      </c>
      <c r="C4419" s="1128">
        <v>12.42</v>
      </c>
      <c r="D4419" s="1128">
        <v>206.26</v>
      </c>
      <c r="E4419" s="1126"/>
    </row>
    <row r="4420" spans="1:5" x14ac:dyDescent="0.2">
      <c r="A4420" s="1126" t="s">
        <v>5002</v>
      </c>
      <c r="B4420" s="1127">
        <v>62</v>
      </c>
      <c r="C4420" s="1128">
        <v>0</v>
      </c>
      <c r="D4420" s="1128">
        <v>14.45</v>
      </c>
      <c r="E4420" s="1126"/>
    </row>
    <row r="4421" spans="1:5" x14ac:dyDescent="0.2">
      <c r="A4421" s="1126" t="s">
        <v>5003</v>
      </c>
      <c r="B4421" s="1127">
        <v>221</v>
      </c>
      <c r="C4421" s="1128">
        <v>225.41</v>
      </c>
      <c r="D4421" s="1128">
        <v>377.32</v>
      </c>
      <c r="E4421" s="1126"/>
    </row>
    <row r="4422" spans="1:5" x14ac:dyDescent="0.2">
      <c r="A4422" s="1126" t="s">
        <v>5004</v>
      </c>
      <c r="B4422" s="1127">
        <v>248</v>
      </c>
      <c r="C4422" s="1128">
        <v>0</v>
      </c>
      <c r="D4422" s="1128">
        <v>73.98</v>
      </c>
      <c r="E4422" s="1126"/>
    </row>
    <row r="4423" spans="1:5" x14ac:dyDescent="0.2">
      <c r="A4423" s="1126" t="s">
        <v>5005</v>
      </c>
      <c r="B4423" s="1127">
        <v>126</v>
      </c>
      <c r="C4423" s="1128">
        <v>321.83</v>
      </c>
      <c r="D4423" s="1128">
        <v>408.44</v>
      </c>
      <c r="E4423" s="1126"/>
    </row>
    <row r="4424" spans="1:5" x14ac:dyDescent="0.2">
      <c r="A4424" s="1126" t="s">
        <v>5006</v>
      </c>
      <c r="B4424" s="1127">
        <v>323</v>
      </c>
      <c r="C4424" s="1128">
        <v>194.75</v>
      </c>
      <c r="D4424" s="1128">
        <v>416.77</v>
      </c>
      <c r="E4424" s="1126"/>
    </row>
    <row r="4425" spans="1:5" x14ac:dyDescent="0.2">
      <c r="A4425" s="1126" t="s">
        <v>5007</v>
      </c>
      <c r="B4425" s="1127">
        <v>177</v>
      </c>
      <c r="C4425" s="1128">
        <v>546.76</v>
      </c>
      <c r="D4425" s="1128">
        <v>668.42</v>
      </c>
      <c r="E4425" s="1126"/>
    </row>
    <row r="4426" spans="1:5" x14ac:dyDescent="0.2">
      <c r="A4426" s="1126" t="s">
        <v>5008</v>
      </c>
      <c r="B4426" s="1127">
        <v>191</v>
      </c>
      <c r="C4426" s="1128">
        <v>22.69</v>
      </c>
      <c r="D4426" s="1128">
        <v>153.97999999999999</v>
      </c>
      <c r="E4426" s="1126"/>
    </row>
    <row r="4427" spans="1:5" x14ac:dyDescent="0.2">
      <c r="A4427" s="1126" t="s">
        <v>5009</v>
      </c>
      <c r="B4427" s="1127">
        <v>267</v>
      </c>
      <c r="C4427" s="1128">
        <v>0</v>
      </c>
      <c r="D4427" s="1128">
        <v>116</v>
      </c>
      <c r="E4427" s="1126"/>
    </row>
    <row r="4428" spans="1:5" x14ac:dyDescent="0.2">
      <c r="A4428" s="1126" t="s">
        <v>5010</v>
      </c>
      <c r="B4428" s="1127">
        <v>244</v>
      </c>
      <c r="C4428" s="1128">
        <v>637.39</v>
      </c>
      <c r="D4428" s="1128">
        <v>805.11</v>
      </c>
      <c r="E4428" s="1126"/>
    </row>
    <row r="4429" spans="1:5" x14ac:dyDescent="0.2">
      <c r="A4429" s="1126" t="s">
        <v>5011</v>
      </c>
      <c r="B4429" s="1127">
        <v>114</v>
      </c>
      <c r="C4429" s="1128">
        <v>265.02999999999997</v>
      </c>
      <c r="D4429" s="1128">
        <v>343.38</v>
      </c>
      <c r="E4429" s="1126"/>
    </row>
    <row r="4430" spans="1:5" x14ac:dyDescent="0.2">
      <c r="A4430" s="1126" t="s">
        <v>5012</v>
      </c>
      <c r="B4430" s="1127">
        <v>692</v>
      </c>
      <c r="C4430" s="1128">
        <v>0</v>
      </c>
      <c r="D4430" s="1128">
        <v>180.44</v>
      </c>
      <c r="E4430" s="1126"/>
    </row>
    <row r="4431" spans="1:5" x14ac:dyDescent="0.2">
      <c r="A4431" s="1126" t="s">
        <v>5013</v>
      </c>
      <c r="B4431" s="1127">
        <v>82</v>
      </c>
      <c r="C4431" s="1128">
        <v>0</v>
      </c>
      <c r="D4431" s="1128">
        <v>10.65</v>
      </c>
      <c r="E4431" s="1126"/>
    </row>
    <row r="4432" spans="1:5" x14ac:dyDescent="0.2">
      <c r="A4432" s="1126" t="s">
        <v>5014</v>
      </c>
      <c r="B4432" s="1127">
        <v>391</v>
      </c>
      <c r="C4432" s="1128">
        <v>0</v>
      </c>
      <c r="D4432" s="1128">
        <v>207.41</v>
      </c>
      <c r="E4432" s="1126"/>
    </row>
    <row r="4433" spans="1:5" x14ac:dyDescent="0.2">
      <c r="A4433" s="1126" t="s">
        <v>5015</v>
      </c>
      <c r="B4433" s="1127">
        <v>300</v>
      </c>
      <c r="C4433" s="1128">
        <v>61.92</v>
      </c>
      <c r="D4433" s="1128">
        <v>268.13</v>
      </c>
      <c r="E4433" s="1126"/>
    </row>
    <row r="4434" spans="1:5" x14ac:dyDescent="0.2">
      <c r="A4434" s="1126" t="s">
        <v>5016</v>
      </c>
      <c r="B4434" s="1127">
        <v>247</v>
      </c>
      <c r="C4434" s="1128">
        <v>699.31</v>
      </c>
      <c r="D4434" s="1128">
        <v>869.09</v>
      </c>
      <c r="E4434" s="1126"/>
    </row>
    <row r="4435" spans="1:5" x14ac:dyDescent="0.2">
      <c r="A4435" s="1126" t="s">
        <v>5017</v>
      </c>
      <c r="B4435" s="1127">
        <v>203</v>
      </c>
      <c r="C4435" s="1128">
        <v>237.15</v>
      </c>
      <c r="D4435" s="1128">
        <v>376.69</v>
      </c>
      <c r="E4435" s="1126"/>
    </row>
    <row r="4436" spans="1:5" x14ac:dyDescent="0.2">
      <c r="A4436" s="1126" t="s">
        <v>5018</v>
      </c>
      <c r="B4436" s="1127">
        <v>250</v>
      </c>
      <c r="C4436" s="1128">
        <v>0</v>
      </c>
      <c r="D4436" s="1128">
        <v>65.83</v>
      </c>
      <c r="E4436" s="1126"/>
    </row>
    <row r="4437" spans="1:5" x14ac:dyDescent="0.2">
      <c r="A4437" s="1126" t="s">
        <v>5019</v>
      </c>
      <c r="B4437" s="1127">
        <v>155</v>
      </c>
      <c r="C4437" s="1128">
        <v>314.70999999999998</v>
      </c>
      <c r="D4437" s="1128">
        <v>421.25</v>
      </c>
      <c r="E4437" s="1126"/>
    </row>
    <row r="4438" spans="1:5" x14ac:dyDescent="0.2">
      <c r="A4438" s="1126" t="s">
        <v>5020</v>
      </c>
      <c r="B4438" s="1127">
        <v>341</v>
      </c>
      <c r="C4438" s="1128">
        <v>0</v>
      </c>
      <c r="D4438" s="1128">
        <v>141.28</v>
      </c>
      <c r="E4438" s="1126"/>
    </row>
    <row r="4439" spans="1:5" x14ac:dyDescent="0.2">
      <c r="A4439" s="1126" t="s">
        <v>5021</v>
      </c>
      <c r="B4439" s="1127">
        <v>105</v>
      </c>
      <c r="C4439" s="1128">
        <v>26.29</v>
      </c>
      <c r="D4439" s="1128">
        <v>98.46</v>
      </c>
      <c r="E4439" s="1126"/>
    </row>
    <row r="4440" spans="1:5" x14ac:dyDescent="0.2">
      <c r="A4440" s="1126" t="s">
        <v>5022</v>
      </c>
      <c r="B4440" s="1127">
        <v>530</v>
      </c>
      <c r="C4440" s="1128">
        <v>0</v>
      </c>
      <c r="D4440" s="1128">
        <v>108.51</v>
      </c>
      <c r="E4440" s="1126"/>
    </row>
    <row r="4441" spans="1:5" x14ac:dyDescent="0.2">
      <c r="A4441" s="1126" t="s">
        <v>5023</v>
      </c>
      <c r="B4441" s="1127">
        <v>238</v>
      </c>
      <c r="C4441" s="1128">
        <v>249.62</v>
      </c>
      <c r="D4441" s="1128">
        <v>413.22</v>
      </c>
      <c r="E4441" s="1126"/>
    </row>
    <row r="4442" spans="1:5" x14ac:dyDescent="0.2">
      <c r="A4442" s="1126" t="s">
        <v>5024</v>
      </c>
      <c r="B4442" s="1127">
        <v>112</v>
      </c>
      <c r="C4442" s="1128">
        <v>16.739999999999998</v>
      </c>
      <c r="D4442" s="1128">
        <v>93.73</v>
      </c>
      <c r="E4442" s="1126"/>
    </row>
    <row r="4443" spans="1:5" x14ac:dyDescent="0.2">
      <c r="A4443" s="1126" t="s">
        <v>5025</v>
      </c>
      <c r="B4443" s="1127">
        <v>209</v>
      </c>
      <c r="C4443" s="1128">
        <v>0.65</v>
      </c>
      <c r="D4443" s="1128">
        <v>144.31</v>
      </c>
      <c r="E4443" s="1126"/>
    </row>
    <row r="4444" spans="1:5" x14ac:dyDescent="0.2">
      <c r="A4444" s="1126" t="s">
        <v>5026</v>
      </c>
      <c r="B4444" s="1127">
        <v>255</v>
      </c>
      <c r="C4444" s="1128">
        <v>44.1</v>
      </c>
      <c r="D4444" s="1128">
        <v>219.38</v>
      </c>
      <c r="E4444" s="1126"/>
    </row>
    <row r="4445" spans="1:5" x14ac:dyDescent="0.2">
      <c r="A4445" s="1126" t="s">
        <v>5027</v>
      </c>
      <c r="B4445" s="1127">
        <v>167</v>
      </c>
      <c r="C4445" s="1128">
        <v>41.99</v>
      </c>
      <c r="D4445" s="1128">
        <v>156.78</v>
      </c>
      <c r="E4445" s="1126"/>
    </row>
    <row r="4446" spans="1:5" x14ac:dyDescent="0.2">
      <c r="A4446" s="1126" t="s">
        <v>5028</v>
      </c>
      <c r="B4446" s="1127">
        <v>605</v>
      </c>
      <c r="C4446" s="1128">
        <v>269.12</v>
      </c>
      <c r="D4446" s="1128">
        <v>684.97</v>
      </c>
      <c r="E4446" s="1126"/>
    </row>
    <row r="4447" spans="1:5" x14ac:dyDescent="0.2">
      <c r="A4447" s="1126" t="s">
        <v>5029</v>
      </c>
      <c r="B4447" s="1127">
        <v>208</v>
      </c>
      <c r="C4447" s="1128">
        <v>445.41</v>
      </c>
      <c r="D4447" s="1128">
        <v>588.38</v>
      </c>
      <c r="E4447" s="1126"/>
    </row>
    <row r="4448" spans="1:5" x14ac:dyDescent="0.2">
      <c r="A4448" s="1126" t="s">
        <v>5030</v>
      </c>
      <c r="B4448" s="1127">
        <v>70</v>
      </c>
      <c r="C4448" s="1128">
        <v>0</v>
      </c>
      <c r="D4448" s="1128">
        <v>0</v>
      </c>
      <c r="E4448" s="1126"/>
    </row>
    <row r="4449" spans="1:5" x14ac:dyDescent="0.2">
      <c r="A4449" s="1126" t="s">
        <v>5031</v>
      </c>
      <c r="B4449" s="1127">
        <v>127</v>
      </c>
      <c r="C4449" s="1128">
        <v>186.56</v>
      </c>
      <c r="D4449" s="1128">
        <v>273.85000000000002</v>
      </c>
      <c r="E4449" s="1126"/>
    </row>
    <row r="4450" spans="1:5" x14ac:dyDescent="0.2">
      <c r="A4450" s="1126" t="s">
        <v>5032</v>
      </c>
      <c r="B4450" s="1127">
        <v>675</v>
      </c>
      <c r="C4450" s="1128">
        <v>2723.91</v>
      </c>
      <c r="D4450" s="1128">
        <v>3187.88</v>
      </c>
      <c r="E4450" s="1126"/>
    </row>
    <row r="4451" spans="1:5" x14ac:dyDescent="0.2">
      <c r="A4451" s="1126" t="s">
        <v>5033</v>
      </c>
      <c r="B4451" s="1127">
        <v>497</v>
      </c>
      <c r="C4451" s="1128">
        <v>557.78</v>
      </c>
      <c r="D4451" s="1128">
        <v>899.4</v>
      </c>
      <c r="E4451" s="1126"/>
    </row>
    <row r="4452" spans="1:5" x14ac:dyDescent="0.2">
      <c r="A4452" s="1126" t="s">
        <v>5034</v>
      </c>
      <c r="B4452" s="1127">
        <v>208</v>
      </c>
      <c r="C4452" s="1128">
        <v>67.489999999999995</v>
      </c>
      <c r="D4452" s="1128">
        <v>210.46</v>
      </c>
      <c r="E4452" s="1126"/>
    </row>
    <row r="4453" spans="1:5" x14ac:dyDescent="0.2">
      <c r="A4453" s="1126" t="s">
        <v>5035</v>
      </c>
      <c r="B4453" s="1127">
        <v>144</v>
      </c>
      <c r="C4453" s="1128">
        <v>223.19</v>
      </c>
      <c r="D4453" s="1128">
        <v>322.17</v>
      </c>
      <c r="E4453" s="1126"/>
    </row>
    <row r="4454" spans="1:5" x14ac:dyDescent="0.2">
      <c r="A4454" s="1126" t="s">
        <v>5036</v>
      </c>
      <c r="B4454" s="1127">
        <v>749</v>
      </c>
      <c r="C4454" s="1128">
        <v>0</v>
      </c>
      <c r="D4454" s="1128">
        <v>508.25</v>
      </c>
      <c r="E4454" s="1126"/>
    </row>
    <row r="4455" spans="1:5" x14ac:dyDescent="0.2">
      <c r="A4455" s="1126" t="s">
        <v>5037</v>
      </c>
      <c r="B4455" s="1127">
        <v>184</v>
      </c>
      <c r="C4455" s="1128">
        <v>27.51</v>
      </c>
      <c r="D4455" s="1128">
        <v>153.99</v>
      </c>
      <c r="E4455" s="1126"/>
    </row>
    <row r="4456" spans="1:5" x14ac:dyDescent="0.2">
      <c r="A4456" s="1126" t="s">
        <v>5038</v>
      </c>
      <c r="B4456" s="1127">
        <v>89</v>
      </c>
      <c r="C4456" s="1128">
        <v>233.31</v>
      </c>
      <c r="D4456" s="1128">
        <v>294.48</v>
      </c>
      <c r="E4456" s="1126"/>
    </row>
    <row r="4457" spans="1:5" x14ac:dyDescent="0.2">
      <c r="A4457" s="1126" t="s">
        <v>5039</v>
      </c>
      <c r="B4457" s="1127">
        <v>268</v>
      </c>
      <c r="C4457" s="1128">
        <v>0</v>
      </c>
      <c r="D4457" s="1128">
        <v>114.83</v>
      </c>
      <c r="E4457" s="1126"/>
    </row>
    <row r="4458" spans="1:5" x14ac:dyDescent="0.2">
      <c r="A4458" s="1126" t="s">
        <v>5040</v>
      </c>
      <c r="B4458" s="1127">
        <v>173</v>
      </c>
      <c r="C4458" s="1128">
        <v>24.65</v>
      </c>
      <c r="D4458" s="1128">
        <v>143.56</v>
      </c>
      <c r="E4458" s="1126"/>
    </row>
    <row r="4459" spans="1:5" x14ac:dyDescent="0.2">
      <c r="A4459" s="1126" t="s">
        <v>5041</v>
      </c>
      <c r="B4459" s="1127">
        <v>349</v>
      </c>
      <c r="C4459" s="1128">
        <v>0</v>
      </c>
      <c r="D4459" s="1128">
        <v>154.66</v>
      </c>
      <c r="E4459" s="1126"/>
    </row>
    <row r="4460" spans="1:5" x14ac:dyDescent="0.2">
      <c r="A4460" s="1126" t="s">
        <v>5042</v>
      </c>
      <c r="B4460" s="1127">
        <v>244</v>
      </c>
      <c r="C4460" s="1128">
        <v>896.56</v>
      </c>
      <c r="D4460" s="1128">
        <v>1064.28</v>
      </c>
      <c r="E4460" s="1126"/>
    </row>
    <row r="4461" spans="1:5" x14ac:dyDescent="0.2">
      <c r="A4461" s="1126" t="s">
        <v>5043</v>
      </c>
      <c r="B4461" s="1127">
        <v>120</v>
      </c>
      <c r="C4461" s="1128">
        <v>0</v>
      </c>
      <c r="D4461" s="1128">
        <v>4.9400000000000004</v>
      </c>
      <c r="E4461" s="1126"/>
    </row>
    <row r="4462" spans="1:5" x14ac:dyDescent="0.2">
      <c r="A4462" s="1126" t="s">
        <v>5044</v>
      </c>
      <c r="B4462" s="1127">
        <v>191</v>
      </c>
      <c r="C4462" s="1128">
        <v>544.15</v>
      </c>
      <c r="D4462" s="1128">
        <v>675.44</v>
      </c>
      <c r="E4462" s="1126"/>
    </row>
    <row r="4463" spans="1:5" x14ac:dyDescent="0.2">
      <c r="A4463" s="1126" t="s">
        <v>5045</v>
      </c>
      <c r="B4463" s="1127">
        <v>123</v>
      </c>
      <c r="C4463" s="1128">
        <v>339.42</v>
      </c>
      <c r="D4463" s="1128">
        <v>423.97</v>
      </c>
      <c r="E4463" s="1126"/>
    </row>
    <row r="4464" spans="1:5" x14ac:dyDescent="0.2">
      <c r="A4464" s="1126" t="s">
        <v>5046</v>
      </c>
      <c r="B4464" s="1127">
        <v>550</v>
      </c>
      <c r="C4464" s="1128">
        <v>0</v>
      </c>
      <c r="D4464" s="1128">
        <v>138.41</v>
      </c>
      <c r="E4464" s="1126"/>
    </row>
    <row r="4465" spans="1:5" x14ac:dyDescent="0.2">
      <c r="A4465" s="1126" t="s">
        <v>5047</v>
      </c>
      <c r="B4465" s="1127">
        <v>171</v>
      </c>
      <c r="C4465" s="1128">
        <v>439.65</v>
      </c>
      <c r="D4465" s="1128">
        <v>557.19000000000005</v>
      </c>
      <c r="E4465" s="1126"/>
    </row>
    <row r="4466" spans="1:5" x14ac:dyDescent="0.2">
      <c r="A4466" s="1126" t="s">
        <v>5048</v>
      </c>
      <c r="B4466" s="1127">
        <v>373</v>
      </c>
      <c r="C4466" s="1128">
        <v>0</v>
      </c>
      <c r="D4466" s="1128">
        <v>119.88</v>
      </c>
      <c r="E4466" s="1126"/>
    </row>
    <row r="4467" spans="1:5" x14ac:dyDescent="0.2">
      <c r="A4467" s="1126" t="s">
        <v>5049</v>
      </c>
      <c r="B4467" s="1127">
        <v>267</v>
      </c>
      <c r="C4467" s="1128">
        <v>0</v>
      </c>
      <c r="D4467" s="1128">
        <v>173.61</v>
      </c>
      <c r="E4467" s="1126"/>
    </row>
    <row r="4468" spans="1:5" x14ac:dyDescent="0.2">
      <c r="A4468" s="1126" t="s">
        <v>5050</v>
      </c>
      <c r="B4468" s="1127">
        <v>237</v>
      </c>
      <c r="C4468" s="1128">
        <v>26.15</v>
      </c>
      <c r="D4468" s="1128">
        <v>189.06</v>
      </c>
      <c r="E4468" s="1126"/>
    </row>
    <row r="4469" spans="1:5" x14ac:dyDescent="0.2">
      <c r="A4469" s="1126" t="s">
        <v>5051</v>
      </c>
      <c r="B4469" s="1127">
        <v>341</v>
      </c>
      <c r="C4469" s="1128">
        <v>173.24</v>
      </c>
      <c r="D4469" s="1128">
        <v>407.63</v>
      </c>
      <c r="E4469" s="1126"/>
    </row>
    <row r="4470" spans="1:5" x14ac:dyDescent="0.2">
      <c r="A4470" s="1126" t="s">
        <v>5052</v>
      </c>
      <c r="B4470" s="1127">
        <v>158</v>
      </c>
      <c r="C4470" s="1128">
        <v>569.12</v>
      </c>
      <c r="D4470" s="1128">
        <v>677.73</v>
      </c>
      <c r="E4470" s="1126"/>
    </row>
    <row r="4471" spans="1:5" x14ac:dyDescent="0.2">
      <c r="A4471" s="1126" t="s">
        <v>5053</v>
      </c>
      <c r="B4471" s="1127">
        <v>262</v>
      </c>
      <c r="C4471" s="1128">
        <v>32.340000000000003</v>
      </c>
      <c r="D4471" s="1128">
        <v>212.43</v>
      </c>
      <c r="E4471" s="1126"/>
    </row>
    <row r="4472" spans="1:5" x14ac:dyDescent="0.2">
      <c r="A4472" s="1126" t="s">
        <v>5054</v>
      </c>
      <c r="B4472" s="1127">
        <v>431</v>
      </c>
      <c r="C4472" s="1128">
        <v>0</v>
      </c>
      <c r="D4472" s="1128">
        <v>167.04</v>
      </c>
      <c r="E4472" s="1126"/>
    </row>
    <row r="4473" spans="1:5" x14ac:dyDescent="0.2">
      <c r="A4473" s="1126" t="s">
        <v>5055</v>
      </c>
      <c r="B4473" s="1127">
        <v>243</v>
      </c>
      <c r="C4473" s="1128">
        <v>0</v>
      </c>
      <c r="D4473" s="1128">
        <v>78.86</v>
      </c>
      <c r="E4473" s="1126"/>
    </row>
    <row r="4474" spans="1:5" x14ac:dyDescent="0.2">
      <c r="A4474" s="1126" t="s">
        <v>5056</v>
      </c>
      <c r="B4474" s="1127">
        <v>318</v>
      </c>
      <c r="C4474" s="1128">
        <v>0</v>
      </c>
      <c r="D4474" s="1128">
        <v>5.27</v>
      </c>
      <c r="E4474" s="1126"/>
    </row>
    <row r="4475" spans="1:5" x14ac:dyDescent="0.2">
      <c r="A4475" s="1126" t="s">
        <v>5057</v>
      </c>
      <c r="B4475" s="1127">
        <v>381</v>
      </c>
      <c r="C4475" s="1128">
        <v>0</v>
      </c>
      <c r="D4475" s="1128">
        <v>192.4</v>
      </c>
      <c r="E4475" s="1126"/>
    </row>
    <row r="4476" spans="1:5" x14ac:dyDescent="0.2">
      <c r="A4476" s="1126" t="s">
        <v>5058</v>
      </c>
      <c r="B4476" s="1127">
        <v>493</v>
      </c>
      <c r="C4476" s="1128">
        <v>495.75</v>
      </c>
      <c r="D4476" s="1128">
        <v>834.62</v>
      </c>
      <c r="E4476" s="1126"/>
    </row>
    <row r="4477" spans="1:5" x14ac:dyDescent="0.2">
      <c r="A4477" s="1126" t="s">
        <v>5059</v>
      </c>
      <c r="B4477" s="1127">
        <v>287</v>
      </c>
      <c r="C4477" s="1128">
        <v>0</v>
      </c>
      <c r="D4477" s="1128">
        <v>93.49</v>
      </c>
      <c r="E4477" s="1126"/>
    </row>
    <row r="4478" spans="1:5" x14ac:dyDescent="0.2">
      <c r="A4478" s="1126" t="s">
        <v>5060</v>
      </c>
      <c r="B4478" s="1127">
        <v>121</v>
      </c>
      <c r="C4478" s="1128">
        <v>0</v>
      </c>
      <c r="D4478" s="1128">
        <v>21.51</v>
      </c>
      <c r="E4478" s="1126"/>
    </row>
    <row r="4479" spans="1:5" x14ac:dyDescent="0.2">
      <c r="A4479" s="1126" t="s">
        <v>5061</v>
      </c>
      <c r="B4479" s="1127">
        <v>132</v>
      </c>
      <c r="C4479" s="1128">
        <v>0</v>
      </c>
      <c r="D4479" s="1128">
        <v>20.69</v>
      </c>
      <c r="E4479" s="1126"/>
    </row>
    <row r="4480" spans="1:5" x14ac:dyDescent="0.2">
      <c r="A4480" s="1126" t="s">
        <v>5062</v>
      </c>
      <c r="B4480" s="1127">
        <v>58</v>
      </c>
      <c r="C4480" s="1128">
        <v>0</v>
      </c>
      <c r="D4480" s="1128">
        <v>13.64</v>
      </c>
      <c r="E4480" s="1126"/>
    </row>
    <row r="4481" spans="1:5" x14ac:dyDescent="0.2">
      <c r="A4481" s="1126" t="s">
        <v>5063</v>
      </c>
      <c r="B4481" s="1127">
        <v>126</v>
      </c>
      <c r="C4481" s="1128">
        <v>248.4</v>
      </c>
      <c r="D4481" s="1128">
        <v>335.01</v>
      </c>
      <c r="E4481" s="1126"/>
    </row>
    <row r="4482" spans="1:5" x14ac:dyDescent="0.2">
      <c r="A4482" s="1126" t="s">
        <v>5064</v>
      </c>
      <c r="B4482" s="1127">
        <v>192</v>
      </c>
      <c r="C4482" s="1128">
        <v>89.98</v>
      </c>
      <c r="D4482" s="1128">
        <v>221.95</v>
      </c>
      <c r="E4482" s="1126"/>
    </row>
    <row r="4483" spans="1:5" x14ac:dyDescent="0.2">
      <c r="A4483" s="1126" t="s">
        <v>5065</v>
      </c>
      <c r="B4483" s="1127">
        <v>138</v>
      </c>
      <c r="C4483" s="1128">
        <v>353.15</v>
      </c>
      <c r="D4483" s="1128">
        <v>448</v>
      </c>
      <c r="E4483" s="1126"/>
    </row>
    <row r="4484" spans="1:5" x14ac:dyDescent="0.2">
      <c r="A4484" s="1126" t="s">
        <v>5066</v>
      </c>
      <c r="B4484" s="1127">
        <v>167</v>
      </c>
      <c r="C4484" s="1128">
        <v>515.66999999999996</v>
      </c>
      <c r="D4484" s="1128">
        <v>630.46</v>
      </c>
      <c r="E4484" s="1126"/>
    </row>
    <row r="4485" spans="1:5" x14ac:dyDescent="0.2">
      <c r="A4485" s="1126" t="s">
        <v>5067</v>
      </c>
      <c r="B4485" s="1127">
        <v>260</v>
      </c>
      <c r="C4485" s="1128">
        <v>0</v>
      </c>
      <c r="D4485" s="1128">
        <v>135.54</v>
      </c>
      <c r="E4485" s="1126"/>
    </row>
    <row r="4486" spans="1:5" x14ac:dyDescent="0.2">
      <c r="A4486" s="1126" t="s">
        <v>5068</v>
      </c>
      <c r="B4486" s="1127">
        <v>285</v>
      </c>
      <c r="C4486" s="1128">
        <v>0</v>
      </c>
      <c r="D4486" s="1128">
        <v>32.409999999999997</v>
      </c>
      <c r="E4486" s="1126"/>
    </row>
    <row r="4487" spans="1:5" x14ac:dyDescent="0.2">
      <c r="A4487" s="1126" t="s">
        <v>5069</v>
      </c>
      <c r="B4487" s="1127">
        <v>201</v>
      </c>
      <c r="C4487" s="1128">
        <v>0</v>
      </c>
      <c r="D4487" s="1128">
        <v>45.66</v>
      </c>
      <c r="E4487" s="1126"/>
    </row>
    <row r="4488" spans="1:5" x14ac:dyDescent="0.2">
      <c r="A4488" s="1126" t="s">
        <v>5070</v>
      </c>
      <c r="B4488" s="1127">
        <v>174</v>
      </c>
      <c r="C4488" s="1128">
        <v>0</v>
      </c>
      <c r="D4488" s="1128">
        <v>118.93</v>
      </c>
      <c r="E4488" s="1126"/>
    </row>
    <row r="4489" spans="1:5" x14ac:dyDescent="0.2">
      <c r="A4489" s="1126" t="s">
        <v>5071</v>
      </c>
      <c r="B4489" s="1127">
        <v>78</v>
      </c>
      <c r="C4489" s="1128">
        <v>0</v>
      </c>
      <c r="D4489" s="1128">
        <v>42.44</v>
      </c>
      <c r="E4489" s="1126"/>
    </row>
    <row r="4490" spans="1:5" x14ac:dyDescent="0.2">
      <c r="A4490" s="1126" t="s">
        <v>5072</v>
      </c>
      <c r="B4490" s="1127">
        <v>375</v>
      </c>
      <c r="C4490" s="1128">
        <v>119.92</v>
      </c>
      <c r="D4490" s="1128">
        <v>377.68</v>
      </c>
      <c r="E4490" s="1126"/>
    </row>
    <row r="4491" spans="1:5" x14ac:dyDescent="0.2">
      <c r="A4491" s="1126" t="s">
        <v>5073</v>
      </c>
      <c r="B4491" s="1127">
        <v>150</v>
      </c>
      <c r="C4491" s="1128">
        <v>0</v>
      </c>
      <c r="D4491" s="1128">
        <v>84.72</v>
      </c>
      <c r="E4491" s="1126"/>
    </row>
    <row r="4492" spans="1:5" x14ac:dyDescent="0.2">
      <c r="A4492" s="1126" t="s">
        <v>5074</v>
      </c>
      <c r="B4492" s="1127">
        <v>68</v>
      </c>
      <c r="C4492" s="1128">
        <v>0</v>
      </c>
      <c r="D4492" s="1128">
        <v>13.84</v>
      </c>
      <c r="E4492" s="1126"/>
    </row>
    <row r="4493" spans="1:5" x14ac:dyDescent="0.2">
      <c r="A4493" s="1126" t="s">
        <v>5075</v>
      </c>
      <c r="B4493" s="1127">
        <v>410</v>
      </c>
      <c r="C4493" s="1128">
        <v>339.08</v>
      </c>
      <c r="D4493" s="1128">
        <v>620.9</v>
      </c>
      <c r="E4493" s="1126"/>
    </row>
    <row r="4494" spans="1:5" x14ac:dyDescent="0.2">
      <c r="A4494" s="1126" t="s">
        <v>5076</v>
      </c>
      <c r="B4494" s="1127">
        <v>267</v>
      </c>
      <c r="C4494" s="1128">
        <v>6.8</v>
      </c>
      <c r="D4494" s="1128">
        <v>190.33</v>
      </c>
      <c r="E4494" s="1126"/>
    </row>
    <row r="4495" spans="1:5" x14ac:dyDescent="0.2">
      <c r="A4495" s="1126" t="s">
        <v>5077</v>
      </c>
      <c r="B4495" s="1127">
        <v>251</v>
      </c>
      <c r="C4495" s="1128">
        <v>0</v>
      </c>
      <c r="D4495" s="1128">
        <v>71.69</v>
      </c>
      <c r="E4495" s="1126"/>
    </row>
    <row r="4496" spans="1:5" x14ac:dyDescent="0.2">
      <c r="A4496" s="1126" t="s">
        <v>5078</v>
      </c>
      <c r="B4496" s="1127">
        <v>103</v>
      </c>
      <c r="C4496" s="1128">
        <v>0</v>
      </c>
      <c r="D4496" s="1128">
        <v>27.32</v>
      </c>
      <c r="E4496" s="1126"/>
    </row>
    <row r="4497" spans="1:5" x14ac:dyDescent="0.2">
      <c r="A4497" s="1126" t="s">
        <v>5079</v>
      </c>
      <c r="B4497" s="1127">
        <v>86</v>
      </c>
      <c r="C4497" s="1128">
        <v>190.41</v>
      </c>
      <c r="D4497" s="1128">
        <v>249.52</v>
      </c>
      <c r="E4497" s="1126"/>
    </row>
    <row r="4498" spans="1:5" x14ac:dyDescent="0.2">
      <c r="A4498" s="1126" t="s">
        <v>5080</v>
      </c>
      <c r="B4498" s="1127">
        <v>219</v>
      </c>
      <c r="C4498" s="1128">
        <v>122.83</v>
      </c>
      <c r="D4498" s="1128">
        <v>273.36</v>
      </c>
      <c r="E4498" s="1126"/>
    </row>
    <row r="4499" spans="1:5" x14ac:dyDescent="0.2">
      <c r="A4499" s="1126" t="s">
        <v>5081</v>
      </c>
      <c r="B4499" s="1127">
        <v>163</v>
      </c>
      <c r="C4499" s="1128">
        <v>172.08</v>
      </c>
      <c r="D4499" s="1128">
        <v>284.12</v>
      </c>
      <c r="E4499" s="1126"/>
    </row>
    <row r="4500" spans="1:5" x14ac:dyDescent="0.2">
      <c r="A4500" s="1126" t="s">
        <v>5082</v>
      </c>
      <c r="B4500" s="1127">
        <v>147</v>
      </c>
      <c r="C4500" s="1128">
        <v>196.63</v>
      </c>
      <c r="D4500" s="1128">
        <v>297.67</v>
      </c>
      <c r="E4500" s="1126"/>
    </row>
    <row r="4501" spans="1:5" x14ac:dyDescent="0.2">
      <c r="A4501" s="1126" t="s">
        <v>5083</v>
      </c>
      <c r="B4501" s="1127">
        <v>221</v>
      </c>
      <c r="C4501" s="1128">
        <v>210.71</v>
      </c>
      <c r="D4501" s="1128">
        <v>362.62</v>
      </c>
      <c r="E4501" s="1126"/>
    </row>
    <row r="4502" spans="1:5" x14ac:dyDescent="0.2">
      <c r="A4502" s="1126" t="s">
        <v>5084</v>
      </c>
      <c r="B4502" s="1127">
        <v>226</v>
      </c>
      <c r="C4502" s="1128">
        <v>0</v>
      </c>
      <c r="D4502" s="1128">
        <v>135.91999999999999</v>
      </c>
      <c r="E4502" s="1126"/>
    </row>
    <row r="4503" spans="1:5" x14ac:dyDescent="0.2">
      <c r="A4503" s="1126" t="s">
        <v>5085</v>
      </c>
      <c r="B4503" s="1127">
        <v>179</v>
      </c>
      <c r="C4503" s="1128">
        <v>480.22</v>
      </c>
      <c r="D4503" s="1128">
        <v>603.26</v>
      </c>
      <c r="E4503" s="1126"/>
    </row>
    <row r="4504" spans="1:5" x14ac:dyDescent="0.2">
      <c r="A4504" s="1126" t="s">
        <v>5086</v>
      </c>
      <c r="B4504" s="1127">
        <v>81</v>
      </c>
      <c r="C4504" s="1128">
        <v>79.78</v>
      </c>
      <c r="D4504" s="1128">
        <v>135.44999999999999</v>
      </c>
      <c r="E4504" s="1126"/>
    </row>
    <row r="4505" spans="1:5" x14ac:dyDescent="0.2">
      <c r="A4505" s="1126" t="s">
        <v>5087</v>
      </c>
      <c r="B4505" s="1127">
        <v>95</v>
      </c>
      <c r="C4505" s="1128">
        <v>103.05</v>
      </c>
      <c r="D4505" s="1128">
        <v>168.35</v>
      </c>
      <c r="E4505" s="1126"/>
    </row>
    <row r="4506" spans="1:5" x14ac:dyDescent="0.2">
      <c r="A4506" s="1126" t="s">
        <v>5088</v>
      </c>
      <c r="B4506" s="1127">
        <v>113</v>
      </c>
      <c r="C4506" s="1128">
        <v>0</v>
      </c>
      <c r="D4506" s="1128">
        <v>54.99</v>
      </c>
      <c r="E4506" s="1126"/>
    </row>
    <row r="4507" spans="1:5" x14ac:dyDescent="0.2">
      <c r="A4507" s="1126" t="s">
        <v>5089</v>
      </c>
      <c r="B4507" s="1127">
        <v>64</v>
      </c>
      <c r="C4507" s="1128">
        <v>0</v>
      </c>
      <c r="D4507" s="1128">
        <v>22.91</v>
      </c>
      <c r="E4507" s="1126"/>
    </row>
    <row r="4508" spans="1:5" x14ac:dyDescent="0.2">
      <c r="A4508" s="1126" t="s">
        <v>5090</v>
      </c>
      <c r="B4508" s="1127">
        <v>253</v>
      </c>
      <c r="C4508" s="1128">
        <v>457.03</v>
      </c>
      <c r="D4508" s="1128">
        <v>630.92999999999995</v>
      </c>
      <c r="E4508" s="1126"/>
    </row>
    <row r="4509" spans="1:5" x14ac:dyDescent="0.2">
      <c r="A4509" s="1126" t="s">
        <v>5091</v>
      </c>
      <c r="B4509" s="1127">
        <v>332</v>
      </c>
      <c r="C4509" s="1128">
        <v>305.13</v>
      </c>
      <c r="D4509" s="1128">
        <v>533.34</v>
      </c>
      <c r="E4509" s="1126"/>
    </row>
    <row r="4510" spans="1:5" x14ac:dyDescent="0.2">
      <c r="A4510" s="1126" t="s">
        <v>5092</v>
      </c>
      <c r="B4510" s="1127">
        <v>80</v>
      </c>
      <c r="C4510" s="1128">
        <v>0</v>
      </c>
      <c r="D4510" s="1128">
        <v>41.47</v>
      </c>
      <c r="E4510" s="1126"/>
    </row>
    <row r="4511" spans="1:5" x14ac:dyDescent="0.2">
      <c r="A4511" s="1126" t="s">
        <v>5093</v>
      </c>
      <c r="B4511" s="1127">
        <v>238</v>
      </c>
      <c r="C4511" s="1128">
        <v>149.09</v>
      </c>
      <c r="D4511" s="1128">
        <v>312.68</v>
      </c>
      <c r="E4511" s="1126"/>
    </row>
    <row r="4512" spans="1:5" x14ac:dyDescent="0.2">
      <c r="A4512" s="1126" t="s">
        <v>5094</v>
      </c>
      <c r="B4512" s="1127">
        <v>355</v>
      </c>
      <c r="C4512" s="1128">
        <v>0</v>
      </c>
      <c r="D4512" s="1128">
        <v>239.27</v>
      </c>
      <c r="E4512" s="1126"/>
    </row>
    <row r="4513" spans="1:5" x14ac:dyDescent="0.2">
      <c r="A4513" s="1126" t="s">
        <v>5095</v>
      </c>
      <c r="B4513" s="1127">
        <v>407</v>
      </c>
      <c r="C4513" s="1128">
        <v>0</v>
      </c>
      <c r="D4513" s="1128">
        <v>190.55</v>
      </c>
      <c r="E4513" s="1126"/>
    </row>
    <row r="4514" spans="1:5" x14ac:dyDescent="0.2">
      <c r="A4514" s="1126" t="s">
        <v>5096</v>
      </c>
      <c r="B4514" s="1127">
        <v>235</v>
      </c>
      <c r="C4514" s="1128">
        <v>0</v>
      </c>
      <c r="D4514" s="1128">
        <v>114.72</v>
      </c>
      <c r="E4514" s="1126"/>
    </row>
    <row r="4515" spans="1:5" x14ac:dyDescent="0.2">
      <c r="A4515" s="1126" t="s">
        <v>5097</v>
      </c>
      <c r="B4515" s="1127">
        <v>357</v>
      </c>
      <c r="C4515" s="1128">
        <v>573.85</v>
      </c>
      <c r="D4515" s="1128">
        <v>819.24</v>
      </c>
      <c r="E4515" s="1126"/>
    </row>
    <row r="4516" spans="1:5" x14ac:dyDescent="0.2">
      <c r="A4516" s="1126" t="s">
        <v>5098</v>
      </c>
      <c r="B4516" s="1127">
        <v>223</v>
      </c>
      <c r="C4516" s="1128">
        <v>0</v>
      </c>
      <c r="D4516" s="1128">
        <v>125.46</v>
      </c>
      <c r="E4516" s="1126"/>
    </row>
    <row r="4517" spans="1:5" x14ac:dyDescent="0.2">
      <c r="A4517" s="1126" t="s">
        <v>5099</v>
      </c>
      <c r="B4517" s="1127">
        <v>151</v>
      </c>
      <c r="C4517" s="1128">
        <v>136.54</v>
      </c>
      <c r="D4517" s="1128">
        <v>240.33</v>
      </c>
      <c r="E4517" s="1126"/>
    </row>
    <row r="4518" spans="1:5" x14ac:dyDescent="0.2">
      <c r="A4518" s="1126" t="s">
        <v>5100</v>
      </c>
      <c r="B4518" s="1127">
        <v>760</v>
      </c>
      <c r="C4518" s="1128">
        <v>0</v>
      </c>
      <c r="D4518" s="1128">
        <v>54.97</v>
      </c>
      <c r="E4518" s="1126"/>
    </row>
    <row r="4519" spans="1:5" x14ac:dyDescent="0.2">
      <c r="A4519" s="1126" t="s">
        <v>5101</v>
      </c>
      <c r="B4519" s="1127">
        <v>866</v>
      </c>
      <c r="C4519" s="1128">
        <v>0</v>
      </c>
      <c r="D4519" s="1128">
        <v>148.36000000000001</v>
      </c>
      <c r="E4519" s="1126"/>
    </row>
    <row r="4520" spans="1:5" x14ac:dyDescent="0.2">
      <c r="A4520" s="1126" t="s">
        <v>5102</v>
      </c>
      <c r="B4520" s="1127">
        <v>147</v>
      </c>
      <c r="C4520" s="1128">
        <v>0</v>
      </c>
      <c r="D4520" s="1128">
        <v>53.24</v>
      </c>
      <c r="E4520" s="1126"/>
    </row>
    <row r="4521" spans="1:5" x14ac:dyDescent="0.2">
      <c r="A4521" s="1126" t="s">
        <v>5103</v>
      </c>
      <c r="B4521" s="1127">
        <v>493</v>
      </c>
      <c r="C4521" s="1128">
        <v>0</v>
      </c>
      <c r="D4521" s="1128">
        <v>106.61</v>
      </c>
      <c r="E4521" s="1126"/>
    </row>
    <row r="4522" spans="1:5" x14ac:dyDescent="0.2">
      <c r="A4522" s="1126" t="s">
        <v>5104</v>
      </c>
      <c r="B4522" s="1127">
        <v>250</v>
      </c>
      <c r="C4522" s="1128">
        <v>0</v>
      </c>
      <c r="D4522" s="1128">
        <v>89.91</v>
      </c>
      <c r="E4522" s="1126"/>
    </row>
    <row r="4523" spans="1:5" x14ac:dyDescent="0.2">
      <c r="A4523" s="1126" t="s">
        <v>5105</v>
      </c>
      <c r="B4523" s="1127">
        <v>114</v>
      </c>
      <c r="C4523" s="1128">
        <v>0</v>
      </c>
      <c r="D4523" s="1128">
        <v>51.34</v>
      </c>
      <c r="E4523" s="1126"/>
    </row>
    <row r="4524" spans="1:5" x14ac:dyDescent="0.2">
      <c r="A4524" s="1126" t="s">
        <v>5106</v>
      </c>
      <c r="B4524" s="1127">
        <v>93</v>
      </c>
      <c r="C4524" s="1128">
        <v>0</v>
      </c>
      <c r="D4524" s="1128">
        <v>41.84</v>
      </c>
      <c r="E4524" s="1126"/>
    </row>
    <row r="4525" spans="1:5" x14ac:dyDescent="0.2">
      <c r="A4525" s="1126" t="s">
        <v>5107</v>
      </c>
      <c r="B4525" s="1127">
        <v>428</v>
      </c>
      <c r="C4525" s="1128">
        <v>0</v>
      </c>
      <c r="D4525" s="1128">
        <v>144.52000000000001</v>
      </c>
      <c r="E4525" s="1126"/>
    </row>
    <row r="4526" spans="1:5" x14ac:dyDescent="0.2">
      <c r="A4526" s="1126" t="s">
        <v>5108</v>
      </c>
      <c r="B4526" s="1127">
        <v>174</v>
      </c>
      <c r="C4526" s="1128">
        <v>0</v>
      </c>
      <c r="D4526" s="1128">
        <v>46.47</v>
      </c>
      <c r="E4526" s="1126"/>
    </row>
    <row r="4527" spans="1:5" x14ac:dyDescent="0.2">
      <c r="A4527" s="1126" t="s">
        <v>5109</v>
      </c>
      <c r="B4527" s="1127">
        <v>307</v>
      </c>
      <c r="C4527" s="1128">
        <v>280.70999999999998</v>
      </c>
      <c r="D4527" s="1128">
        <v>491.73</v>
      </c>
      <c r="E4527" s="1126"/>
    </row>
    <row r="4528" spans="1:5" x14ac:dyDescent="0.2">
      <c r="A4528" s="1126" t="s">
        <v>5110</v>
      </c>
      <c r="B4528" s="1127">
        <v>121</v>
      </c>
      <c r="C4528" s="1128">
        <v>286.57</v>
      </c>
      <c r="D4528" s="1128">
        <v>369.74</v>
      </c>
      <c r="E4528" s="1126"/>
    </row>
    <row r="4529" spans="1:5" x14ac:dyDescent="0.2">
      <c r="A4529" s="1126" t="s">
        <v>5111</v>
      </c>
      <c r="B4529" s="1127">
        <v>34</v>
      </c>
      <c r="C4529" s="1128">
        <v>19.8</v>
      </c>
      <c r="D4529" s="1128">
        <v>43.17</v>
      </c>
      <c r="E4529" s="1126" t="s">
        <v>669</v>
      </c>
    </row>
    <row r="4530" spans="1:5" x14ac:dyDescent="0.2">
      <c r="A4530" s="1126" t="s">
        <v>5112</v>
      </c>
      <c r="B4530" s="1127">
        <v>535</v>
      </c>
      <c r="C4530" s="1128">
        <v>0</v>
      </c>
      <c r="D4530" s="1128">
        <v>227.33</v>
      </c>
      <c r="E4530" s="1126"/>
    </row>
    <row r="4531" spans="1:5" x14ac:dyDescent="0.2">
      <c r="A4531" s="1126" t="s">
        <v>5113</v>
      </c>
      <c r="B4531" s="1127">
        <v>221</v>
      </c>
      <c r="C4531" s="1128">
        <v>0</v>
      </c>
      <c r="D4531" s="1128">
        <v>127.36</v>
      </c>
      <c r="E4531" s="1126"/>
    </row>
    <row r="4532" spans="1:5" x14ac:dyDescent="0.2">
      <c r="A4532" s="1126" t="s">
        <v>5114</v>
      </c>
      <c r="B4532" s="1127">
        <v>193</v>
      </c>
      <c r="C4532" s="1128">
        <v>0</v>
      </c>
      <c r="D4532" s="1128">
        <v>113.17</v>
      </c>
      <c r="E4532" s="1126"/>
    </row>
    <row r="4533" spans="1:5" x14ac:dyDescent="0.2">
      <c r="A4533" s="1126" t="s">
        <v>5115</v>
      </c>
      <c r="B4533" s="1127">
        <v>230</v>
      </c>
      <c r="C4533" s="1128">
        <v>283.14</v>
      </c>
      <c r="D4533" s="1128">
        <v>441.24</v>
      </c>
      <c r="E4533" s="1126"/>
    </row>
    <row r="4534" spans="1:5" x14ac:dyDescent="0.2">
      <c r="A4534" s="1126" t="s">
        <v>5116</v>
      </c>
      <c r="B4534" s="1127">
        <v>77</v>
      </c>
      <c r="C4534" s="1128">
        <v>20.09</v>
      </c>
      <c r="D4534" s="1128">
        <v>73.02</v>
      </c>
      <c r="E4534" s="1126"/>
    </row>
    <row r="4535" spans="1:5" x14ac:dyDescent="0.2">
      <c r="A4535" s="1126" t="s">
        <v>5117</v>
      </c>
      <c r="B4535" s="1127">
        <v>175</v>
      </c>
      <c r="C4535" s="1128">
        <v>263.16000000000003</v>
      </c>
      <c r="D4535" s="1128">
        <v>383.44</v>
      </c>
      <c r="E4535" s="1126"/>
    </row>
    <row r="4536" spans="1:5" x14ac:dyDescent="0.2">
      <c r="A4536" s="1126" t="s">
        <v>5118</v>
      </c>
      <c r="B4536" s="1127">
        <v>179</v>
      </c>
      <c r="C4536" s="1128">
        <v>344.66</v>
      </c>
      <c r="D4536" s="1128">
        <v>467.69</v>
      </c>
      <c r="E4536" s="1126"/>
    </row>
    <row r="4537" spans="1:5" x14ac:dyDescent="0.2">
      <c r="A4537" s="1126" t="s">
        <v>5119</v>
      </c>
      <c r="B4537" s="1127">
        <v>43</v>
      </c>
      <c r="C4537" s="1128">
        <v>17.04</v>
      </c>
      <c r="D4537" s="1128">
        <v>46.6</v>
      </c>
      <c r="E4537" s="1126"/>
    </row>
    <row r="4538" spans="1:5" x14ac:dyDescent="0.2">
      <c r="A4538" s="1126" t="s">
        <v>5120</v>
      </c>
      <c r="B4538" s="1127">
        <v>216</v>
      </c>
      <c r="C4538" s="1128">
        <v>392.04</v>
      </c>
      <c r="D4538" s="1128">
        <v>540.51</v>
      </c>
      <c r="E4538" s="1126"/>
    </row>
    <row r="4539" spans="1:5" x14ac:dyDescent="0.2">
      <c r="A4539" s="1126" t="s">
        <v>5121</v>
      </c>
      <c r="B4539" s="1127">
        <v>317</v>
      </c>
      <c r="C4539" s="1128">
        <v>0</v>
      </c>
      <c r="D4539" s="1128">
        <v>139.57</v>
      </c>
      <c r="E4539" s="1126"/>
    </row>
    <row r="4540" spans="1:5" x14ac:dyDescent="0.2">
      <c r="A4540" s="1126" t="s">
        <v>5122</v>
      </c>
      <c r="B4540" s="1127">
        <v>202</v>
      </c>
      <c r="C4540" s="1128">
        <v>0</v>
      </c>
      <c r="D4540" s="1128">
        <v>83.31</v>
      </c>
      <c r="E4540" s="1126"/>
    </row>
    <row r="4541" spans="1:5" x14ac:dyDescent="0.2">
      <c r="A4541" s="1126" t="s">
        <v>5123</v>
      </c>
      <c r="B4541" s="1127">
        <v>247</v>
      </c>
      <c r="C4541" s="1128">
        <v>750.26</v>
      </c>
      <c r="D4541" s="1128">
        <v>920.03</v>
      </c>
      <c r="E4541" s="1126"/>
    </row>
    <row r="4542" spans="1:5" x14ac:dyDescent="0.2">
      <c r="A4542" s="1126" t="s">
        <v>5124</v>
      </c>
      <c r="B4542" s="1127">
        <v>329</v>
      </c>
      <c r="C4542" s="1128">
        <v>115.53</v>
      </c>
      <c r="D4542" s="1128">
        <v>341.67</v>
      </c>
      <c r="E4542" s="1126"/>
    </row>
    <row r="4543" spans="1:5" x14ac:dyDescent="0.2">
      <c r="A4543" s="1126" t="s">
        <v>5125</v>
      </c>
      <c r="B4543" s="1127">
        <v>586</v>
      </c>
      <c r="C4543" s="1128">
        <v>0</v>
      </c>
      <c r="D4543" s="1128">
        <v>135.1</v>
      </c>
      <c r="E4543" s="1126"/>
    </row>
    <row r="4544" spans="1:5" x14ac:dyDescent="0.2">
      <c r="A4544" s="1126" t="s">
        <v>5126</v>
      </c>
      <c r="B4544" s="1127">
        <v>200</v>
      </c>
      <c r="C4544" s="1128">
        <v>0</v>
      </c>
      <c r="D4544" s="1128">
        <v>10.050000000000001</v>
      </c>
      <c r="E4544" s="1126"/>
    </row>
    <row r="4545" spans="1:5" x14ac:dyDescent="0.2">
      <c r="A4545" s="1126" t="s">
        <v>5127</v>
      </c>
      <c r="B4545" s="1127">
        <v>99</v>
      </c>
      <c r="C4545" s="1128">
        <v>0</v>
      </c>
      <c r="D4545" s="1128">
        <v>13.31</v>
      </c>
      <c r="E4545" s="1126"/>
    </row>
    <row r="4546" spans="1:5" x14ac:dyDescent="0.2">
      <c r="A4546" s="1126" t="s">
        <v>5128</v>
      </c>
      <c r="B4546" s="1127">
        <v>397</v>
      </c>
      <c r="C4546" s="1128">
        <v>0</v>
      </c>
      <c r="D4546" s="1128">
        <v>82.45</v>
      </c>
      <c r="E4546" s="1126"/>
    </row>
    <row r="4547" spans="1:5" x14ac:dyDescent="0.2">
      <c r="A4547" s="1126" t="s">
        <v>5129</v>
      </c>
      <c r="B4547" s="1127">
        <v>245</v>
      </c>
      <c r="C4547" s="1128">
        <v>0</v>
      </c>
      <c r="D4547" s="1128">
        <v>78.239999999999995</v>
      </c>
      <c r="E4547" s="1126"/>
    </row>
    <row r="4548" spans="1:5" x14ac:dyDescent="0.2">
      <c r="A4548" s="1126" t="s">
        <v>5130</v>
      </c>
      <c r="B4548" s="1127">
        <v>334</v>
      </c>
      <c r="C4548" s="1128">
        <v>187.58</v>
      </c>
      <c r="D4548" s="1128">
        <v>417.16</v>
      </c>
      <c r="E4548" s="1126"/>
    </row>
    <row r="4549" spans="1:5" x14ac:dyDescent="0.2">
      <c r="A4549" s="1126" t="s">
        <v>5131</v>
      </c>
      <c r="B4549" s="1127">
        <v>127</v>
      </c>
      <c r="C4549" s="1128">
        <v>213.95</v>
      </c>
      <c r="D4549" s="1128">
        <v>301.25</v>
      </c>
      <c r="E4549" s="1126"/>
    </row>
    <row r="4550" spans="1:5" x14ac:dyDescent="0.2">
      <c r="A4550" s="1126" t="s">
        <v>5132</v>
      </c>
      <c r="B4550" s="1127">
        <v>232</v>
      </c>
      <c r="C4550" s="1128">
        <v>168.36</v>
      </c>
      <c r="D4550" s="1128">
        <v>327.83</v>
      </c>
      <c r="E4550" s="1126"/>
    </row>
    <row r="4551" spans="1:5" x14ac:dyDescent="0.2">
      <c r="A4551" s="1126" t="s">
        <v>5133</v>
      </c>
      <c r="B4551" s="1127">
        <v>363</v>
      </c>
      <c r="C4551" s="1128">
        <v>0</v>
      </c>
      <c r="D4551" s="1128">
        <v>114.65</v>
      </c>
      <c r="E4551" s="1126"/>
    </row>
    <row r="4552" spans="1:5" x14ac:dyDescent="0.2">
      <c r="A4552" s="1126" t="s">
        <v>5134</v>
      </c>
      <c r="B4552" s="1127">
        <v>167</v>
      </c>
      <c r="C4552" s="1128">
        <v>117.34</v>
      </c>
      <c r="D4552" s="1128">
        <v>232.13</v>
      </c>
      <c r="E4552" s="1126"/>
    </row>
    <row r="4553" spans="1:5" x14ac:dyDescent="0.2">
      <c r="A4553" s="1126" t="s">
        <v>5135</v>
      </c>
      <c r="B4553" s="1127">
        <v>201</v>
      </c>
      <c r="C4553" s="1128">
        <v>114.16</v>
      </c>
      <c r="D4553" s="1128">
        <v>252.32</v>
      </c>
      <c r="E4553" s="1126"/>
    </row>
    <row r="4554" spans="1:5" x14ac:dyDescent="0.2">
      <c r="A4554" s="1126" t="s">
        <v>5136</v>
      </c>
      <c r="B4554" s="1127">
        <v>84</v>
      </c>
      <c r="C4554" s="1128">
        <v>0</v>
      </c>
      <c r="D4554" s="1128">
        <v>37.92</v>
      </c>
      <c r="E4554" s="1126"/>
    </row>
    <row r="4555" spans="1:5" x14ac:dyDescent="0.2">
      <c r="A4555" s="1126" t="s">
        <v>5137</v>
      </c>
      <c r="B4555" s="1127">
        <v>166</v>
      </c>
      <c r="C4555" s="1128">
        <v>92.81</v>
      </c>
      <c r="D4555" s="1128">
        <v>206.91</v>
      </c>
      <c r="E4555" s="1126"/>
    </row>
    <row r="4556" spans="1:5" x14ac:dyDescent="0.2">
      <c r="A4556" s="1126" t="s">
        <v>5138</v>
      </c>
      <c r="B4556" s="1127">
        <v>169</v>
      </c>
      <c r="C4556" s="1128">
        <v>562.44000000000005</v>
      </c>
      <c r="D4556" s="1128">
        <v>678.6</v>
      </c>
      <c r="E4556" s="1126"/>
    </row>
    <row r="4557" spans="1:5" x14ac:dyDescent="0.2">
      <c r="A4557" s="1126" t="s">
        <v>5139</v>
      </c>
      <c r="B4557" s="1127">
        <v>436</v>
      </c>
      <c r="C4557" s="1128">
        <v>0</v>
      </c>
      <c r="D4557" s="1128">
        <v>6.14</v>
      </c>
      <c r="E4557" s="1126"/>
    </row>
    <row r="4558" spans="1:5" x14ac:dyDescent="0.2">
      <c r="A4558" s="1126" t="s">
        <v>5140</v>
      </c>
      <c r="B4558" s="1127">
        <v>191</v>
      </c>
      <c r="C4558" s="1128">
        <v>245.74</v>
      </c>
      <c r="D4558" s="1128">
        <v>377.03</v>
      </c>
      <c r="E4558" s="1126"/>
    </row>
    <row r="4559" spans="1:5" x14ac:dyDescent="0.2">
      <c r="A4559" s="1126" t="s">
        <v>5141</v>
      </c>
      <c r="B4559" s="1127">
        <v>319</v>
      </c>
      <c r="C4559" s="1128">
        <v>0</v>
      </c>
      <c r="D4559" s="1128">
        <v>56.88</v>
      </c>
      <c r="E4559" s="1126"/>
    </row>
    <row r="4560" spans="1:5" x14ac:dyDescent="0.2">
      <c r="A4560" s="1126" t="s">
        <v>5142</v>
      </c>
      <c r="B4560" s="1127">
        <v>94</v>
      </c>
      <c r="C4560" s="1128">
        <v>0</v>
      </c>
      <c r="D4560" s="1128">
        <v>44.65</v>
      </c>
      <c r="E4560" s="1126"/>
    </row>
    <row r="4561" spans="1:5" x14ac:dyDescent="0.2">
      <c r="A4561" s="1126" t="s">
        <v>5143</v>
      </c>
      <c r="B4561" s="1127">
        <v>432</v>
      </c>
      <c r="C4561" s="1128">
        <v>581.84</v>
      </c>
      <c r="D4561" s="1128">
        <v>878.78</v>
      </c>
      <c r="E4561" s="1126"/>
    </row>
    <row r="4562" spans="1:5" x14ac:dyDescent="0.2">
      <c r="A4562" s="1126" t="s">
        <v>5144</v>
      </c>
      <c r="B4562" s="1127">
        <v>290</v>
      </c>
      <c r="C4562" s="1128">
        <v>0</v>
      </c>
      <c r="D4562" s="1128">
        <v>44.07</v>
      </c>
      <c r="E4562" s="1126"/>
    </row>
    <row r="4563" spans="1:5" x14ac:dyDescent="0.2">
      <c r="A4563" s="1126" t="s">
        <v>5145</v>
      </c>
      <c r="B4563" s="1127">
        <v>245</v>
      </c>
      <c r="C4563" s="1128">
        <v>0</v>
      </c>
      <c r="D4563" s="1128">
        <v>141.81</v>
      </c>
      <c r="E4563" s="1126"/>
    </row>
    <row r="4564" spans="1:5" x14ac:dyDescent="0.2">
      <c r="A4564" s="1126" t="s">
        <v>5146</v>
      </c>
      <c r="B4564" s="1127">
        <v>282</v>
      </c>
      <c r="C4564" s="1128">
        <v>0</v>
      </c>
      <c r="D4564" s="1128">
        <v>119.3</v>
      </c>
      <c r="E4564" s="1126"/>
    </row>
    <row r="4565" spans="1:5" x14ac:dyDescent="0.2">
      <c r="A4565" s="1126" t="s">
        <v>5147</v>
      </c>
      <c r="B4565" s="1127">
        <v>424</v>
      </c>
      <c r="C4565" s="1128">
        <v>0</v>
      </c>
      <c r="D4565" s="1128">
        <v>235.06</v>
      </c>
      <c r="E4565" s="1126"/>
    </row>
    <row r="4566" spans="1:5" x14ac:dyDescent="0.2">
      <c r="A4566" s="1126" t="s">
        <v>5148</v>
      </c>
      <c r="B4566" s="1127">
        <v>197</v>
      </c>
      <c r="C4566" s="1128">
        <v>424.17</v>
      </c>
      <c r="D4566" s="1128">
        <v>559.58000000000004</v>
      </c>
      <c r="E4566" s="1126"/>
    </row>
    <row r="4567" spans="1:5" x14ac:dyDescent="0.2">
      <c r="A4567" s="1126" t="s">
        <v>5149</v>
      </c>
      <c r="B4567" s="1127">
        <v>238</v>
      </c>
      <c r="C4567" s="1128">
        <v>0</v>
      </c>
      <c r="D4567" s="1128">
        <v>31.76</v>
      </c>
      <c r="E4567" s="1126"/>
    </row>
    <row r="4568" spans="1:5" x14ac:dyDescent="0.2">
      <c r="A4568" s="1126" t="s">
        <v>5150</v>
      </c>
      <c r="B4568" s="1127">
        <v>287</v>
      </c>
      <c r="C4568" s="1128">
        <v>0</v>
      </c>
      <c r="D4568" s="1128">
        <v>152.28</v>
      </c>
      <c r="E4568" s="1126"/>
    </row>
    <row r="4569" spans="1:5" x14ac:dyDescent="0.2">
      <c r="A4569" s="1126" t="s">
        <v>5151</v>
      </c>
      <c r="B4569" s="1127">
        <v>247</v>
      </c>
      <c r="C4569" s="1128">
        <v>242.96</v>
      </c>
      <c r="D4569" s="1128">
        <v>412.74</v>
      </c>
      <c r="E4569" s="1126"/>
    </row>
    <row r="4570" spans="1:5" x14ac:dyDescent="0.2">
      <c r="A4570" s="1126" t="s">
        <v>5152</v>
      </c>
      <c r="B4570" s="1127">
        <v>429</v>
      </c>
      <c r="C4570" s="1128">
        <v>0</v>
      </c>
      <c r="D4570" s="1128">
        <v>207.67</v>
      </c>
      <c r="E4570" s="1126"/>
    </row>
    <row r="4571" spans="1:5" x14ac:dyDescent="0.2">
      <c r="A4571" s="1126" t="s">
        <v>5153</v>
      </c>
      <c r="B4571" s="1127">
        <v>181</v>
      </c>
      <c r="C4571" s="1128">
        <v>363.6</v>
      </c>
      <c r="D4571" s="1128">
        <v>488.01</v>
      </c>
      <c r="E4571" s="1126"/>
    </row>
    <row r="4572" spans="1:5" x14ac:dyDescent="0.2">
      <c r="A4572" s="1126" t="s">
        <v>5154</v>
      </c>
      <c r="B4572" s="1127">
        <v>99</v>
      </c>
      <c r="C4572" s="1128">
        <v>183.82</v>
      </c>
      <c r="D4572" s="1128">
        <v>251.87</v>
      </c>
      <c r="E4572" s="1126"/>
    </row>
    <row r="4573" spans="1:5" x14ac:dyDescent="0.2">
      <c r="A4573" s="1126" t="s">
        <v>5155</v>
      </c>
      <c r="B4573" s="1127">
        <v>277</v>
      </c>
      <c r="C4573" s="1128">
        <v>189.49</v>
      </c>
      <c r="D4573" s="1128">
        <v>379.89</v>
      </c>
      <c r="E4573" s="1126"/>
    </row>
    <row r="4574" spans="1:5" x14ac:dyDescent="0.2">
      <c r="A4574" s="1126" t="s">
        <v>5156</v>
      </c>
      <c r="B4574" s="1127">
        <v>162</v>
      </c>
      <c r="C4574" s="1128">
        <v>184.15</v>
      </c>
      <c r="D4574" s="1128">
        <v>295.5</v>
      </c>
      <c r="E4574" s="1126"/>
    </row>
    <row r="4575" spans="1:5" x14ac:dyDescent="0.2">
      <c r="A4575" s="1126" t="s">
        <v>5157</v>
      </c>
      <c r="B4575" s="1127">
        <v>88</v>
      </c>
      <c r="C4575" s="1128">
        <v>60.65</v>
      </c>
      <c r="D4575" s="1128">
        <v>121.14</v>
      </c>
      <c r="E4575" s="1126"/>
    </row>
    <row r="4576" spans="1:5" x14ac:dyDescent="0.2">
      <c r="A4576" s="1126" t="s">
        <v>5158</v>
      </c>
      <c r="B4576" s="1127">
        <v>119</v>
      </c>
      <c r="C4576" s="1128">
        <v>0</v>
      </c>
      <c r="D4576" s="1128">
        <v>80.98</v>
      </c>
      <c r="E4576" s="1126"/>
    </row>
    <row r="4577" spans="1:5" x14ac:dyDescent="0.2">
      <c r="A4577" s="1126" t="s">
        <v>5159</v>
      </c>
      <c r="B4577" s="1127">
        <v>290</v>
      </c>
      <c r="C4577" s="1128">
        <v>1110.1400000000001</v>
      </c>
      <c r="D4577" s="1128">
        <v>1309.48</v>
      </c>
      <c r="E4577" s="1126"/>
    </row>
    <row r="4578" spans="1:5" x14ac:dyDescent="0.2">
      <c r="A4578" s="1126" t="s">
        <v>5160</v>
      </c>
      <c r="B4578" s="1127">
        <v>619</v>
      </c>
      <c r="C4578" s="1128">
        <v>778.25</v>
      </c>
      <c r="D4578" s="1128">
        <v>1203.73</v>
      </c>
      <c r="E4578" s="1126"/>
    </row>
    <row r="4579" spans="1:5" x14ac:dyDescent="0.2">
      <c r="A4579" s="1126" t="s">
        <v>5161</v>
      </c>
      <c r="B4579" s="1127">
        <v>127</v>
      </c>
      <c r="C4579" s="1128">
        <v>356.76</v>
      </c>
      <c r="D4579" s="1128">
        <v>444.05</v>
      </c>
      <c r="E4579" s="1126"/>
    </row>
    <row r="4580" spans="1:5" x14ac:dyDescent="0.2">
      <c r="A4580" s="1126" t="s">
        <v>5162</v>
      </c>
      <c r="B4580" s="1127">
        <v>155</v>
      </c>
      <c r="C4580" s="1128">
        <v>87.59</v>
      </c>
      <c r="D4580" s="1128">
        <v>194.13</v>
      </c>
      <c r="E4580" s="1126"/>
    </row>
    <row r="4581" spans="1:5" x14ac:dyDescent="0.2">
      <c r="A4581" s="1126" t="s">
        <v>5163</v>
      </c>
      <c r="B4581" s="1127">
        <v>283</v>
      </c>
      <c r="C4581" s="1128">
        <v>108.57</v>
      </c>
      <c r="D4581" s="1128">
        <v>303.08999999999997</v>
      </c>
      <c r="E4581" s="1126"/>
    </row>
    <row r="4582" spans="1:5" x14ac:dyDescent="0.2">
      <c r="A4582" s="1126" t="s">
        <v>5164</v>
      </c>
      <c r="B4582" s="1127">
        <v>466</v>
      </c>
      <c r="C4582" s="1128">
        <v>0</v>
      </c>
      <c r="D4582" s="1128">
        <v>58.7</v>
      </c>
      <c r="E4582" s="1126"/>
    </row>
    <row r="4583" spans="1:5" x14ac:dyDescent="0.2">
      <c r="A4583" s="1126" t="s">
        <v>5165</v>
      </c>
      <c r="B4583" s="1127">
        <v>429</v>
      </c>
      <c r="C4583" s="1128">
        <v>36.76</v>
      </c>
      <c r="D4583" s="1128">
        <v>331.64</v>
      </c>
      <c r="E4583" s="1126"/>
    </row>
    <row r="4584" spans="1:5" x14ac:dyDescent="0.2">
      <c r="A4584" s="1126" t="s">
        <v>5166</v>
      </c>
      <c r="B4584" s="1127">
        <v>288</v>
      </c>
      <c r="C4584" s="1128">
        <v>66.17</v>
      </c>
      <c r="D4584" s="1128">
        <v>264.13</v>
      </c>
      <c r="E4584" s="1126"/>
    </row>
    <row r="4585" spans="1:5" x14ac:dyDescent="0.2">
      <c r="A4585" s="1126" t="s">
        <v>5167</v>
      </c>
      <c r="B4585" s="1127">
        <v>438</v>
      </c>
      <c r="C4585" s="1128">
        <v>0</v>
      </c>
      <c r="D4585" s="1128">
        <v>269.79000000000002</v>
      </c>
      <c r="E4585" s="1126"/>
    </row>
    <row r="4586" spans="1:5" x14ac:dyDescent="0.2">
      <c r="A4586" s="1126" t="s">
        <v>5168</v>
      </c>
      <c r="B4586" s="1127">
        <v>397</v>
      </c>
      <c r="C4586" s="1128">
        <v>361.96</v>
      </c>
      <c r="D4586" s="1128">
        <v>634.84</v>
      </c>
      <c r="E4586" s="1126"/>
    </row>
    <row r="4587" spans="1:5" x14ac:dyDescent="0.2">
      <c r="A4587" s="1126" t="s">
        <v>5169</v>
      </c>
      <c r="B4587" s="1127">
        <v>181</v>
      </c>
      <c r="C4587" s="1128">
        <v>0</v>
      </c>
      <c r="D4587" s="1128">
        <v>91.67</v>
      </c>
      <c r="E4587" s="1126"/>
    </row>
    <row r="4588" spans="1:5" x14ac:dyDescent="0.2">
      <c r="A4588" s="1126" t="s">
        <v>5170</v>
      </c>
      <c r="B4588" s="1127">
        <v>370</v>
      </c>
      <c r="C4588" s="1128">
        <v>0</v>
      </c>
      <c r="D4588" s="1128">
        <v>125.02</v>
      </c>
      <c r="E4588" s="1126"/>
    </row>
    <row r="4589" spans="1:5" x14ac:dyDescent="0.2">
      <c r="A4589" s="1126" t="s">
        <v>5171</v>
      </c>
      <c r="B4589" s="1127">
        <v>328</v>
      </c>
      <c r="C4589" s="1128">
        <v>91.7</v>
      </c>
      <c r="D4589" s="1128">
        <v>317.16000000000003</v>
      </c>
      <c r="E4589" s="1126"/>
    </row>
    <row r="4590" spans="1:5" x14ac:dyDescent="0.2">
      <c r="A4590" s="1126" t="s">
        <v>5172</v>
      </c>
      <c r="B4590" s="1127">
        <v>328</v>
      </c>
      <c r="C4590" s="1128">
        <v>287.91000000000003</v>
      </c>
      <c r="D4590" s="1128">
        <v>513.37</v>
      </c>
      <c r="E4590" s="1126"/>
    </row>
    <row r="4591" spans="1:5" x14ac:dyDescent="0.2">
      <c r="A4591" s="1126" t="s">
        <v>5173</v>
      </c>
      <c r="B4591" s="1127">
        <v>260</v>
      </c>
      <c r="C4591" s="1128">
        <v>0</v>
      </c>
      <c r="D4591" s="1128">
        <v>22.36</v>
      </c>
      <c r="E4591" s="1126"/>
    </row>
    <row r="4592" spans="1:5" x14ac:dyDescent="0.2">
      <c r="A4592" s="1126" t="s">
        <v>5174</v>
      </c>
      <c r="B4592" s="1127">
        <v>743</v>
      </c>
      <c r="C4592" s="1128">
        <v>17.75</v>
      </c>
      <c r="D4592" s="1128">
        <v>528.46</v>
      </c>
      <c r="E4592" s="1126"/>
    </row>
    <row r="4593" spans="1:5" x14ac:dyDescent="0.2">
      <c r="A4593" s="1126" t="s">
        <v>5175</v>
      </c>
      <c r="B4593" s="1127">
        <v>234</v>
      </c>
      <c r="C4593" s="1128">
        <v>496.34</v>
      </c>
      <c r="D4593" s="1128">
        <v>657.19</v>
      </c>
      <c r="E4593" s="1126"/>
    </row>
    <row r="4594" spans="1:5" x14ac:dyDescent="0.2">
      <c r="A4594" s="1126" t="s">
        <v>5176</v>
      </c>
      <c r="B4594" s="1127">
        <v>383</v>
      </c>
      <c r="C4594" s="1128">
        <v>809.19</v>
      </c>
      <c r="D4594" s="1128">
        <v>1072.45</v>
      </c>
      <c r="E4594" s="1126"/>
    </row>
    <row r="4595" spans="1:5" x14ac:dyDescent="0.2">
      <c r="A4595" s="1126" t="s">
        <v>5177</v>
      </c>
      <c r="B4595" s="1127">
        <v>95</v>
      </c>
      <c r="C4595" s="1128">
        <v>262.82</v>
      </c>
      <c r="D4595" s="1128">
        <v>328.12</v>
      </c>
      <c r="E4595" s="1126"/>
    </row>
    <row r="4596" spans="1:5" x14ac:dyDescent="0.2">
      <c r="A4596" s="1126" t="s">
        <v>5178</v>
      </c>
      <c r="B4596" s="1127">
        <v>71</v>
      </c>
      <c r="C4596" s="1128">
        <v>133.99</v>
      </c>
      <c r="D4596" s="1128">
        <v>182.79</v>
      </c>
      <c r="E4596" s="1126"/>
    </row>
    <row r="4597" spans="1:5" x14ac:dyDescent="0.2">
      <c r="A4597" s="1126" t="s">
        <v>5179</v>
      </c>
      <c r="B4597" s="1127">
        <v>137</v>
      </c>
      <c r="C4597" s="1128">
        <v>211.31</v>
      </c>
      <c r="D4597" s="1128">
        <v>305.48</v>
      </c>
      <c r="E4597" s="1126"/>
    </row>
    <row r="4598" spans="1:5" x14ac:dyDescent="0.2">
      <c r="A4598" s="1126" t="s">
        <v>5180</v>
      </c>
      <c r="B4598" s="1127">
        <v>208</v>
      </c>
      <c r="C4598" s="1128">
        <v>10.01</v>
      </c>
      <c r="D4598" s="1128">
        <v>152.97999999999999</v>
      </c>
      <c r="E4598" s="1126"/>
    </row>
    <row r="4599" spans="1:5" x14ac:dyDescent="0.2">
      <c r="A4599" s="1126" t="s">
        <v>5181</v>
      </c>
      <c r="B4599" s="1127">
        <v>216</v>
      </c>
      <c r="C4599" s="1128">
        <v>74.56</v>
      </c>
      <c r="D4599" s="1128">
        <v>223.03</v>
      </c>
      <c r="E4599" s="1126"/>
    </row>
    <row r="4600" spans="1:5" x14ac:dyDescent="0.2">
      <c r="A4600" s="1126" t="s">
        <v>5182</v>
      </c>
      <c r="B4600" s="1127">
        <v>90</v>
      </c>
      <c r="C4600" s="1128">
        <v>0</v>
      </c>
      <c r="D4600" s="1128">
        <v>49.04</v>
      </c>
      <c r="E4600" s="1126"/>
    </row>
    <row r="4601" spans="1:5" x14ac:dyDescent="0.2">
      <c r="A4601" s="1126" t="s">
        <v>5183</v>
      </c>
      <c r="B4601" s="1127">
        <v>439</v>
      </c>
      <c r="C4601" s="1128">
        <v>0</v>
      </c>
      <c r="D4601" s="1128">
        <v>82.52</v>
      </c>
      <c r="E4601" s="1126"/>
    </row>
    <row r="4602" spans="1:5" x14ac:dyDescent="0.2">
      <c r="A4602" s="1126" t="s">
        <v>5184</v>
      </c>
      <c r="B4602" s="1127">
        <v>482</v>
      </c>
      <c r="C4602" s="1128">
        <v>0</v>
      </c>
      <c r="D4602" s="1128">
        <v>136.63999999999999</v>
      </c>
      <c r="E4602" s="1126"/>
    </row>
    <row r="4603" spans="1:5" x14ac:dyDescent="0.2">
      <c r="A4603" s="1126" t="s">
        <v>5185</v>
      </c>
      <c r="B4603" s="1127">
        <v>446</v>
      </c>
      <c r="C4603" s="1128">
        <v>78.69</v>
      </c>
      <c r="D4603" s="1128">
        <v>385.26</v>
      </c>
      <c r="E4603" s="1126"/>
    </row>
    <row r="4604" spans="1:5" x14ac:dyDescent="0.2">
      <c r="A4604" s="1126" t="s">
        <v>5186</v>
      </c>
      <c r="B4604" s="1127">
        <v>476</v>
      </c>
      <c r="C4604" s="1128">
        <v>28.21</v>
      </c>
      <c r="D4604" s="1128">
        <v>355.39</v>
      </c>
      <c r="E4604" s="1126"/>
    </row>
    <row r="4605" spans="1:5" x14ac:dyDescent="0.2">
      <c r="A4605" s="1126" t="s">
        <v>5187</v>
      </c>
      <c r="B4605" s="1127">
        <v>325</v>
      </c>
      <c r="C4605" s="1128">
        <v>876.29</v>
      </c>
      <c r="D4605" s="1128">
        <v>1099.68</v>
      </c>
      <c r="E4605" s="1126"/>
    </row>
    <row r="4606" spans="1:5" x14ac:dyDescent="0.2">
      <c r="A4606" s="1126" t="s">
        <v>5188</v>
      </c>
      <c r="B4606" s="1127">
        <v>260</v>
      </c>
      <c r="C4606" s="1128">
        <v>0</v>
      </c>
      <c r="D4606" s="1128">
        <v>45.16</v>
      </c>
      <c r="E4606" s="1126"/>
    </row>
    <row r="4607" spans="1:5" x14ac:dyDescent="0.2">
      <c r="A4607" s="1126" t="s">
        <v>5189</v>
      </c>
      <c r="B4607" s="1127">
        <v>78</v>
      </c>
      <c r="C4607" s="1128">
        <v>209.67</v>
      </c>
      <c r="D4607" s="1128">
        <v>263.29000000000002</v>
      </c>
      <c r="E4607" s="1126"/>
    </row>
    <row r="4608" spans="1:5" x14ac:dyDescent="0.2">
      <c r="A4608" s="1126" t="s">
        <v>5190</v>
      </c>
      <c r="B4608" s="1127">
        <v>381</v>
      </c>
      <c r="C4608" s="1128">
        <v>1215.1199999999999</v>
      </c>
      <c r="D4608" s="1128">
        <v>1477.01</v>
      </c>
      <c r="E4608" s="1126"/>
    </row>
    <row r="4609" spans="1:5" x14ac:dyDescent="0.2">
      <c r="A4609" s="1126" t="s">
        <v>5191</v>
      </c>
      <c r="B4609" s="1127">
        <v>411</v>
      </c>
      <c r="C4609" s="1128">
        <v>0</v>
      </c>
      <c r="D4609" s="1128">
        <v>271.72000000000003</v>
      </c>
      <c r="E4609" s="1126"/>
    </row>
    <row r="4610" spans="1:5" x14ac:dyDescent="0.2">
      <c r="A4610" s="1126" t="s">
        <v>5192</v>
      </c>
      <c r="B4610" s="1127">
        <v>265</v>
      </c>
      <c r="C4610" s="1128">
        <v>68.81</v>
      </c>
      <c r="D4610" s="1128">
        <v>250.96</v>
      </c>
      <c r="E4610" s="1126"/>
    </row>
    <row r="4611" spans="1:5" x14ac:dyDescent="0.2">
      <c r="A4611" s="1126" t="s">
        <v>5193</v>
      </c>
      <c r="B4611" s="1127">
        <v>154</v>
      </c>
      <c r="C4611" s="1128">
        <v>128.19</v>
      </c>
      <c r="D4611" s="1128">
        <v>234.05</v>
      </c>
      <c r="E4611" s="1126"/>
    </row>
    <row r="4612" spans="1:5" x14ac:dyDescent="0.2">
      <c r="A4612" s="1126" t="s">
        <v>5194</v>
      </c>
      <c r="B4612" s="1127">
        <v>204</v>
      </c>
      <c r="C4612" s="1128">
        <v>84.62</v>
      </c>
      <c r="D4612" s="1128">
        <v>224.85</v>
      </c>
      <c r="E4612" s="1126"/>
    </row>
    <row r="4613" spans="1:5" x14ac:dyDescent="0.2">
      <c r="A4613" s="1126" t="s">
        <v>5195</v>
      </c>
      <c r="B4613" s="1127">
        <v>359</v>
      </c>
      <c r="C4613" s="1128">
        <v>370.47</v>
      </c>
      <c r="D4613" s="1128">
        <v>617.24</v>
      </c>
      <c r="E4613" s="1126"/>
    </row>
    <row r="4614" spans="1:5" x14ac:dyDescent="0.2">
      <c r="A4614" s="1126" t="s">
        <v>5196</v>
      </c>
      <c r="B4614" s="1127">
        <v>163</v>
      </c>
      <c r="C4614" s="1128">
        <v>552.84</v>
      </c>
      <c r="D4614" s="1128">
        <v>664.88</v>
      </c>
      <c r="E4614" s="1126"/>
    </row>
    <row r="4615" spans="1:5" x14ac:dyDescent="0.2">
      <c r="A4615" s="1126" t="s">
        <v>5197</v>
      </c>
      <c r="B4615" s="1127">
        <v>201</v>
      </c>
      <c r="C4615" s="1128">
        <v>80.819999999999993</v>
      </c>
      <c r="D4615" s="1128">
        <v>218.98</v>
      </c>
      <c r="E4615" s="1126"/>
    </row>
    <row r="4616" spans="1:5" x14ac:dyDescent="0.2">
      <c r="A4616" s="1126" t="s">
        <v>5198</v>
      </c>
      <c r="B4616" s="1127">
        <v>65</v>
      </c>
      <c r="C4616" s="1128">
        <v>7.17</v>
      </c>
      <c r="D4616" s="1128">
        <v>51.85</v>
      </c>
      <c r="E4616" s="1126"/>
    </row>
    <row r="4617" spans="1:5" x14ac:dyDescent="0.2">
      <c r="A4617" s="1126" t="s">
        <v>5199</v>
      </c>
      <c r="B4617" s="1127">
        <v>388</v>
      </c>
      <c r="C4617" s="1128">
        <v>0</v>
      </c>
      <c r="D4617" s="1128">
        <v>201.72</v>
      </c>
      <c r="E4617" s="1126"/>
    </row>
    <row r="4618" spans="1:5" x14ac:dyDescent="0.2">
      <c r="A4618" s="1126" t="s">
        <v>5200</v>
      </c>
      <c r="B4618" s="1127">
        <v>415</v>
      </c>
      <c r="C4618" s="1128">
        <v>0</v>
      </c>
      <c r="D4618" s="1128">
        <v>20.77</v>
      </c>
      <c r="E4618" s="1126"/>
    </row>
    <row r="4619" spans="1:5" x14ac:dyDescent="0.2">
      <c r="A4619" s="1126" t="s">
        <v>5201</v>
      </c>
      <c r="B4619" s="1127">
        <v>211</v>
      </c>
      <c r="C4619" s="1128">
        <v>747.16</v>
      </c>
      <c r="D4619" s="1128">
        <v>892.2</v>
      </c>
      <c r="E4619" s="1126"/>
    </row>
    <row r="4620" spans="1:5" x14ac:dyDescent="0.2">
      <c r="A4620" s="1126" t="s">
        <v>5202</v>
      </c>
      <c r="B4620" s="1127">
        <v>169</v>
      </c>
      <c r="C4620" s="1128">
        <v>63.96</v>
      </c>
      <c r="D4620" s="1128">
        <v>180.12</v>
      </c>
      <c r="E4620" s="1126"/>
    </row>
    <row r="4621" spans="1:5" x14ac:dyDescent="0.2">
      <c r="A4621" s="1126" t="s">
        <v>5203</v>
      </c>
      <c r="B4621" s="1127">
        <v>51</v>
      </c>
      <c r="C4621" s="1128">
        <v>56.18</v>
      </c>
      <c r="D4621" s="1128">
        <v>91.23</v>
      </c>
      <c r="E4621" s="1126"/>
    </row>
    <row r="4622" spans="1:5" x14ac:dyDescent="0.2">
      <c r="A4622" s="1126" t="s">
        <v>5204</v>
      </c>
      <c r="B4622" s="1127">
        <v>182</v>
      </c>
      <c r="C4622" s="1128">
        <v>281.33</v>
      </c>
      <c r="D4622" s="1128">
        <v>406.43</v>
      </c>
      <c r="E4622" s="1126"/>
    </row>
    <row r="4623" spans="1:5" x14ac:dyDescent="0.2">
      <c r="A4623" s="1126" t="s">
        <v>5205</v>
      </c>
      <c r="B4623" s="1127">
        <v>106</v>
      </c>
      <c r="C4623" s="1128">
        <v>0</v>
      </c>
      <c r="D4623" s="1128">
        <v>24.58</v>
      </c>
      <c r="E4623" s="1126"/>
    </row>
    <row r="4624" spans="1:5" x14ac:dyDescent="0.2">
      <c r="A4624" s="1126" t="s">
        <v>5206</v>
      </c>
      <c r="B4624" s="1127">
        <v>122</v>
      </c>
      <c r="C4624" s="1128">
        <v>391.26</v>
      </c>
      <c r="D4624" s="1128">
        <v>475.12</v>
      </c>
      <c r="E4624" s="1126"/>
    </row>
    <row r="4625" spans="1:5" x14ac:dyDescent="0.2">
      <c r="A4625" s="1126" t="s">
        <v>5207</v>
      </c>
      <c r="B4625" s="1127">
        <v>342</v>
      </c>
      <c r="C4625" s="1128">
        <v>13.78</v>
      </c>
      <c r="D4625" s="1128">
        <v>248.86</v>
      </c>
      <c r="E4625" s="1126"/>
    </row>
    <row r="4626" spans="1:5" x14ac:dyDescent="0.2">
      <c r="A4626" s="1126" t="s">
        <v>5208</v>
      </c>
      <c r="B4626" s="1127">
        <v>216</v>
      </c>
      <c r="C4626" s="1128">
        <v>0</v>
      </c>
      <c r="D4626" s="1128">
        <v>70.89</v>
      </c>
      <c r="E4626" s="1126"/>
    </row>
    <row r="4627" spans="1:5" x14ac:dyDescent="0.2">
      <c r="A4627" s="1126" t="s">
        <v>5209</v>
      </c>
      <c r="B4627" s="1127">
        <v>246</v>
      </c>
      <c r="C4627" s="1128">
        <v>0</v>
      </c>
      <c r="D4627" s="1128">
        <v>30.77</v>
      </c>
      <c r="E4627" s="1126"/>
    </row>
    <row r="4628" spans="1:5" x14ac:dyDescent="0.2">
      <c r="A4628" s="1126" t="s">
        <v>5210</v>
      </c>
      <c r="B4628" s="1127">
        <v>149</v>
      </c>
      <c r="C4628" s="1128">
        <v>68.06</v>
      </c>
      <c r="D4628" s="1128">
        <v>170.48</v>
      </c>
      <c r="E4628" s="1126"/>
    </row>
    <row r="4629" spans="1:5" x14ac:dyDescent="0.2">
      <c r="A4629" s="1126" t="s">
        <v>5211</v>
      </c>
      <c r="B4629" s="1127">
        <v>398</v>
      </c>
      <c r="C4629" s="1128">
        <v>0</v>
      </c>
      <c r="D4629" s="1128">
        <v>245.54</v>
      </c>
      <c r="E4629" s="1126"/>
    </row>
    <row r="4630" spans="1:5" x14ac:dyDescent="0.2">
      <c r="A4630" s="1126" t="s">
        <v>5212</v>
      </c>
      <c r="B4630" s="1127">
        <v>357</v>
      </c>
      <c r="C4630" s="1128">
        <v>9.74</v>
      </c>
      <c r="D4630" s="1128">
        <v>255.13</v>
      </c>
      <c r="E4630" s="1126"/>
    </row>
    <row r="4631" spans="1:5" x14ac:dyDescent="0.2">
      <c r="A4631" s="1126" t="s">
        <v>5213</v>
      </c>
      <c r="B4631" s="1127">
        <v>227</v>
      </c>
      <c r="C4631" s="1128">
        <v>414.46</v>
      </c>
      <c r="D4631" s="1128">
        <v>570.49</v>
      </c>
      <c r="E4631" s="1126"/>
    </row>
    <row r="4632" spans="1:5" x14ac:dyDescent="0.2">
      <c r="A4632" s="1126" t="s">
        <v>5214</v>
      </c>
      <c r="B4632" s="1127">
        <v>285</v>
      </c>
      <c r="C4632" s="1128">
        <v>37.700000000000003</v>
      </c>
      <c r="D4632" s="1128">
        <v>233.6</v>
      </c>
      <c r="E4632" s="1126"/>
    </row>
    <row r="4633" spans="1:5" x14ac:dyDescent="0.2">
      <c r="A4633" s="1126" t="s">
        <v>5215</v>
      </c>
      <c r="B4633" s="1127">
        <v>226</v>
      </c>
      <c r="C4633" s="1128">
        <v>455.98</v>
      </c>
      <c r="D4633" s="1128">
        <v>611.33000000000004</v>
      </c>
      <c r="E4633" s="1126"/>
    </row>
    <row r="4634" spans="1:5" x14ac:dyDescent="0.2">
      <c r="A4634" s="1126" t="s">
        <v>5216</v>
      </c>
      <c r="B4634" s="1127">
        <v>304</v>
      </c>
      <c r="C4634" s="1128">
        <v>194.26</v>
      </c>
      <c r="D4634" s="1128">
        <v>403.22</v>
      </c>
      <c r="E4634" s="1126"/>
    </row>
    <row r="4635" spans="1:5" x14ac:dyDescent="0.2">
      <c r="A4635" s="1126" t="s">
        <v>5217</v>
      </c>
      <c r="B4635" s="1127">
        <v>183</v>
      </c>
      <c r="C4635" s="1128">
        <v>0</v>
      </c>
      <c r="D4635" s="1128">
        <v>42.86</v>
      </c>
      <c r="E4635" s="1126"/>
    </row>
    <row r="4636" spans="1:5" x14ac:dyDescent="0.2">
      <c r="A4636" s="1126" t="s">
        <v>5218</v>
      </c>
      <c r="B4636" s="1127">
        <v>639</v>
      </c>
      <c r="C4636" s="1128">
        <v>0</v>
      </c>
      <c r="D4636" s="1128">
        <v>180.31</v>
      </c>
      <c r="E4636" s="1126"/>
    </row>
    <row r="4637" spans="1:5" x14ac:dyDescent="0.2">
      <c r="A4637" s="1126" t="s">
        <v>5219</v>
      </c>
      <c r="B4637" s="1127">
        <v>89</v>
      </c>
      <c r="C4637" s="1128">
        <v>255.12</v>
      </c>
      <c r="D4637" s="1128">
        <v>316.3</v>
      </c>
      <c r="E4637" s="1126"/>
    </row>
    <row r="4638" spans="1:5" x14ac:dyDescent="0.2">
      <c r="A4638" s="1126" t="s">
        <v>5220</v>
      </c>
      <c r="B4638" s="1127">
        <v>114</v>
      </c>
      <c r="C4638" s="1128">
        <v>196.42</v>
      </c>
      <c r="D4638" s="1128">
        <v>274.77999999999997</v>
      </c>
      <c r="E4638" s="1126"/>
    </row>
    <row r="4639" spans="1:5" x14ac:dyDescent="0.2">
      <c r="A4639" s="1126" t="s">
        <v>5221</v>
      </c>
      <c r="B4639" s="1127">
        <v>243</v>
      </c>
      <c r="C4639" s="1128">
        <v>0</v>
      </c>
      <c r="D4639" s="1128">
        <v>118.73</v>
      </c>
      <c r="E4639" s="1126"/>
    </row>
    <row r="4640" spans="1:5" x14ac:dyDescent="0.2">
      <c r="A4640" s="1126" t="s">
        <v>5222</v>
      </c>
      <c r="B4640" s="1127">
        <v>177</v>
      </c>
      <c r="C4640" s="1128">
        <v>0</v>
      </c>
      <c r="D4640" s="1128">
        <v>16.399999999999999</v>
      </c>
      <c r="E4640" s="1126"/>
    </row>
    <row r="4641" spans="1:5" x14ac:dyDescent="0.2">
      <c r="A4641" s="1126" t="s">
        <v>5223</v>
      </c>
      <c r="B4641" s="1127">
        <v>124</v>
      </c>
      <c r="C4641" s="1128">
        <v>189.26</v>
      </c>
      <c r="D4641" s="1128">
        <v>274.49</v>
      </c>
      <c r="E4641" s="1126"/>
    </row>
    <row r="4642" spans="1:5" x14ac:dyDescent="0.2">
      <c r="A4642" s="1126" t="s">
        <v>5224</v>
      </c>
      <c r="B4642" s="1127">
        <v>154</v>
      </c>
      <c r="C4642" s="1128">
        <v>244.69</v>
      </c>
      <c r="D4642" s="1128">
        <v>350.54</v>
      </c>
      <c r="E4642" s="1126"/>
    </row>
    <row r="4643" spans="1:5" x14ac:dyDescent="0.2">
      <c r="A4643" s="1126" t="s">
        <v>5225</v>
      </c>
      <c r="B4643" s="1127">
        <v>101</v>
      </c>
      <c r="C4643" s="1128">
        <v>17.68</v>
      </c>
      <c r="D4643" s="1128">
        <v>87.1</v>
      </c>
      <c r="E4643" s="1126"/>
    </row>
    <row r="4644" spans="1:5" x14ac:dyDescent="0.2">
      <c r="A4644" s="1126" t="s">
        <v>5226</v>
      </c>
      <c r="B4644" s="1127">
        <v>279</v>
      </c>
      <c r="C4644" s="1128">
        <v>299.69</v>
      </c>
      <c r="D4644" s="1128">
        <v>491.47</v>
      </c>
      <c r="E4644" s="1126"/>
    </row>
    <row r="4645" spans="1:5" x14ac:dyDescent="0.2">
      <c r="A4645" s="1126" t="s">
        <v>5227</v>
      </c>
      <c r="B4645" s="1127">
        <v>339</v>
      </c>
      <c r="C4645" s="1128">
        <v>0</v>
      </c>
      <c r="D4645" s="1128">
        <v>223.41</v>
      </c>
      <c r="E4645" s="1126"/>
    </row>
    <row r="4646" spans="1:5" x14ac:dyDescent="0.2">
      <c r="A4646" s="1126" t="s">
        <v>5228</v>
      </c>
      <c r="B4646" s="1127">
        <v>177</v>
      </c>
      <c r="C4646" s="1128">
        <v>340.73</v>
      </c>
      <c r="D4646" s="1128">
        <v>462.39</v>
      </c>
      <c r="E4646" s="1126"/>
    </row>
    <row r="4647" spans="1:5" x14ac:dyDescent="0.2">
      <c r="A4647" s="1126" t="s">
        <v>5229</v>
      </c>
      <c r="B4647" s="1127">
        <v>283</v>
      </c>
      <c r="C4647" s="1128">
        <v>700.18</v>
      </c>
      <c r="D4647" s="1128">
        <v>894.71</v>
      </c>
      <c r="E4647" s="1126"/>
    </row>
    <row r="4648" spans="1:5" x14ac:dyDescent="0.2">
      <c r="A4648" s="1126" t="s">
        <v>5230</v>
      </c>
      <c r="B4648" s="1127">
        <v>195</v>
      </c>
      <c r="C4648" s="1128">
        <v>162.61000000000001</v>
      </c>
      <c r="D4648" s="1128">
        <v>296.64999999999998</v>
      </c>
      <c r="E4648" s="1126"/>
    </row>
    <row r="4649" spans="1:5" x14ac:dyDescent="0.2">
      <c r="A4649" s="1126" t="s">
        <v>5231</v>
      </c>
      <c r="B4649" s="1127">
        <v>427</v>
      </c>
      <c r="C4649" s="1128">
        <v>196.94</v>
      </c>
      <c r="D4649" s="1128">
        <v>490.44</v>
      </c>
      <c r="E4649" s="1126"/>
    </row>
    <row r="4650" spans="1:5" x14ac:dyDescent="0.2">
      <c r="A4650" s="1126" t="s">
        <v>5232</v>
      </c>
      <c r="B4650" s="1127">
        <v>268</v>
      </c>
      <c r="C4650" s="1128">
        <v>29.34</v>
      </c>
      <c r="D4650" s="1128">
        <v>213.55</v>
      </c>
      <c r="E4650" s="1126"/>
    </row>
    <row r="4651" spans="1:5" x14ac:dyDescent="0.2">
      <c r="A4651" s="1126" t="s">
        <v>5233</v>
      </c>
      <c r="B4651" s="1127">
        <v>165</v>
      </c>
      <c r="C4651" s="1128">
        <v>79.599999999999994</v>
      </c>
      <c r="D4651" s="1128">
        <v>193.01</v>
      </c>
      <c r="E4651" s="1126"/>
    </row>
    <row r="4652" spans="1:5" x14ac:dyDescent="0.2">
      <c r="A4652" s="1126" t="s">
        <v>5234</v>
      </c>
      <c r="B4652" s="1127">
        <v>231</v>
      </c>
      <c r="C4652" s="1128">
        <v>185.62</v>
      </c>
      <c r="D4652" s="1128">
        <v>344.4</v>
      </c>
      <c r="E4652" s="1126"/>
    </row>
    <row r="4653" spans="1:5" x14ac:dyDescent="0.2">
      <c r="A4653" s="1126" t="s">
        <v>5235</v>
      </c>
      <c r="B4653" s="1127">
        <v>241</v>
      </c>
      <c r="C4653" s="1128">
        <v>302.31</v>
      </c>
      <c r="D4653" s="1128">
        <v>467.96</v>
      </c>
      <c r="E4653" s="1126"/>
    </row>
    <row r="4654" spans="1:5" x14ac:dyDescent="0.2">
      <c r="A4654" s="1126" t="s">
        <v>5236</v>
      </c>
      <c r="B4654" s="1127">
        <v>108</v>
      </c>
      <c r="C4654" s="1128">
        <v>324.23</v>
      </c>
      <c r="D4654" s="1128">
        <v>398.46</v>
      </c>
      <c r="E4654" s="1126"/>
    </row>
    <row r="4655" spans="1:5" x14ac:dyDescent="0.2">
      <c r="A4655" s="1126" t="s">
        <v>5237</v>
      </c>
      <c r="B4655" s="1127">
        <v>268</v>
      </c>
      <c r="C4655" s="1128">
        <v>0</v>
      </c>
      <c r="D4655" s="1128">
        <v>106.75</v>
      </c>
      <c r="E4655" s="1126"/>
    </row>
    <row r="4656" spans="1:5" x14ac:dyDescent="0.2">
      <c r="A4656" s="1126" t="s">
        <v>5238</v>
      </c>
      <c r="B4656" s="1127">
        <v>540</v>
      </c>
      <c r="C4656" s="1128">
        <v>0</v>
      </c>
      <c r="D4656" s="1128">
        <v>229.41</v>
      </c>
      <c r="E4656" s="1126"/>
    </row>
    <row r="4657" spans="1:5" x14ac:dyDescent="0.2">
      <c r="A4657" s="1126" t="s">
        <v>5239</v>
      </c>
      <c r="B4657" s="1127">
        <v>263</v>
      </c>
      <c r="C4657" s="1128">
        <v>0</v>
      </c>
      <c r="D4657" s="1128">
        <v>67.3</v>
      </c>
      <c r="E4657" s="1126"/>
    </row>
    <row r="4658" spans="1:5" x14ac:dyDescent="0.2">
      <c r="A4658" s="1126" t="s">
        <v>5240</v>
      </c>
      <c r="B4658" s="1127">
        <v>344</v>
      </c>
      <c r="C4658" s="1128">
        <v>0</v>
      </c>
      <c r="D4658" s="1128">
        <v>173.45</v>
      </c>
      <c r="E4658" s="1126"/>
    </row>
    <row r="4659" spans="1:5" x14ac:dyDescent="0.2">
      <c r="A4659" s="1126" t="s">
        <v>5241</v>
      </c>
      <c r="B4659" s="1127">
        <v>395</v>
      </c>
      <c r="C4659" s="1128">
        <v>1215.24</v>
      </c>
      <c r="D4659" s="1128">
        <v>1486.75</v>
      </c>
      <c r="E4659" s="1126"/>
    </row>
    <row r="4660" spans="1:5" x14ac:dyDescent="0.2">
      <c r="A4660" s="1126" t="s">
        <v>5242</v>
      </c>
      <c r="B4660" s="1127">
        <v>170</v>
      </c>
      <c r="C4660" s="1128">
        <v>460.91</v>
      </c>
      <c r="D4660" s="1128">
        <v>577.76</v>
      </c>
      <c r="E4660" s="1126"/>
    </row>
    <row r="4661" spans="1:5" x14ac:dyDescent="0.2">
      <c r="A4661" s="1126" t="s">
        <v>5243</v>
      </c>
      <c r="B4661" s="1127">
        <v>668</v>
      </c>
      <c r="C4661" s="1128">
        <v>1844.92</v>
      </c>
      <c r="D4661" s="1128">
        <v>2304.0700000000002</v>
      </c>
      <c r="E4661" s="1126"/>
    </row>
    <row r="4662" spans="1:5" x14ac:dyDescent="0.2">
      <c r="A4662" s="1126" t="s">
        <v>5244</v>
      </c>
      <c r="B4662" s="1127">
        <v>102</v>
      </c>
      <c r="C4662" s="1128">
        <v>238.96</v>
      </c>
      <c r="D4662" s="1128">
        <v>309.07</v>
      </c>
      <c r="E4662" s="1126"/>
    </row>
    <row r="4663" spans="1:5" x14ac:dyDescent="0.2">
      <c r="A4663" s="1126" t="s">
        <v>5245</v>
      </c>
      <c r="B4663" s="1127">
        <v>401</v>
      </c>
      <c r="C4663" s="1128">
        <v>186.08</v>
      </c>
      <c r="D4663" s="1128">
        <v>461.71</v>
      </c>
      <c r="E4663" s="1126"/>
    </row>
    <row r="4664" spans="1:5" x14ac:dyDescent="0.2">
      <c r="A4664" s="1126" t="s">
        <v>5246</v>
      </c>
      <c r="B4664" s="1127">
        <v>278</v>
      </c>
      <c r="C4664" s="1128">
        <v>753.08</v>
      </c>
      <c r="D4664" s="1128">
        <v>944.17</v>
      </c>
      <c r="E4664" s="1126"/>
    </row>
    <row r="4665" spans="1:5" x14ac:dyDescent="0.2">
      <c r="A4665" s="1126" t="s">
        <v>5247</v>
      </c>
      <c r="B4665" s="1127">
        <v>149</v>
      </c>
      <c r="C4665" s="1128">
        <v>361.95</v>
      </c>
      <c r="D4665" s="1128">
        <v>464.37</v>
      </c>
      <c r="E4665" s="1126"/>
    </row>
    <row r="4666" spans="1:5" x14ac:dyDescent="0.2">
      <c r="A4666" s="1126" t="s">
        <v>5248</v>
      </c>
      <c r="B4666" s="1127">
        <v>147</v>
      </c>
      <c r="C4666" s="1128">
        <v>141.43</v>
      </c>
      <c r="D4666" s="1128">
        <v>242.47</v>
      </c>
      <c r="E4666" s="1126"/>
    </row>
    <row r="4667" spans="1:5" x14ac:dyDescent="0.2">
      <c r="A4667" s="1126" t="s">
        <v>5249</v>
      </c>
      <c r="B4667" s="1127">
        <v>401</v>
      </c>
      <c r="C4667" s="1128">
        <v>0</v>
      </c>
      <c r="D4667" s="1128">
        <v>229.95</v>
      </c>
      <c r="E4667" s="1126"/>
    </row>
    <row r="4668" spans="1:5" x14ac:dyDescent="0.2">
      <c r="A4668" s="1126" t="s">
        <v>5250</v>
      </c>
      <c r="B4668" s="1127">
        <v>218</v>
      </c>
      <c r="C4668" s="1128">
        <v>0</v>
      </c>
      <c r="D4668" s="1128">
        <v>16.38</v>
      </c>
      <c r="E4668" s="1126"/>
    </row>
    <row r="4669" spans="1:5" x14ac:dyDescent="0.2">
      <c r="A4669" s="1126" t="s">
        <v>5251</v>
      </c>
      <c r="B4669" s="1127">
        <v>140</v>
      </c>
      <c r="C4669" s="1128">
        <v>204.64</v>
      </c>
      <c r="D4669" s="1128">
        <v>300.88</v>
      </c>
      <c r="E4669" s="1126"/>
    </row>
    <row r="4670" spans="1:5" x14ac:dyDescent="0.2">
      <c r="A4670" s="1126" t="s">
        <v>5252</v>
      </c>
      <c r="B4670" s="1127">
        <v>123</v>
      </c>
      <c r="C4670" s="1128">
        <v>77.900000000000006</v>
      </c>
      <c r="D4670" s="1128">
        <v>162.44</v>
      </c>
      <c r="E4670" s="1126"/>
    </row>
    <row r="4671" spans="1:5" x14ac:dyDescent="0.2">
      <c r="A4671" s="1126" t="s">
        <v>5253</v>
      </c>
      <c r="B4671" s="1127">
        <v>208</v>
      </c>
      <c r="C4671" s="1128">
        <v>440.39</v>
      </c>
      <c r="D4671" s="1128">
        <v>583.36</v>
      </c>
      <c r="E4671" s="1126"/>
    </row>
    <row r="4672" spans="1:5" x14ac:dyDescent="0.2">
      <c r="A4672" s="1126" t="s">
        <v>5254</v>
      </c>
      <c r="B4672" s="1127">
        <v>241</v>
      </c>
      <c r="C4672" s="1128">
        <v>710.05</v>
      </c>
      <c r="D4672" s="1128">
        <v>875.7</v>
      </c>
      <c r="E4672" s="1126"/>
    </row>
    <row r="4673" spans="1:5" x14ac:dyDescent="0.2">
      <c r="A4673" s="1126" t="s">
        <v>5255</v>
      </c>
      <c r="B4673" s="1127">
        <v>243</v>
      </c>
      <c r="C4673" s="1128">
        <v>0</v>
      </c>
      <c r="D4673" s="1128">
        <v>114.86</v>
      </c>
      <c r="E4673" s="1126"/>
    </row>
    <row r="4674" spans="1:5" x14ac:dyDescent="0.2">
      <c r="A4674" s="1126" t="s">
        <v>5256</v>
      </c>
      <c r="B4674" s="1127">
        <v>214</v>
      </c>
      <c r="C4674" s="1128">
        <v>467.96</v>
      </c>
      <c r="D4674" s="1128">
        <v>615.04999999999995</v>
      </c>
      <c r="E4674" s="1126"/>
    </row>
    <row r="4675" spans="1:5" x14ac:dyDescent="0.2">
      <c r="A4675" s="1126" t="s">
        <v>5257</v>
      </c>
      <c r="B4675" s="1127">
        <v>227</v>
      </c>
      <c r="C4675" s="1128">
        <v>0</v>
      </c>
      <c r="D4675" s="1128">
        <v>107.72</v>
      </c>
      <c r="E4675" s="1126"/>
    </row>
    <row r="4676" spans="1:5" x14ac:dyDescent="0.2">
      <c r="A4676" s="1126" t="s">
        <v>5258</v>
      </c>
      <c r="B4676" s="1127">
        <v>156</v>
      </c>
      <c r="C4676" s="1128">
        <v>337.32</v>
      </c>
      <c r="D4676" s="1128">
        <v>444.54</v>
      </c>
      <c r="E4676" s="1126"/>
    </row>
    <row r="4677" spans="1:5" x14ac:dyDescent="0.2">
      <c r="A4677" s="1126" t="s">
        <v>5259</v>
      </c>
      <c r="B4677" s="1127">
        <v>268</v>
      </c>
      <c r="C4677" s="1128">
        <v>254.41</v>
      </c>
      <c r="D4677" s="1128">
        <v>438.62</v>
      </c>
      <c r="E4677" s="1126"/>
    </row>
    <row r="4678" spans="1:5" x14ac:dyDescent="0.2">
      <c r="A4678" s="1126" t="s">
        <v>5260</v>
      </c>
      <c r="B4678" s="1127">
        <v>198</v>
      </c>
      <c r="C4678" s="1128">
        <v>0</v>
      </c>
      <c r="D4678" s="1128">
        <v>74.08</v>
      </c>
      <c r="E4678" s="1126"/>
    </row>
    <row r="4679" spans="1:5" x14ac:dyDescent="0.2">
      <c r="A4679" s="1126" t="s">
        <v>5261</v>
      </c>
      <c r="B4679" s="1127">
        <v>127</v>
      </c>
      <c r="C4679" s="1128">
        <v>0</v>
      </c>
      <c r="D4679" s="1128">
        <v>80.23</v>
      </c>
      <c r="E4679" s="1126"/>
    </row>
    <row r="4680" spans="1:5" x14ac:dyDescent="0.2">
      <c r="A4680" s="1126" t="s">
        <v>5262</v>
      </c>
      <c r="B4680" s="1127">
        <v>98</v>
      </c>
      <c r="C4680" s="1128">
        <v>0</v>
      </c>
      <c r="D4680" s="1128">
        <v>52.05</v>
      </c>
      <c r="E4680" s="1126"/>
    </row>
    <row r="4681" spans="1:5" x14ac:dyDescent="0.2">
      <c r="A4681" s="1126" t="s">
        <v>5263</v>
      </c>
      <c r="B4681" s="1127">
        <v>295</v>
      </c>
      <c r="C4681" s="1128">
        <v>0</v>
      </c>
      <c r="D4681" s="1128">
        <v>121.32</v>
      </c>
      <c r="E4681" s="1126"/>
    </row>
    <row r="4682" spans="1:5" x14ac:dyDescent="0.2">
      <c r="A4682" s="1126" t="s">
        <v>5264</v>
      </c>
      <c r="B4682" s="1127">
        <v>242</v>
      </c>
      <c r="C4682" s="1128">
        <v>151.87</v>
      </c>
      <c r="D4682" s="1128">
        <v>318.20999999999998</v>
      </c>
      <c r="E4682" s="1126"/>
    </row>
    <row r="4683" spans="1:5" x14ac:dyDescent="0.2">
      <c r="A4683" s="1126" t="s">
        <v>5265</v>
      </c>
      <c r="B4683" s="1127">
        <v>287</v>
      </c>
      <c r="C4683" s="1128">
        <v>796.23</v>
      </c>
      <c r="D4683" s="1128">
        <v>993.51</v>
      </c>
      <c r="E4683" s="1126"/>
    </row>
    <row r="4684" spans="1:5" x14ac:dyDescent="0.2">
      <c r="A4684" s="1126" t="s">
        <v>5266</v>
      </c>
      <c r="B4684" s="1127">
        <v>458</v>
      </c>
      <c r="C4684" s="1128">
        <v>0</v>
      </c>
      <c r="D4684" s="1128">
        <v>283.95</v>
      </c>
      <c r="E4684" s="1126"/>
    </row>
    <row r="4685" spans="1:5" x14ac:dyDescent="0.2">
      <c r="A4685" s="1126" t="s">
        <v>5267</v>
      </c>
      <c r="B4685" s="1127">
        <v>416</v>
      </c>
      <c r="C4685" s="1128">
        <v>0</v>
      </c>
      <c r="D4685" s="1128">
        <v>0</v>
      </c>
      <c r="E4685" s="1126"/>
    </row>
    <row r="4686" spans="1:5" x14ac:dyDescent="0.2">
      <c r="A4686" s="1126" t="s">
        <v>5268</v>
      </c>
      <c r="B4686" s="1127">
        <v>245</v>
      </c>
      <c r="C4686" s="1128">
        <v>0</v>
      </c>
      <c r="D4686" s="1128">
        <v>54.05</v>
      </c>
      <c r="E4686" s="1126"/>
    </row>
    <row r="4687" spans="1:5" x14ac:dyDescent="0.2">
      <c r="A4687" s="1126" t="s">
        <v>5269</v>
      </c>
      <c r="B4687" s="1127">
        <v>215</v>
      </c>
      <c r="C4687" s="1128">
        <v>0</v>
      </c>
      <c r="D4687" s="1128">
        <v>43.45</v>
      </c>
      <c r="E4687" s="1126"/>
    </row>
    <row r="4688" spans="1:5" x14ac:dyDescent="0.2">
      <c r="A4688" s="1126" t="s">
        <v>5270</v>
      </c>
      <c r="B4688" s="1127">
        <v>187</v>
      </c>
      <c r="C4688" s="1128">
        <v>0</v>
      </c>
      <c r="D4688" s="1128">
        <v>98.79</v>
      </c>
      <c r="E4688" s="1126"/>
    </row>
    <row r="4689" spans="1:5" x14ac:dyDescent="0.2">
      <c r="A4689" s="1126" t="s">
        <v>5271</v>
      </c>
      <c r="B4689" s="1127">
        <v>140</v>
      </c>
      <c r="C4689" s="1128">
        <v>0</v>
      </c>
      <c r="D4689" s="1128">
        <v>53.62</v>
      </c>
      <c r="E4689" s="1126"/>
    </row>
    <row r="4690" spans="1:5" x14ac:dyDescent="0.2">
      <c r="A4690" s="1126" t="s">
        <v>5272</v>
      </c>
      <c r="B4690" s="1127">
        <v>196</v>
      </c>
      <c r="C4690" s="1128">
        <v>319.38</v>
      </c>
      <c r="D4690" s="1128">
        <v>454.11</v>
      </c>
      <c r="E4690" s="1126"/>
    </row>
    <row r="4691" spans="1:5" x14ac:dyDescent="0.2">
      <c r="A4691" s="1126" t="s">
        <v>5273</v>
      </c>
      <c r="B4691" s="1127">
        <v>182</v>
      </c>
      <c r="C4691" s="1128">
        <v>0</v>
      </c>
      <c r="D4691" s="1128">
        <v>121.48</v>
      </c>
      <c r="E4691" s="1126"/>
    </row>
    <row r="4692" spans="1:5" x14ac:dyDescent="0.2">
      <c r="A4692" s="1126" t="s">
        <v>5274</v>
      </c>
      <c r="B4692" s="1127">
        <v>173</v>
      </c>
      <c r="C4692" s="1128">
        <v>0</v>
      </c>
      <c r="D4692" s="1128">
        <v>25.94</v>
      </c>
      <c r="E4692" s="1126"/>
    </row>
    <row r="4693" spans="1:5" x14ac:dyDescent="0.2">
      <c r="A4693" s="1126" t="s">
        <v>5275</v>
      </c>
      <c r="B4693" s="1127">
        <v>304</v>
      </c>
      <c r="C4693" s="1128">
        <v>4.22</v>
      </c>
      <c r="D4693" s="1128">
        <v>213.17</v>
      </c>
      <c r="E4693" s="1126"/>
    </row>
    <row r="4694" spans="1:5" x14ac:dyDescent="0.2">
      <c r="A4694" s="1126" t="s">
        <v>5276</v>
      </c>
      <c r="B4694" s="1127">
        <v>132</v>
      </c>
      <c r="C4694" s="1128">
        <v>223.66</v>
      </c>
      <c r="D4694" s="1128">
        <v>314.39</v>
      </c>
      <c r="E4694" s="1126"/>
    </row>
    <row r="4695" spans="1:5" x14ac:dyDescent="0.2">
      <c r="A4695" s="1126" t="s">
        <v>5277</v>
      </c>
      <c r="B4695" s="1127">
        <v>66</v>
      </c>
      <c r="C4695" s="1128">
        <v>0</v>
      </c>
      <c r="D4695" s="1128">
        <v>27.9</v>
      </c>
      <c r="E4695" s="1126"/>
    </row>
    <row r="4696" spans="1:5" x14ac:dyDescent="0.2">
      <c r="A4696" s="1126" t="s">
        <v>5278</v>
      </c>
      <c r="B4696" s="1127">
        <v>178</v>
      </c>
      <c r="C4696" s="1128">
        <v>381.83</v>
      </c>
      <c r="D4696" s="1128">
        <v>504.18</v>
      </c>
      <c r="E4696" s="1126"/>
    </row>
    <row r="4697" spans="1:5" x14ac:dyDescent="0.2">
      <c r="A4697" s="1126" t="s">
        <v>5279</v>
      </c>
      <c r="B4697" s="1127">
        <v>486</v>
      </c>
      <c r="C4697" s="1128">
        <v>59.51</v>
      </c>
      <c r="D4697" s="1128">
        <v>393.57</v>
      </c>
      <c r="E4697" s="1126"/>
    </row>
    <row r="4698" spans="1:5" x14ac:dyDescent="0.2">
      <c r="A4698" s="1126" t="s">
        <v>5280</v>
      </c>
      <c r="B4698" s="1127">
        <v>154</v>
      </c>
      <c r="C4698" s="1128">
        <v>147.02000000000001</v>
      </c>
      <c r="D4698" s="1128">
        <v>252.87</v>
      </c>
      <c r="E4698" s="1126"/>
    </row>
    <row r="4699" spans="1:5" x14ac:dyDescent="0.2">
      <c r="A4699" s="1126" t="s">
        <v>5281</v>
      </c>
      <c r="B4699" s="1127">
        <v>653</v>
      </c>
      <c r="C4699" s="1128">
        <v>0</v>
      </c>
      <c r="D4699" s="1128">
        <v>143.87</v>
      </c>
      <c r="E4699" s="1126"/>
    </row>
    <row r="4700" spans="1:5" x14ac:dyDescent="0.2">
      <c r="A4700" s="1126" t="s">
        <v>5282</v>
      </c>
      <c r="B4700" s="1127">
        <v>95</v>
      </c>
      <c r="C4700" s="1128">
        <v>150.29</v>
      </c>
      <c r="D4700" s="1128">
        <v>215.59</v>
      </c>
      <c r="E4700" s="1126"/>
    </row>
    <row r="4701" spans="1:5" x14ac:dyDescent="0.2">
      <c r="A4701" s="1126" t="s">
        <v>5283</v>
      </c>
      <c r="B4701" s="1127">
        <v>453</v>
      </c>
      <c r="C4701" s="1128">
        <v>932.86</v>
      </c>
      <c r="D4701" s="1128">
        <v>1244.23</v>
      </c>
      <c r="E4701" s="1126"/>
    </row>
    <row r="4702" spans="1:5" x14ac:dyDescent="0.2">
      <c r="A4702" s="1126" t="s">
        <v>5284</v>
      </c>
      <c r="B4702" s="1127">
        <v>236</v>
      </c>
      <c r="C4702" s="1128">
        <v>0</v>
      </c>
      <c r="D4702" s="1128">
        <v>48.68</v>
      </c>
      <c r="E4702" s="1126"/>
    </row>
    <row r="4703" spans="1:5" x14ac:dyDescent="0.2">
      <c r="A4703" s="1126" t="s">
        <v>5285</v>
      </c>
      <c r="B4703" s="1127">
        <v>223</v>
      </c>
      <c r="C4703" s="1128">
        <v>457.57</v>
      </c>
      <c r="D4703" s="1128">
        <v>610.85</v>
      </c>
      <c r="E4703" s="1126"/>
    </row>
    <row r="4704" spans="1:5" x14ac:dyDescent="0.2">
      <c r="A4704" s="1126" t="s">
        <v>5286</v>
      </c>
      <c r="B4704" s="1127">
        <v>299</v>
      </c>
      <c r="C4704" s="1128">
        <v>0</v>
      </c>
      <c r="D4704" s="1128">
        <v>76.48</v>
      </c>
      <c r="E4704" s="1126"/>
    </row>
    <row r="4705" spans="1:5" x14ac:dyDescent="0.2">
      <c r="A4705" s="1126" t="s">
        <v>5287</v>
      </c>
      <c r="B4705" s="1127">
        <v>423</v>
      </c>
      <c r="C4705" s="1128">
        <v>1285.97</v>
      </c>
      <c r="D4705" s="1128">
        <v>1576.73</v>
      </c>
      <c r="E4705" s="1126"/>
    </row>
    <row r="4706" spans="1:5" x14ac:dyDescent="0.2">
      <c r="A4706" s="1126" t="s">
        <v>5288</v>
      </c>
      <c r="B4706" s="1127">
        <v>273</v>
      </c>
      <c r="C4706" s="1128">
        <v>0</v>
      </c>
      <c r="D4706" s="1128">
        <v>107.65</v>
      </c>
      <c r="E4706" s="1126"/>
    </row>
    <row r="4707" spans="1:5" x14ac:dyDescent="0.2">
      <c r="A4707" s="1126" t="s">
        <v>5289</v>
      </c>
      <c r="B4707" s="1127">
        <v>241</v>
      </c>
      <c r="C4707" s="1128">
        <v>860.68</v>
      </c>
      <c r="D4707" s="1128">
        <v>1026.33</v>
      </c>
      <c r="E4707" s="1126"/>
    </row>
    <row r="4708" spans="1:5" x14ac:dyDescent="0.2">
      <c r="A4708" s="1126" t="s">
        <v>5290</v>
      </c>
      <c r="B4708" s="1127">
        <v>241</v>
      </c>
      <c r="C4708" s="1128">
        <v>74.13</v>
      </c>
      <c r="D4708" s="1128">
        <v>239.79</v>
      </c>
      <c r="E4708" s="1126"/>
    </row>
    <row r="4709" spans="1:5" x14ac:dyDescent="0.2">
      <c r="A4709" s="1126" t="s">
        <v>5291</v>
      </c>
      <c r="B4709" s="1127">
        <v>107</v>
      </c>
      <c r="C4709" s="1128">
        <v>172.8</v>
      </c>
      <c r="D4709" s="1128">
        <v>246.34</v>
      </c>
      <c r="E4709" s="1126"/>
    </row>
    <row r="4710" spans="1:5" x14ac:dyDescent="0.2">
      <c r="A4710" s="1126" t="s">
        <v>5292</v>
      </c>
      <c r="B4710" s="1127">
        <v>408</v>
      </c>
      <c r="C4710" s="1128">
        <v>0</v>
      </c>
      <c r="D4710" s="1128">
        <v>49.4</v>
      </c>
      <c r="E4710" s="1126"/>
    </row>
    <row r="4711" spans="1:5" x14ac:dyDescent="0.2">
      <c r="A4711" s="1126" t="s">
        <v>5293</v>
      </c>
      <c r="B4711" s="1127">
        <v>65</v>
      </c>
      <c r="C4711" s="1128">
        <v>63.34</v>
      </c>
      <c r="D4711" s="1128">
        <v>108.01</v>
      </c>
      <c r="E4711" s="1126"/>
    </row>
    <row r="4712" spans="1:5" x14ac:dyDescent="0.2">
      <c r="A4712" s="1126" t="s">
        <v>5294</v>
      </c>
      <c r="B4712" s="1127">
        <v>558</v>
      </c>
      <c r="C4712" s="1128">
        <v>0</v>
      </c>
      <c r="D4712" s="1128">
        <v>217.06</v>
      </c>
      <c r="E4712" s="1126"/>
    </row>
    <row r="4713" spans="1:5" x14ac:dyDescent="0.2">
      <c r="A4713" s="1126" t="s">
        <v>5295</v>
      </c>
      <c r="B4713" s="1127">
        <v>210</v>
      </c>
      <c r="C4713" s="1128">
        <v>693.33</v>
      </c>
      <c r="D4713" s="1128">
        <v>837.67</v>
      </c>
      <c r="E4713" s="1126"/>
    </row>
    <row r="4714" spans="1:5" x14ac:dyDescent="0.2">
      <c r="A4714" s="1126" t="s">
        <v>5296</v>
      </c>
      <c r="B4714" s="1127">
        <v>172</v>
      </c>
      <c r="C4714" s="1128">
        <v>0</v>
      </c>
      <c r="D4714" s="1128">
        <v>73.08</v>
      </c>
      <c r="E4714" s="1126"/>
    </row>
    <row r="4715" spans="1:5" x14ac:dyDescent="0.2">
      <c r="A4715" s="1126" t="s">
        <v>5297</v>
      </c>
      <c r="B4715" s="1127">
        <v>158</v>
      </c>
      <c r="C4715" s="1128">
        <v>0</v>
      </c>
      <c r="D4715" s="1128">
        <v>98.26</v>
      </c>
      <c r="E4715" s="1126"/>
    </row>
    <row r="4716" spans="1:5" x14ac:dyDescent="0.2">
      <c r="A4716" s="1126" t="s">
        <v>5298</v>
      </c>
      <c r="B4716" s="1127">
        <v>349</v>
      </c>
      <c r="C4716" s="1128">
        <v>0</v>
      </c>
      <c r="D4716" s="1128">
        <v>48.04</v>
      </c>
      <c r="E4716" s="1126"/>
    </row>
    <row r="4717" spans="1:5" x14ac:dyDescent="0.2">
      <c r="A4717" s="1126" t="s">
        <v>5299</v>
      </c>
      <c r="B4717" s="1127">
        <v>90</v>
      </c>
      <c r="C4717" s="1128">
        <v>123.87</v>
      </c>
      <c r="D4717" s="1128">
        <v>185.73</v>
      </c>
      <c r="E4717" s="1126"/>
    </row>
    <row r="4718" spans="1:5" x14ac:dyDescent="0.2">
      <c r="A4718" s="1126" t="s">
        <v>5300</v>
      </c>
      <c r="B4718" s="1127">
        <v>116</v>
      </c>
      <c r="C4718" s="1128">
        <v>241.73</v>
      </c>
      <c r="D4718" s="1128">
        <v>321.47000000000003</v>
      </c>
      <c r="E4718" s="1126"/>
    </row>
    <row r="4719" spans="1:5" x14ac:dyDescent="0.2">
      <c r="A4719" s="1126" t="s">
        <v>5301</v>
      </c>
      <c r="B4719" s="1127">
        <v>137</v>
      </c>
      <c r="C4719" s="1128">
        <v>0</v>
      </c>
      <c r="D4719" s="1128">
        <v>38.950000000000003</v>
      </c>
      <c r="E4719" s="1126"/>
    </row>
    <row r="4720" spans="1:5" x14ac:dyDescent="0.2">
      <c r="A4720" s="1126" t="s">
        <v>5302</v>
      </c>
      <c r="B4720" s="1127">
        <v>156</v>
      </c>
      <c r="C4720" s="1128">
        <v>297.5</v>
      </c>
      <c r="D4720" s="1128">
        <v>404.72</v>
      </c>
      <c r="E4720" s="1126"/>
    </row>
    <row r="4721" spans="1:5" x14ac:dyDescent="0.2">
      <c r="A4721" s="1126" t="s">
        <v>5303</v>
      </c>
      <c r="B4721" s="1127">
        <v>131</v>
      </c>
      <c r="C4721" s="1128">
        <v>325.74</v>
      </c>
      <c r="D4721" s="1128">
        <v>415.79</v>
      </c>
      <c r="E4721" s="1126"/>
    </row>
    <row r="4722" spans="1:5" x14ac:dyDescent="0.2">
      <c r="A4722" s="1126" t="s">
        <v>5304</v>
      </c>
      <c r="B4722" s="1127">
        <v>118</v>
      </c>
      <c r="C4722" s="1128">
        <v>0</v>
      </c>
      <c r="D4722" s="1128">
        <v>21.78</v>
      </c>
      <c r="E4722" s="1126"/>
    </row>
    <row r="4723" spans="1:5" x14ac:dyDescent="0.2">
      <c r="A4723" s="1126" t="s">
        <v>5305</v>
      </c>
      <c r="B4723" s="1127">
        <v>217</v>
      </c>
      <c r="C4723" s="1128">
        <v>676.76</v>
      </c>
      <c r="D4723" s="1128">
        <v>825.92</v>
      </c>
      <c r="E4723" s="1126"/>
    </row>
    <row r="4724" spans="1:5" x14ac:dyDescent="0.2">
      <c r="A4724" s="1126" t="s">
        <v>5306</v>
      </c>
      <c r="B4724" s="1127">
        <v>275</v>
      </c>
      <c r="C4724" s="1128">
        <v>269.06</v>
      </c>
      <c r="D4724" s="1128">
        <v>458.08</v>
      </c>
      <c r="E4724" s="1126"/>
    </row>
    <row r="4725" spans="1:5" x14ac:dyDescent="0.2">
      <c r="A4725" s="1126" t="s">
        <v>5307</v>
      </c>
      <c r="B4725" s="1127">
        <v>465</v>
      </c>
      <c r="C4725" s="1128">
        <v>0</v>
      </c>
      <c r="D4725" s="1128">
        <v>179.69</v>
      </c>
      <c r="E4725" s="1126"/>
    </row>
    <row r="4726" spans="1:5" x14ac:dyDescent="0.2">
      <c r="A4726" s="1126" t="s">
        <v>5308</v>
      </c>
      <c r="B4726" s="1127">
        <v>237</v>
      </c>
      <c r="C4726" s="1128">
        <v>69.58</v>
      </c>
      <c r="D4726" s="1128">
        <v>232.49</v>
      </c>
      <c r="E4726" s="1126"/>
    </row>
    <row r="4727" spans="1:5" x14ac:dyDescent="0.2">
      <c r="A4727" s="1126" t="s">
        <v>5309</v>
      </c>
      <c r="B4727" s="1127">
        <v>317</v>
      </c>
      <c r="C4727" s="1128">
        <v>55.21</v>
      </c>
      <c r="D4727" s="1128">
        <v>273.10000000000002</v>
      </c>
      <c r="E4727" s="1126"/>
    </row>
    <row r="4728" spans="1:5" x14ac:dyDescent="0.2">
      <c r="A4728" s="1126" t="s">
        <v>5310</v>
      </c>
      <c r="B4728" s="1127">
        <v>181</v>
      </c>
      <c r="C4728" s="1128">
        <v>561.88</v>
      </c>
      <c r="D4728" s="1128">
        <v>686.29</v>
      </c>
      <c r="E4728" s="1126"/>
    </row>
    <row r="4729" spans="1:5" x14ac:dyDescent="0.2">
      <c r="A4729" s="1126" t="s">
        <v>5311</v>
      </c>
      <c r="B4729" s="1127">
        <v>112</v>
      </c>
      <c r="C4729" s="1128">
        <v>210.43</v>
      </c>
      <c r="D4729" s="1128">
        <v>287.42</v>
      </c>
      <c r="E4729" s="1126"/>
    </row>
    <row r="4730" spans="1:5" x14ac:dyDescent="0.2">
      <c r="A4730" s="1126" t="s">
        <v>5312</v>
      </c>
      <c r="B4730" s="1127">
        <v>369</v>
      </c>
      <c r="C4730" s="1128">
        <v>0</v>
      </c>
      <c r="D4730" s="1128">
        <v>142.74</v>
      </c>
      <c r="E4730" s="1126"/>
    </row>
    <row r="4731" spans="1:5" x14ac:dyDescent="0.2">
      <c r="A4731" s="1126" t="s">
        <v>5313</v>
      </c>
      <c r="B4731" s="1127">
        <v>166</v>
      </c>
      <c r="C4731" s="1128">
        <v>279.55</v>
      </c>
      <c r="D4731" s="1128">
        <v>393.66</v>
      </c>
      <c r="E4731" s="1126"/>
    </row>
    <row r="4732" spans="1:5" x14ac:dyDescent="0.2">
      <c r="A4732" s="1126" t="s">
        <v>5314</v>
      </c>
      <c r="B4732" s="1127">
        <v>276</v>
      </c>
      <c r="C4732" s="1128">
        <v>160.15</v>
      </c>
      <c r="D4732" s="1128">
        <v>349.86</v>
      </c>
      <c r="E4732" s="1126"/>
    </row>
    <row r="4733" spans="1:5" x14ac:dyDescent="0.2">
      <c r="A4733" s="1126" t="s">
        <v>5315</v>
      </c>
      <c r="B4733" s="1127">
        <v>187</v>
      </c>
      <c r="C4733" s="1128">
        <v>126.49</v>
      </c>
      <c r="D4733" s="1128">
        <v>255.03</v>
      </c>
      <c r="E4733" s="1126"/>
    </row>
    <row r="4734" spans="1:5" x14ac:dyDescent="0.2">
      <c r="A4734" s="1126" t="s">
        <v>5316</v>
      </c>
      <c r="B4734" s="1127">
        <v>402</v>
      </c>
      <c r="C4734" s="1128">
        <v>93.5</v>
      </c>
      <c r="D4734" s="1128">
        <v>369.82</v>
      </c>
      <c r="E4734" s="1126"/>
    </row>
    <row r="4735" spans="1:5" x14ac:dyDescent="0.2">
      <c r="A4735" s="1126" t="s">
        <v>5317</v>
      </c>
      <c r="B4735" s="1127">
        <v>328</v>
      </c>
      <c r="C4735" s="1128">
        <v>180.02</v>
      </c>
      <c r="D4735" s="1128">
        <v>405.48</v>
      </c>
      <c r="E4735" s="1126"/>
    </row>
    <row r="4736" spans="1:5" x14ac:dyDescent="0.2">
      <c r="A4736" s="1126" t="s">
        <v>5318</v>
      </c>
      <c r="B4736" s="1127">
        <v>105</v>
      </c>
      <c r="C4736" s="1128">
        <v>13.2</v>
      </c>
      <c r="D4736" s="1128">
        <v>85.37</v>
      </c>
      <c r="E4736" s="1126"/>
    </row>
    <row r="4737" spans="1:5" x14ac:dyDescent="0.2">
      <c r="A4737" s="1126" t="s">
        <v>5319</v>
      </c>
      <c r="B4737" s="1127">
        <v>212</v>
      </c>
      <c r="C4737" s="1128">
        <v>97.48</v>
      </c>
      <c r="D4737" s="1128">
        <v>243.2</v>
      </c>
      <c r="E4737" s="1126"/>
    </row>
    <row r="4738" spans="1:5" x14ac:dyDescent="0.2">
      <c r="A4738" s="1126" t="s">
        <v>5320</v>
      </c>
      <c r="B4738" s="1127">
        <v>145</v>
      </c>
      <c r="C4738" s="1128">
        <v>478.34</v>
      </c>
      <c r="D4738" s="1128">
        <v>578.01</v>
      </c>
      <c r="E4738" s="1126"/>
    </row>
    <row r="4739" spans="1:5" x14ac:dyDescent="0.2">
      <c r="A4739" s="1126" t="s">
        <v>5321</v>
      </c>
      <c r="B4739" s="1127">
        <v>94</v>
      </c>
      <c r="C4739" s="1128">
        <v>235.18</v>
      </c>
      <c r="D4739" s="1128">
        <v>299.79000000000002</v>
      </c>
      <c r="E4739" s="1126"/>
    </row>
    <row r="4740" spans="1:5" x14ac:dyDescent="0.2">
      <c r="A4740" s="1126" t="s">
        <v>5322</v>
      </c>
      <c r="B4740" s="1127">
        <v>72</v>
      </c>
      <c r="C4740" s="1128">
        <v>92.33</v>
      </c>
      <c r="D4740" s="1128">
        <v>141.82</v>
      </c>
      <c r="E4740" s="1126"/>
    </row>
    <row r="4741" spans="1:5" x14ac:dyDescent="0.2">
      <c r="A4741" s="1126" t="s">
        <v>5323</v>
      </c>
      <c r="B4741" s="1127">
        <v>265</v>
      </c>
      <c r="C4741" s="1128">
        <v>0</v>
      </c>
      <c r="D4741" s="1128">
        <v>159.27000000000001</v>
      </c>
      <c r="E4741" s="1126"/>
    </row>
    <row r="4742" spans="1:5" x14ac:dyDescent="0.2">
      <c r="A4742" s="1126" t="s">
        <v>5324</v>
      </c>
      <c r="B4742" s="1127">
        <v>163</v>
      </c>
      <c r="C4742" s="1128">
        <v>143.16</v>
      </c>
      <c r="D4742" s="1128">
        <v>255.2</v>
      </c>
      <c r="E4742" s="1126"/>
    </row>
    <row r="4743" spans="1:5" x14ac:dyDescent="0.2">
      <c r="A4743" s="1126" t="s">
        <v>5325</v>
      </c>
      <c r="B4743" s="1127">
        <v>332</v>
      </c>
      <c r="C4743" s="1128">
        <v>676.11</v>
      </c>
      <c r="D4743" s="1128">
        <v>904.31</v>
      </c>
      <c r="E4743" s="1126"/>
    </row>
    <row r="4744" spans="1:5" x14ac:dyDescent="0.2">
      <c r="A4744" s="1126" t="s">
        <v>5326</v>
      </c>
      <c r="B4744" s="1127">
        <v>549</v>
      </c>
      <c r="C4744" s="1128">
        <v>0</v>
      </c>
      <c r="D4744" s="1128">
        <v>190.54</v>
      </c>
      <c r="E4744" s="1126"/>
    </row>
    <row r="4745" spans="1:5" x14ac:dyDescent="0.2">
      <c r="A4745" s="1126" t="s">
        <v>5327</v>
      </c>
      <c r="B4745" s="1127">
        <v>124</v>
      </c>
      <c r="C4745" s="1128">
        <v>0</v>
      </c>
      <c r="D4745" s="1128">
        <v>42.06</v>
      </c>
      <c r="E4745" s="1126"/>
    </row>
    <row r="4746" spans="1:5" x14ac:dyDescent="0.2">
      <c r="A4746" s="1126" t="s">
        <v>5328</v>
      </c>
      <c r="B4746" s="1127">
        <v>267</v>
      </c>
      <c r="C4746" s="1128">
        <v>566.01</v>
      </c>
      <c r="D4746" s="1128">
        <v>749.54</v>
      </c>
      <c r="E4746" s="1126"/>
    </row>
    <row r="4747" spans="1:5" x14ac:dyDescent="0.2">
      <c r="A4747" s="1126" t="s">
        <v>5329</v>
      </c>
      <c r="B4747" s="1127">
        <v>94</v>
      </c>
      <c r="C4747" s="1128">
        <v>160.37</v>
      </c>
      <c r="D4747" s="1128">
        <v>224.99</v>
      </c>
      <c r="E4747" s="1126"/>
    </row>
    <row r="4748" spans="1:5" x14ac:dyDescent="0.2">
      <c r="A4748" s="1126" t="s">
        <v>5330</v>
      </c>
      <c r="B4748" s="1127">
        <v>330</v>
      </c>
      <c r="C4748" s="1128">
        <v>1198.1300000000001</v>
      </c>
      <c r="D4748" s="1128">
        <v>1424.96</v>
      </c>
      <c r="E4748" s="1126"/>
    </row>
    <row r="4749" spans="1:5" x14ac:dyDescent="0.2">
      <c r="A4749" s="1126" t="s">
        <v>5331</v>
      </c>
      <c r="B4749" s="1127">
        <v>206</v>
      </c>
      <c r="C4749" s="1128">
        <v>295.22000000000003</v>
      </c>
      <c r="D4749" s="1128">
        <v>436.81</v>
      </c>
      <c r="E4749" s="1126"/>
    </row>
    <row r="4750" spans="1:5" x14ac:dyDescent="0.2">
      <c r="A4750" s="1126" t="s">
        <v>5332</v>
      </c>
      <c r="B4750" s="1127">
        <v>149</v>
      </c>
      <c r="C4750" s="1128">
        <v>550.64</v>
      </c>
      <c r="D4750" s="1128">
        <v>653.05999999999995</v>
      </c>
      <c r="E4750" s="1126"/>
    </row>
    <row r="4751" spans="1:5" x14ac:dyDescent="0.2">
      <c r="A4751" s="1126" t="s">
        <v>5333</v>
      </c>
      <c r="B4751" s="1127">
        <v>114</v>
      </c>
      <c r="C4751" s="1128">
        <v>29.64</v>
      </c>
      <c r="D4751" s="1128">
        <v>108</v>
      </c>
      <c r="E4751" s="1126"/>
    </row>
    <row r="4752" spans="1:5" x14ac:dyDescent="0.2">
      <c r="A4752" s="1126" t="s">
        <v>5334</v>
      </c>
      <c r="B4752" s="1127">
        <v>127</v>
      </c>
      <c r="C4752" s="1128">
        <v>29.08</v>
      </c>
      <c r="D4752" s="1128">
        <v>116.38</v>
      </c>
      <c r="E4752" s="1126"/>
    </row>
    <row r="4753" spans="1:5" x14ac:dyDescent="0.2">
      <c r="A4753" s="1126" t="s">
        <v>5335</v>
      </c>
      <c r="B4753" s="1127">
        <v>71</v>
      </c>
      <c r="C4753" s="1128">
        <v>12.38</v>
      </c>
      <c r="D4753" s="1128">
        <v>61.18</v>
      </c>
      <c r="E4753" s="1126"/>
    </row>
    <row r="4754" spans="1:5" x14ac:dyDescent="0.2">
      <c r="A4754" s="1126" t="s">
        <v>5336</v>
      </c>
      <c r="B4754" s="1127">
        <v>138</v>
      </c>
      <c r="C4754" s="1128">
        <v>199.09</v>
      </c>
      <c r="D4754" s="1128">
        <v>293.95</v>
      </c>
      <c r="E4754" s="1126"/>
    </row>
    <row r="4755" spans="1:5" x14ac:dyDescent="0.2">
      <c r="A4755" s="1126" t="s">
        <v>5337</v>
      </c>
      <c r="B4755" s="1127">
        <v>377</v>
      </c>
      <c r="C4755" s="1128">
        <v>0</v>
      </c>
      <c r="D4755" s="1128">
        <v>25.82</v>
      </c>
      <c r="E4755" s="1126"/>
    </row>
    <row r="4756" spans="1:5" x14ac:dyDescent="0.2">
      <c r="A4756" s="1126" t="s">
        <v>5338</v>
      </c>
      <c r="B4756" s="1127">
        <v>110</v>
      </c>
      <c r="C4756" s="1128">
        <v>0</v>
      </c>
      <c r="D4756" s="1128">
        <v>64.319999999999993</v>
      </c>
      <c r="E4756" s="1126"/>
    </row>
    <row r="4757" spans="1:5" x14ac:dyDescent="0.2">
      <c r="A4757" s="1126" t="s">
        <v>5339</v>
      </c>
      <c r="B4757" s="1127">
        <v>543</v>
      </c>
      <c r="C4757" s="1128">
        <v>547.04</v>
      </c>
      <c r="D4757" s="1128">
        <v>920.28</v>
      </c>
      <c r="E4757" s="1126"/>
    </row>
    <row r="4758" spans="1:5" x14ac:dyDescent="0.2">
      <c r="A4758" s="1126" t="s">
        <v>5340</v>
      </c>
      <c r="B4758" s="1127">
        <v>115</v>
      </c>
      <c r="C4758" s="1128">
        <v>205.73</v>
      </c>
      <c r="D4758" s="1128">
        <v>284.77999999999997</v>
      </c>
      <c r="E4758" s="1126"/>
    </row>
    <row r="4759" spans="1:5" x14ac:dyDescent="0.2">
      <c r="A4759" s="1126" t="s">
        <v>5341</v>
      </c>
      <c r="B4759" s="1127">
        <v>638</v>
      </c>
      <c r="C4759" s="1128">
        <v>0</v>
      </c>
      <c r="D4759" s="1128">
        <v>24.33</v>
      </c>
      <c r="E4759" s="1126"/>
    </row>
    <row r="4760" spans="1:5" x14ac:dyDescent="0.2">
      <c r="A4760" s="1126" t="s">
        <v>5342</v>
      </c>
      <c r="B4760" s="1127">
        <v>347</v>
      </c>
      <c r="C4760" s="1128">
        <v>428.87</v>
      </c>
      <c r="D4760" s="1128">
        <v>667.38</v>
      </c>
      <c r="E4760" s="1126"/>
    </row>
    <row r="4761" spans="1:5" x14ac:dyDescent="0.2">
      <c r="A4761" s="1126" t="s">
        <v>5343</v>
      </c>
      <c r="B4761" s="1127">
        <v>243</v>
      </c>
      <c r="C4761" s="1128">
        <v>162.97999999999999</v>
      </c>
      <c r="D4761" s="1128">
        <v>330.01</v>
      </c>
      <c r="E4761" s="1126"/>
    </row>
    <row r="4762" spans="1:5" x14ac:dyDescent="0.2">
      <c r="A4762" s="1126" t="s">
        <v>5344</v>
      </c>
      <c r="B4762" s="1127">
        <v>130</v>
      </c>
      <c r="C4762" s="1128">
        <v>39.71</v>
      </c>
      <c r="D4762" s="1128">
        <v>129.07</v>
      </c>
      <c r="E4762" s="1126"/>
    </row>
    <row r="4763" spans="1:5" x14ac:dyDescent="0.2">
      <c r="A4763" s="1126" t="s">
        <v>5345</v>
      </c>
      <c r="B4763" s="1127">
        <v>335</v>
      </c>
      <c r="C4763" s="1128">
        <v>0</v>
      </c>
      <c r="D4763" s="1128">
        <v>44.99</v>
      </c>
      <c r="E4763" s="1126"/>
    </row>
    <row r="4764" spans="1:5" x14ac:dyDescent="0.2">
      <c r="A4764" s="1126" t="s">
        <v>5346</v>
      </c>
      <c r="B4764" s="1127">
        <v>506</v>
      </c>
      <c r="C4764" s="1128">
        <v>771.13</v>
      </c>
      <c r="D4764" s="1128">
        <v>1118.94</v>
      </c>
      <c r="E4764" s="1126"/>
    </row>
    <row r="4765" spans="1:5" x14ac:dyDescent="0.2">
      <c r="A4765" s="1126" t="s">
        <v>5347</v>
      </c>
      <c r="B4765" s="1127">
        <v>35</v>
      </c>
      <c r="C4765" s="1128">
        <v>78.819999999999993</v>
      </c>
      <c r="D4765" s="1128">
        <v>102.88</v>
      </c>
      <c r="E4765" s="1126" t="s">
        <v>669</v>
      </c>
    </row>
    <row r="4766" spans="1:5" x14ac:dyDescent="0.2">
      <c r="A4766" s="1126" t="s">
        <v>5348</v>
      </c>
      <c r="B4766" s="1127">
        <v>75</v>
      </c>
      <c r="C4766" s="1128">
        <v>217.61</v>
      </c>
      <c r="D4766" s="1128">
        <v>269.16000000000003</v>
      </c>
      <c r="E4766" s="1126"/>
    </row>
    <row r="4767" spans="1:5" x14ac:dyDescent="0.2">
      <c r="A4767" s="1126" t="s">
        <v>5349</v>
      </c>
      <c r="B4767" s="1127">
        <v>270</v>
      </c>
      <c r="C4767" s="1128">
        <v>0</v>
      </c>
      <c r="D4767" s="1128">
        <v>94.2</v>
      </c>
      <c r="E4767" s="1126"/>
    </row>
    <row r="4768" spans="1:5" x14ac:dyDescent="0.2">
      <c r="A4768" s="1126" t="s">
        <v>5350</v>
      </c>
      <c r="B4768" s="1127">
        <v>459</v>
      </c>
      <c r="C4768" s="1128">
        <v>0</v>
      </c>
      <c r="D4768" s="1128">
        <v>277.52999999999997</v>
      </c>
      <c r="E4768" s="1126"/>
    </row>
    <row r="4769" spans="1:5" x14ac:dyDescent="0.2">
      <c r="A4769" s="1126" t="s">
        <v>5351</v>
      </c>
      <c r="B4769" s="1127">
        <v>68</v>
      </c>
      <c r="C4769" s="1128">
        <v>152.31</v>
      </c>
      <c r="D4769" s="1128">
        <v>199.05</v>
      </c>
      <c r="E4769" s="1126"/>
    </row>
    <row r="4770" spans="1:5" x14ac:dyDescent="0.2">
      <c r="A4770" s="1126" t="s">
        <v>5352</v>
      </c>
      <c r="B4770" s="1127">
        <v>117</v>
      </c>
      <c r="C4770" s="1128">
        <v>295.44</v>
      </c>
      <c r="D4770" s="1128">
        <v>375.86</v>
      </c>
      <c r="E4770" s="1126"/>
    </row>
    <row r="4771" spans="1:5" x14ac:dyDescent="0.2">
      <c r="A4771" s="1126" t="s">
        <v>5353</v>
      </c>
      <c r="B4771" s="1127">
        <v>89</v>
      </c>
      <c r="C4771" s="1128">
        <v>96.83</v>
      </c>
      <c r="D4771" s="1128">
        <v>158</v>
      </c>
      <c r="E4771" s="1126"/>
    </row>
    <row r="4772" spans="1:5" x14ac:dyDescent="0.2">
      <c r="A4772" s="1126" t="s">
        <v>5354</v>
      </c>
      <c r="B4772" s="1127">
        <v>91</v>
      </c>
      <c r="C4772" s="1128">
        <v>181.67</v>
      </c>
      <c r="D4772" s="1128">
        <v>244.22</v>
      </c>
      <c r="E4772" s="1126"/>
    </row>
    <row r="4773" spans="1:5" x14ac:dyDescent="0.2">
      <c r="A4773" s="1126" t="s">
        <v>5355</v>
      </c>
      <c r="B4773" s="1127">
        <v>234</v>
      </c>
      <c r="C4773" s="1128">
        <v>0</v>
      </c>
      <c r="D4773" s="1128">
        <v>111.93</v>
      </c>
      <c r="E4773" s="1126"/>
    </row>
    <row r="4774" spans="1:5" x14ac:dyDescent="0.2">
      <c r="A4774" s="1126" t="s">
        <v>5356</v>
      </c>
      <c r="B4774" s="1127">
        <v>206</v>
      </c>
      <c r="C4774" s="1128">
        <v>482.24</v>
      </c>
      <c r="D4774" s="1128">
        <v>623.83000000000004</v>
      </c>
      <c r="E4774" s="1126"/>
    </row>
    <row r="4775" spans="1:5" x14ac:dyDescent="0.2">
      <c r="A4775" s="1126" t="s">
        <v>5357</v>
      </c>
      <c r="B4775" s="1127">
        <v>197</v>
      </c>
      <c r="C4775" s="1128">
        <v>18.91</v>
      </c>
      <c r="D4775" s="1128">
        <v>154.32</v>
      </c>
      <c r="E4775" s="1126"/>
    </row>
    <row r="4776" spans="1:5" x14ac:dyDescent="0.2">
      <c r="A4776" s="1126" t="s">
        <v>5358</v>
      </c>
      <c r="B4776" s="1127">
        <v>382</v>
      </c>
      <c r="C4776" s="1128">
        <v>0</v>
      </c>
      <c r="D4776" s="1128">
        <v>221.89</v>
      </c>
      <c r="E4776" s="1126"/>
    </row>
    <row r="4777" spans="1:5" x14ac:dyDescent="0.2">
      <c r="A4777" s="1126" t="s">
        <v>5359</v>
      </c>
      <c r="B4777" s="1127">
        <v>185</v>
      </c>
      <c r="C4777" s="1128">
        <v>500.51</v>
      </c>
      <c r="D4777" s="1128">
        <v>627.66999999999996</v>
      </c>
      <c r="E4777" s="1126"/>
    </row>
    <row r="4778" spans="1:5" x14ac:dyDescent="0.2">
      <c r="A4778" s="1126" t="s">
        <v>5360</v>
      </c>
      <c r="B4778" s="1127">
        <v>635</v>
      </c>
      <c r="C4778" s="1128">
        <v>617.59</v>
      </c>
      <c r="D4778" s="1128">
        <v>1054.07</v>
      </c>
      <c r="E4778" s="1126"/>
    </row>
    <row r="4779" spans="1:5" x14ac:dyDescent="0.2">
      <c r="A4779" s="1126" t="s">
        <v>5361</v>
      </c>
      <c r="B4779" s="1127">
        <v>352</v>
      </c>
      <c r="C4779" s="1128">
        <v>138.56</v>
      </c>
      <c r="D4779" s="1128">
        <v>380.51</v>
      </c>
      <c r="E4779" s="1126"/>
    </row>
    <row r="4780" spans="1:5" x14ac:dyDescent="0.2">
      <c r="A4780" s="1126" t="s">
        <v>5362</v>
      </c>
      <c r="B4780" s="1127">
        <v>149</v>
      </c>
      <c r="C4780" s="1128">
        <v>168.65</v>
      </c>
      <c r="D4780" s="1128">
        <v>271.06</v>
      </c>
      <c r="E4780" s="1126"/>
    </row>
    <row r="4781" spans="1:5" x14ac:dyDescent="0.2">
      <c r="A4781" s="1126" t="s">
        <v>5363</v>
      </c>
      <c r="B4781" s="1127">
        <v>348</v>
      </c>
      <c r="C4781" s="1128">
        <v>0</v>
      </c>
      <c r="D4781" s="1128">
        <v>209.29</v>
      </c>
      <c r="E4781" s="1126"/>
    </row>
    <row r="4782" spans="1:5" x14ac:dyDescent="0.2">
      <c r="A4782" s="1126" t="s">
        <v>5364</v>
      </c>
      <c r="B4782" s="1127">
        <v>364</v>
      </c>
      <c r="C4782" s="1128">
        <v>120.99</v>
      </c>
      <c r="D4782" s="1128">
        <v>371.19</v>
      </c>
      <c r="E4782" s="1126"/>
    </row>
    <row r="4783" spans="1:5" x14ac:dyDescent="0.2">
      <c r="A4783" s="1126" t="s">
        <v>5365</v>
      </c>
      <c r="B4783" s="1127">
        <v>341</v>
      </c>
      <c r="C4783" s="1128">
        <v>0</v>
      </c>
      <c r="D4783" s="1128">
        <v>92.34</v>
      </c>
      <c r="E4783" s="1126"/>
    </row>
    <row r="4784" spans="1:5" x14ac:dyDescent="0.2">
      <c r="A4784" s="1126" t="s">
        <v>5366</v>
      </c>
      <c r="B4784" s="1127">
        <v>383</v>
      </c>
      <c r="C4784" s="1128">
        <v>0</v>
      </c>
      <c r="D4784" s="1128">
        <v>143.6</v>
      </c>
      <c r="E4784" s="1126"/>
    </row>
    <row r="4785" spans="1:5" x14ac:dyDescent="0.2">
      <c r="A4785" s="1126" t="s">
        <v>5367</v>
      </c>
      <c r="B4785" s="1127">
        <v>539</v>
      </c>
      <c r="C4785" s="1128">
        <v>848.73</v>
      </c>
      <c r="D4785" s="1128">
        <v>1219.22</v>
      </c>
      <c r="E4785" s="1126"/>
    </row>
    <row r="4786" spans="1:5" x14ac:dyDescent="0.2">
      <c r="A4786" s="1126" t="s">
        <v>5368</v>
      </c>
      <c r="B4786" s="1127">
        <v>148</v>
      </c>
      <c r="C4786" s="1128">
        <v>0</v>
      </c>
      <c r="D4786" s="1128">
        <v>22.56</v>
      </c>
      <c r="E4786" s="1126"/>
    </row>
    <row r="4787" spans="1:5" x14ac:dyDescent="0.2">
      <c r="A4787" s="1126" t="s">
        <v>5369</v>
      </c>
      <c r="B4787" s="1127">
        <v>478</v>
      </c>
      <c r="C4787" s="1128">
        <v>178.15</v>
      </c>
      <c r="D4787" s="1128">
        <v>506.7</v>
      </c>
      <c r="E4787" s="1126"/>
    </row>
    <row r="4788" spans="1:5" x14ac:dyDescent="0.2">
      <c r="A4788" s="1126" t="s">
        <v>5370</v>
      </c>
      <c r="B4788" s="1127">
        <v>352</v>
      </c>
      <c r="C4788" s="1128">
        <v>615.5</v>
      </c>
      <c r="D4788" s="1128">
        <v>857.45</v>
      </c>
      <c r="E4788" s="1126"/>
    </row>
    <row r="4789" spans="1:5" x14ac:dyDescent="0.2">
      <c r="A4789" s="1126" t="s">
        <v>5371</v>
      </c>
      <c r="B4789" s="1127">
        <v>86</v>
      </c>
      <c r="C4789" s="1128">
        <v>0</v>
      </c>
      <c r="D4789" s="1128">
        <v>36.4</v>
      </c>
      <c r="E4789" s="1126"/>
    </row>
    <row r="4790" spans="1:5" x14ac:dyDescent="0.2">
      <c r="A4790" s="1126" t="s">
        <v>5372</v>
      </c>
      <c r="B4790" s="1127">
        <v>276</v>
      </c>
      <c r="C4790" s="1128">
        <v>0</v>
      </c>
      <c r="D4790" s="1128">
        <v>168.85</v>
      </c>
      <c r="E4790" s="1126"/>
    </row>
    <row r="4791" spans="1:5" x14ac:dyDescent="0.2">
      <c r="A4791" s="1126" t="s">
        <v>5373</v>
      </c>
      <c r="B4791" s="1127">
        <v>105</v>
      </c>
      <c r="C4791" s="1128">
        <v>4.12</v>
      </c>
      <c r="D4791" s="1128">
        <v>76.290000000000006</v>
      </c>
      <c r="E4791" s="1126"/>
    </row>
    <row r="4792" spans="1:5" x14ac:dyDescent="0.2">
      <c r="A4792" s="1126" t="s">
        <v>5374</v>
      </c>
      <c r="B4792" s="1127">
        <v>153</v>
      </c>
      <c r="C4792" s="1128">
        <v>229.74</v>
      </c>
      <c r="D4792" s="1128">
        <v>334.91</v>
      </c>
      <c r="E4792" s="1126"/>
    </row>
    <row r="4793" spans="1:5" x14ac:dyDescent="0.2">
      <c r="A4793" s="1126" t="s">
        <v>5375</v>
      </c>
      <c r="B4793" s="1127">
        <v>147</v>
      </c>
      <c r="C4793" s="1128">
        <v>97.33</v>
      </c>
      <c r="D4793" s="1128">
        <v>198.37</v>
      </c>
      <c r="E4793" s="1126"/>
    </row>
    <row r="4794" spans="1:5" x14ac:dyDescent="0.2">
      <c r="A4794" s="1126" t="s">
        <v>5376</v>
      </c>
      <c r="B4794" s="1127">
        <v>109</v>
      </c>
      <c r="C4794" s="1128">
        <v>308.14</v>
      </c>
      <c r="D4794" s="1128">
        <v>383.07</v>
      </c>
      <c r="E4794" s="1126"/>
    </row>
    <row r="4795" spans="1:5" x14ac:dyDescent="0.2">
      <c r="A4795" s="1126" t="s">
        <v>5377</v>
      </c>
      <c r="B4795" s="1127">
        <v>249</v>
      </c>
      <c r="C4795" s="1128">
        <v>309.99</v>
      </c>
      <c r="D4795" s="1128">
        <v>481.15</v>
      </c>
      <c r="E4795" s="1126"/>
    </row>
    <row r="4796" spans="1:5" x14ac:dyDescent="0.2">
      <c r="A4796" s="1126" t="s">
        <v>5378</v>
      </c>
      <c r="B4796" s="1127">
        <v>119</v>
      </c>
      <c r="C4796" s="1128">
        <v>0</v>
      </c>
      <c r="D4796" s="1128">
        <v>28.92</v>
      </c>
      <c r="E4796" s="1126"/>
    </row>
    <row r="4797" spans="1:5" x14ac:dyDescent="0.2">
      <c r="A4797" s="1126" t="s">
        <v>5379</v>
      </c>
      <c r="B4797" s="1127">
        <v>284</v>
      </c>
      <c r="C4797" s="1128">
        <v>0</v>
      </c>
      <c r="D4797" s="1128">
        <v>136.19999999999999</v>
      </c>
      <c r="E4797" s="1126"/>
    </row>
    <row r="4798" spans="1:5" x14ac:dyDescent="0.2">
      <c r="A4798" s="1126" t="s">
        <v>5380</v>
      </c>
      <c r="B4798" s="1127">
        <v>176</v>
      </c>
      <c r="C4798" s="1128">
        <v>505.81</v>
      </c>
      <c r="D4798" s="1128">
        <v>626.79</v>
      </c>
      <c r="E4798" s="1126"/>
    </row>
    <row r="4799" spans="1:5" x14ac:dyDescent="0.2">
      <c r="A4799" s="1126" t="s">
        <v>5381</v>
      </c>
      <c r="B4799" s="1127">
        <v>328</v>
      </c>
      <c r="C4799" s="1128">
        <v>845.12</v>
      </c>
      <c r="D4799" s="1128">
        <v>1070.58</v>
      </c>
      <c r="E4799" s="1126"/>
    </row>
    <row r="4800" spans="1:5" x14ac:dyDescent="0.2">
      <c r="A4800" s="1126" t="s">
        <v>5382</v>
      </c>
      <c r="B4800" s="1127">
        <v>228</v>
      </c>
      <c r="C4800" s="1128">
        <v>0</v>
      </c>
      <c r="D4800" s="1128">
        <v>45.96</v>
      </c>
      <c r="E4800" s="1126"/>
    </row>
    <row r="4801" spans="1:5" x14ac:dyDescent="0.2">
      <c r="A4801" s="1126" t="s">
        <v>5383</v>
      </c>
      <c r="B4801" s="1127">
        <v>525</v>
      </c>
      <c r="C4801" s="1128">
        <v>0</v>
      </c>
      <c r="D4801" s="1128">
        <v>52.11</v>
      </c>
      <c r="E4801" s="1126"/>
    </row>
    <row r="4802" spans="1:5" x14ac:dyDescent="0.2">
      <c r="A4802" s="1126" t="s">
        <v>5384</v>
      </c>
      <c r="B4802" s="1127">
        <v>214</v>
      </c>
      <c r="C4802" s="1128">
        <v>0</v>
      </c>
      <c r="D4802" s="1128">
        <v>127.37</v>
      </c>
      <c r="E4802" s="1126"/>
    </row>
    <row r="4803" spans="1:5" x14ac:dyDescent="0.2">
      <c r="A4803" s="1126" t="s">
        <v>5385</v>
      </c>
      <c r="B4803" s="1127">
        <v>149</v>
      </c>
      <c r="C4803" s="1128">
        <v>43.2</v>
      </c>
      <c r="D4803" s="1128">
        <v>145.62</v>
      </c>
      <c r="E4803" s="1126"/>
    </row>
    <row r="4804" spans="1:5" x14ac:dyDescent="0.2">
      <c r="A4804" s="1126" t="s">
        <v>5386</v>
      </c>
      <c r="B4804" s="1127">
        <v>212</v>
      </c>
      <c r="C4804" s="1128">
        <v>0</v>
      </c>
      <c r="D4804" s="1128">
        <v>132.19999999999999</v>
      </c>
      <c r="E4804" s="1126"/>
    </row>
    <row r="4805" spans="1:5" x14ac:dyDescent="0.2">
      <c r="A4805" s="1126" t="s">
        <v>5387</v>
      </c>
      <c r="B4805" s="1127">
        <v>254</v>
      </c>
      <c r="C4805" s="1128">
        <v>211.66</v>
      </c>
      <c r="D4805" s="1128">
        <v>386.25</v>
      </c>
      <c r="E4805" s="1126"/>
    </row>
    <row r="4806" spans="1:5" x14ac:dyDescent="0.2">
      <c r="A4806" s="1126" t="s">
        <v>5388</v>
      </c>
      <c r="B4806" s="1127">
        <v>333</v>
      </c>
      <c r="C4806" s="1128">
        <v>376.67</v>
      </c>
      <c r="D4806" s="1128">
        <v>605.55999999999995</v>
      </c>
      <c r="E4806" s="1126"/>
    </row>
    <row r="4807" spans="1:5" x14ac:dyDescent="0.2">
      <c r="A4807" s="1126" t="s">
        <v>5389</v>
      </c>
      <c r="B4807" s="1127">
        <v>127</v>
      </c>
      <c r="C4807" s="1128">
        <v>135.63999999999999</v>
      </c>
      <c r="D4807" s="1128">
        <v>222.93</v>
      </c>
      <c r="E4807" s="1126"/>
    </row>
    <row r="4808" spans="1:5" x14ac:dyDescent="0.2">
      <c r="A4808" s="1126" t="s">
        <v>5390</v>
      </c>
      <c r="B4808" s="1127">
        <v>540</v>
      </c>
      <c r="C4808" s="1128">
        <v>17.559999999999999</v>
      </c>
      <c r="D4808" s="1128">
        <v>388.74</v>
      </c>
      <c r="E4808" s="1126"/>
    </row>
    <row r="4809" spans="1:5" x14ac:dyDescent="0.2">
      <c r="A4809" s="1126" t="s">
        <v>5391</v>
      </c>
      <c r="B4809" s="1127">
        <v>445</v>
      </c>
      <c r="C4809" s="1128">
        <v>0</v>
      </c>
      <c r="D4809" s="1128">
        <v>259.66000000000003</v>
      </c>
      <c r="E4809" s="1126"/>
    </row>
    <row r="4810" spans="1:5" x14ac:dyDescent="0.2">
      <c r="A4810" s="1126" t="s">
        <v>5392</v>
      </c>
      <c r="B4810" s="1127">
        <v>294</v>
      </c>
      <c r="C4810" s="1128">
        <v>0</v>
      </c>
      <c r="D4810" s="1128">
        <v>50.33</v>
      </c>
      <c r="E4810" s="1126"/>
    </row>
    <row r="4811" spans="1:5" x14ac:dyDescent="0.2">
      <c r="A4811" s="1126" t="s">
        <v>5393</v>
      </c>
      <c r="B4811" s="1127">
        <v>194</v>
      </c>
      <c r="C4811" s="1128">
        <v>0</v>
      </c>
      <c r="D4811" s="1128">
        <v>30.22</v>
      </c>
      <c r="E4811" s="1126"/>
    </row>
    <row r="4812" spans="1:5" x14ac:dyDescent="0.2">
      <c r="A4812" s="1126" t="s">
        <v>5394</v>
      </c>
      <c r="B4812" s="1127">
        <v>209</v>
      </c>
      <c r="C4812" s="1128">
        <v>0</v>
      </c>
      <c r="D4812" s="1128">
        <v>15.56</v>
      </c>
      <c r="E4812" s="1126"/>
    </row>
    <row r="4813" spans="1:5" x14ac:dyDescent="0.2">
      <c r="A4813" s="1126" t="s">
        <v>5395</v>
      </c>
      <c r="B4813" s="1127">
        <v>110</v>
      </c>
      <c r="C4813" s="1128">
        <v>0</v>
      </c>
      <c r="D4813" s="1128">
        <v>54.21</v>
      </c>
      <c r="E4813" s="1126"/>
    </row>
    <row r="4814" spans="1:5" x14ac:dyDescent="0.2">
      <c r="A4814" s="1126" t="s">
        <v>5396</v>
      </c>
      <c r="B4814" s="1127">
        <v>145</v>
      </c>
      <c r="C4814" s="1128">
        <v>317.58</v>
      </c>
      <c r="D4814" s="1128">
        <v>417.24</v>
      </c>
      <c r="E4814" s="1126"/>
    </row>
    <row r="4815" spans="1:5" x14ac:dyDescent="0.2">
      <c r="A4815" s="1126" t="s">
        <v>5397</v>
      </c>
      <c r="B4815" s="1127">
        <v>177</v>
      </c>
      <c r="C4815" s="1128">
        <v>419.24</v>
      </c>
      <c r="D4815" s="1128">
        <v>540.9</v>
      </c>
      <c r="E4815" s="1126"/>
    </row>
    <row r="4816" spans="1:5" x14ac:dyDescent="0.2">
      <c r="A4816" s="1126" t="s">
        <v>5398</v>
      </c>
      <c r="B4816" s="1127">
        <v>118</v>
      </c>
      <c r="C4816" s="1128">
        <v>53.72</v>
      </c>
      <c r="D4816" s="1128">
        <v>134.83000000000001</v>
      </c>
      <c r="E4816" s="1126"/>
    </row>
    <row r="4817" spans="1:5" x14ac:dyDescent="0.2">
      <c r="A4817" s="1126" t="s">
        <v>5399</v>
      </c>
      <c r="B4817" s="1127">
        <v>275</v>
      </c>
      <c r="C4817" s="1128">
        <v>736.72</v>
      </c>
      <c r="D4817" s="1128">
        <v>925.75</v>
      </c>
      <c r="E4817" s="1126"/>
    </row>
    <row r="4818" spans="1:5" x14ac:dyDescent="0.2">
      <c r="A4818" s="1126" t="s">
        <v>5400</v>
      </c>
      <c r="B4818" s="1127">
        <v>269</v>
      </c>
      <c r="C4818" s="1128">
        <v>0</v>
      </c>
      <c r="D4818" s="1128">
        <v>119.06</v>
      </c>
      <c r="E4818" s="1126"/>
    </row>
    <row r="4819" spans="1:5" x14ac:dyDescent="0.2">
      <c r="A4819" s="1126" t="s">
        <v>5401</v>
      </c>
      <c r="B4819" s="1127">
        <v>288</v>
      </c>
      <c r="C4819" s="1128">
        <v>0</v>
      </c>
      <c r="D4819" s="1128">
        <v>169.66</v>
      </c>
      <c r="E4819" s="1126"/>
    </row>
    <row r="4820" spans="1:5" x14ac:dyDescent="0.2">
      <c r="A4820" s="1126" t="s">
        <v>5402</v>
      </c>
      <c r="B4820" s="1127">
        <v>198</v>
      </c>
      <c r="C4820" s="1128">
        <v>0</v>
      </c>
      <c r="D4820" s="1128">
        <v>69.88</v>
      </c>
      <c r="E4820" s="1126"/>
    </row>
    <row r="4821" spans="1:5" x14ac:dyDescent="0.2">
      <c r="A4821" s="1126" t="s">
        <v>5403</v>
      </c>
      <c r="B4821" s="1127">
        <v>59</v>
      </c>
      <c r="C4821" s="1128">
        <v>2.6</v>
      </c>
      <c r="D4821" s="1128">
        <v>43.16</v>
      </c>
      <c r="E4821" s="1126"/>
    </row>
    <row r="4822" spans="1:5" x14ac:dyDescent="0.2">
      <c r="A4822" s="1126" t="s">
        <v>5404</v>
      </c>
      <c r="B4822" s="1127">
        <v>313</v>
      </c>
      <c r="C4822" s="1128">
        <v>0</v>
      </c>
      <c r="D4822" s="1128">
        <v>16.149999999999999</v>
      </c>
      <c r="E4822" s="1126"/>
    </row>
    <row r="4823" spans="1:5" x14ac:dyDescent="0.2">
      <c r="A4823" s="1126" t="s">
        <v>5405</v>
      </c>
      <c r="B4823" s="1127">
        <v>491</v>
      </c>
      <c r="C4823" s="1128">
        <v>0</v>
      </c>
      <c r="D4823" s="1128">
        <v>321.58</v>
      </c>
      <c r="E4823" s="1126"/>
    </row>
    <row r="4824" spans="1:5" x14ac:dyDescent="0.2">
      <c r="A4824" s="1126" t="s">
        <v>5406</v>
      </c>
      <c r="B4824" s="1127">
        <v>259</v>
      </c>
      <c r="C4824" s="1128">
        <v>0</v>
      </c>
      <c r="D4824" s="1128">
        <v>134.66</v>
      </c>
      <c r="E4824" s="1126"/>
    </row>
    <row r="4825" spans="1:5" x14ac:dyDescent="0.2">
      <c r="A4825" s="1126" t="s">
        <v>5407</v>
      </c>
      <c r="B4825" s="1127">
        <v>223</v>
      </c>
      <c r="C4825" s="1128">
        <v>301.66000000000003</v>
      </c>
      <c r="D4825" s="1128">
        <v>454.95</v>
      </c>
      <c r="E4825" s="1126"/>
    </row>
    <row r="4826" spans="1:5" x14ac:dyDescent="0.2">
      <c r="A4826" s="1126" t="s">
        <v>5408</v>
      </c>
      <c r="B4826" s="1127">
        <v>97</v>
      </c>
      <c r="C4826" s="1128">
        <v>39.090000000000003</v>
      </c>
      <c r="D4826" s="1128">
        <v>105.76</v>
      </c>
      <c r="E4826" s="1126"/>
    </row>
    <row r="4827" spans="1:5" x14ac:dyDescent="0.2">
      <c r="A4827" s="1126" t="s">
        <v>5409</v>
      </c>
      <c r="B4827" s="1127">
        <v>82</v>
      </c>
      <c r="C4827" s="1128">
        <v>48.06</v>
      </c>
      <c r="D4827" s="1128">
        <v>104.43</v>
      </c>
      <c r="E4827" s="1126"/>
    </row>
    <row r="4828" spans="1:5" x14ac:dyDescent="0.2">
      <c r="A4828" s="1126" t="s">
        <v>5410</v>
      </c>
      <c r="B4828" s="1127">
        <v>210</v>
      </c>
      <c r="C4828" s="1128">
        <v>10.99</v>
      </c>
      <c r="D4828" s="1128">
        <v>155.34</v>
      </c>
      <c r="E4828" s="1126"/>
    </row>
    <row r="4829" spans="1:5" x14ac:dyDescent="0.2">
      <c r="A4829" s="1126" t="s">
        <v>5411</v>
      </c>
      <c r="B4829" s="1127">
        <v>146</v>
      </c>
      <c r="C4829" s="1128">
        <v>0</v>
      </c>
      <c r="D4829" s="1128">
        <v>57.66</v>
      </c>
      <c r="E4829" s="1126"/>
    </row>
    <row r="4830" spans="1:5" x14ac:dyDescent="0.2">
      <c r="A4830" s="1126" t="s">
        <v>5412</v>
      </c>
      <c r="B4830" s="1127">
        <v>65</v>
      </c>
      <c r="C4830" s="1128">
        <v>12.99</v>
      </c>
      <c r="D4830" s="1128">
        <v>57.67</v>
      </c>
      <c r="E4830" s="1126"/>
    </row>
    <row r="4831" spans="1:5" x14ac:dyDescent="0.2">
      <c r="A4831" s="1126" t="s">
        <v>5413</v>
      </c>
      <c r="B4831" s="1127">
        <v>331</v>
      </c>
      <c r="C4831" s="1128">
        <v>527.99</v>
      </c>
      <c r="D4831" s="1128">
        <v>755.51</v>
      </c>
      <c r="E4831" s="1126"/>
    </row>
    <row r="4832" spans="1:5" x14ac:dyDescent="0.2">
      <c r="A4832" s="1126" t="s">
        <v>5414</v>
      </c>
      <c r="B4832" s="1127">
        <v>136</v>
      </c>
      <c r="C4832" s="1128">
        <v>221.82</v>
      </c>
      <c r="D4832" s="1128">
        <v>315.3</v>
      </c>
      <c r="E4832" s="1126"/>
    </row>
    <row r="4833" spans="1:5" x14ac:dyDescent="0.2">
      <c r="A4833" s="1126" t="s">
        <v>5415</v>
      </c>
      <c r="B4833" s="1127">
        <v>359</v>
      </c>
      <c r="C4833" s="1128">
        <v>0</v>
      </c>
      <c r="D4833" s="1128">
        <v>206.5</v>
      </c>
      <c r="E4833" s="1126"/>
    </row>
    <row r="4834" spans="1:5" x14ac:dyDescent="0.2">
      <c r="A4834" s="1126" t="s">
        <v>5416</v>
      </c>
      <c r="B4834" s="1127">
        <v>170</v>
      </c>
      <c r="C4834" s="1128">
        <v>7.76</v>
      </c>
      <c r="D4834" s="1128">
        <v>124.61</v>
      </c>
      <c r="E4834" s="1126"/>
    </row>
    <row r="4835" spans="1:5" x14ac:dyDescent="0.2">
      <c r="A4835" s="1126" t="s">
        <v>5417</v>
      </c>
      <c r="B4835" s="1127">
        <v>226</v>
      </c>
      <c r="C4835" s="1128">
        <v>35.450000000000003</v>
      </c>
      <c r="D4835" s="1128">
        <v>190.8</v>
      </c>
      <c r="E4835" s="1126"/>
    </row>
    <row r="4836" spans="1:5" x14ac:dyDescent="0.2">
      <c r="A4836" s="1126" t="s">
        <v>5418</v>
      </c>
      <c r="B4836" s="1127">
        <v>659</v>
      </c>
      <c r="C4836" s="1128">
        <v>0</v>
      </c>
      <c r="D4836" s="1128">
        <v>136.86000000000001</v>
      </c>
      <c r="E4836" s="1126"/>
    </row>
    <row r="4837" spans="1:5" x14ac:dyDescent="0.2">
      <c r="A4837" s="1126" t="s">
        <v>5419</v>
      </c>
      <c r="B4837" s="1127">
        <v>160</v>
      </c>
      <c r="C4837" s="1128">
        <v>0</v>
      </c>
      <c r="D4837" s="1128">
        <v>98.16</v>
      </c>
      <c r="E4837" s="1126"/>
    </row>
    <row r="4838" spans="1:5" x14ac:dyDescent="0.2">
      <c r="A4838" s="1126" t="s">
        <v>5420</v>
      </c>
      <c r="B4838" s="1127">
        <v>469</v>
      </c>
      <c r="C4838" s="1128">
        <v>0</v>
      </c>
      <c r="D4838" s="1128">
        <v>146.02000000000001</v>
      </c>
      <c r="E4838" s="1126"/>
    </row>
    <row r="4839" spans="1:5" x14ac:dyDescent="0.2">
      <c r="A4839" s="1126" t="s">
        <v>5421</v>
      </c>
      <c r="B4839" s="1127">
        <v>81</v>
      </c>
      <c r="C4839" s="1128">
        <v>55.91</v>
      </c>
      <c r="D4839" s="1128">
        <v>111.58</v>
      </c>
      <c r="E4839" s="1126"/>
    </row>
    <row r="4840" spans="1:5" x14ac:dyDescent="0.2">
      <c r="A4840" s="1126" t="s">
        <v>5422</v>
      </c>
      <c r="B4840" s="1127">
        <v>243</v>
      </c>
      <c r="C4840" s="1128">
        <v>0</v>
      </c>
      <c r="D4840" s="1128">
        <v>71.2</v>
      </c>
      <c r="E4840" s="1126"/>
    </row>
    <row r="4841" spans="1:5" x14ac:dyDescent="0.2">
      <c r="A4841" s="1126" t="s">
        <v>5423</v>
      </c>
      <c r="B4841" s="1127">
        <v>218</v>
      </c>
      <c r="C4841" s="1128">
        <v>300.43</v>
      </c>
      <c r="D4841" s="1128">
        <v>450.27</v>
      </c>
      <c r="E4841" s="1126"/>
    </row>
    <row r="4842" spans="1:5" x14ac:dyDescent="0.2">
      <c r="A4842" s="1126" t="s">
        <v>5424</v>
      </c>
      <c r="B4842" s="1127">
        <v>109</v>
      </c>
      <c r="C4842" s="1128">
        <v>283.24</v>
      </c>
      <c r="D4842" s="1128">
        <v>358.16</v>
      </c>
      <c r="E4842" s="1126"/>
    </row>
    <row r="4843" spans="1:5" x14ac:dyDescent="0.2">
      <c r="A4843" s="1126" t="s">
        <v>5425</v>
      </c>
      <c r="B4843" s="1127">
        <v>283</v>
      </c>
      <c r="C4843" s="1128">
        <v>0</v>
      </c>
      <c r="D4843" s="1128">
        <v>109.71</v>
      </c>
      <c r="E4843" s="1126"/>
    </row>
    <row r="4844" spans="1:5" x14ac:dyDescent="0.2">
      <c r="A4844" s="1126" t="s">
        <v>5426</v>
      </c>
      <c r="B4844" s="1127">
        <v>416</v>
      </c>
      <c r="C4844" s="1128">
        <v>0</v>
      </c>
      <c r="D4844" s="1128">
        <v>224.21</v>
      </c>
      <c r="E4844" s="1126"/>
    </row>
    <row r="4845" spans="1:5" x14ac:dyDescent="0.2">
      <c r="A4845" s="1126" t="s">
        <v>5427</v>
      </c>
      <c r="B4845" s="1127">
        <v>335</v>
      </c>
      <c r="C4845" s="1128">
        <v>799.72</v>
      </c>
      <c r="D4845" s="1128">
        <v>1029.99</v>
      </c>
      <c r="E4845" s="1126"/>
    </row>
    <row r="4846" spans="1:5" x14ac:dyDescent="0.2">
      <c r="A4846" s="1126" t="s">
        <v>5428</v>
      </c>
      <c r="B4846" s="1127">
        <v>247</v>
      </c>
      <c r="C4846" s="1128">
        <v>45.07</v>
      </c>
      <c r="D4846" s="1128">
        <v>214.85</v>
      </c>
      <c r="E4846" s="1126"/>
    </row>
    <row r="4847" spans="1:5" x14ac:dyDescent="0.2">
      <c r="A4847" s="1126" t="s">
        <v>5429</v>
      </c>
      <c r="B4847" s="1127">
        <v>118</v>
      </c>
      <c r="C4847" s="1128">
        <v>81.59</v>
      </c>
      <c r="D4847" s="1128">
        <v>162.69999999999999</v>
      </c>
      <c r="E4847" s="1126"/>
    </row>
    <row r="4848" spans="1:5" x14ac:dyDescent="0.2">
      <c r="A4848" s="1126" t="s">
        <v>5430</v>
      </c>
      <c r="B4848" s="1127">
        <v>136</v>
      </c>
      <c r="C4848" s="1128">
        <v>268.99</v>
      </c>
      <c r="D4848" s="1128">
        <v>362.47</v>
      </c>
      <c r="E4848" s="1126"/>
    </row>
    <row r="4849" spans="1:5" x14ac:dyDescent="0.2">
      <c r="A4849" s="1126" t="s">
        <v>5431</v>
      </c>
      <c r="B4849" s="1127">
        <v>395</v>
      </c>
      <c r="C4849" s="1128">
        <v>0</v>
      </c>
      <c r="D4849" s="1128">
        <v>185.82</v>
      </c>
      <c r="E4849" s="1126"/>
    </row>
    <row r="4850" spans="1:5" x14ac:dyDescent="0.2">
      <c r="A4850" s="1126" t="s">
        <v>5432</v>
      </c>
      <c r="B4850" s="1127">
        <v>168</v>
      </c>
      <c r="C4850" s="1128">
        <v>0</v>
      </c>
      <c r="D4850" s="1128">
        <v>72.89</v>
      </c>
      <c r="E4850" s="1126"/>
    </row>
    <row r="4851" spans="1:5" x14ac:dyDescent="0.2">
      <c r="A4851" s="1126" t="s">
        <v>5433</v>
      </c>
      <c r="B4851" s="1127">
        <v>175</v>
      </c>
      <c r="C4851" s="1128">
        <v>183.51</v>
      </c>
      <c r="D4851" s="1128">
        <v>303.8</v>
      </c>
      <c r="E4851" s="1126"/>
    </row>
    <row r="4852" spans="1:5" x14ac:dyDescent="0.2">
      <c r="A4852" s="1126" t="s">
        <v>5434</v>
      </c>
      <c r="B4852" s="1127">
        <v>165</v>
      </c>
      <c r="C4852" s="1128">
        <v>143.51</v>
      </c>
      <c r="D4852" s="1128">
        <v>256.92</v>
      </c>
      <c r="E4852" s="1126"/>
    </row>
    <row r="4853" spans="1:5" x14ac:dyDescent="0.2">
      <c r="A4853" s="1126" t="s">
        <v>5435</v>
      </c>
      <c r="B4853" s="1127">
        <v>376</v>
      </c>
      <c r="C4853" s="1128">
        <v>58.03</v>
      </c>
      <c r="D4853" s="1128">
        <v>316.48</v>
      </c>
      <c r="E4853" s="1126"/>
    </row>
    <row r="4854" spans="1:5" x14ac:dyDescent="0.2">
      <c r="A4854" s="1126" t="s">
        <v>5436</v>
      </c>
      <c r="B4854" s="1127">
        <v>355</v>
      </c>
      <c r="C4854" s="1128">
        <v>693</v>
      </c>
      <c r="D4854" s="1128">
        <v>937.01</v>
      </c>
      <c r="E4854" s="1126"/>
    </row>
    <row r="4855" spans="1:5" x14ac:dyDescent="0.2">
      <c r="A4855" s="1126" t="s">
        <v>5437</v>
      </c>
      <c r="B4855" s="1127">
        <v>181</v>
      </c>
      <c r="C4855" s="1128">
        <v>15.3</v>
      </c>
      <c r="D4855" s="1128">
        <v>139.72</v>
      </c>
      <c r="E4855" s="1126"/>
    </row>
    <row r="4856" spans="1:5" x14ac:dyDescent="0.2">
      <c r="A4856" s="1126" t="s">
        <v>5438</v>
      </c>
      <c r="B4856" s="1127">
        <v>461</v>
      </c>
      <c r="C4856" s="1128">
        <v>0</v>
      </c>
      <c r="D4856" s="1128">
        <v>70.760000000000005</v>
      </c>
      <c r="E4856" s="1126"/>
    </row>
    <row r="4857" spans="1:5" x14ac:dyDescent="0.2">
      <c r="A4857" s="1126" t="s">
        <v>5439</v>
      </c>
      <c r="B4857" s="1127">
        <v>120</v>
      </c>
      <c r="C4857" s="1128">
        <v>368.04</v>
      </c>
      <c r="D4857" s="1128">
        <v>450.52</v>
      </c>
      <c r="E4857" s="1126"/>
    </row>
    <row r="4858" spans="1:5" x14ac:dyDescent="0.2">
      <c r="A4858" s="1126" t="s">
        <v>5440</v>
      </c>
      <c r="B4858" s="1127">
        <v>289</v>
      </c>
      <c r="C4858" s="1128">
        <v>0</v>
      </c>
      <c r="D4858" s="1128">
        <v>131.22999999999999</v>
      </c>
      <c r="E4858" s="1126"/>
    </row>
    <row r="4859" spans="1:5" x14ac:dyDescent="0.2">
      <c r="A4859" s="1126" t="s">
        <v>5441</v>
      </c>
      <c r="B4859" s="1127">
        <v>176</v>
      </c>
      <c r="C4859" s="1128">
        <v>208.61</v>
      </c>
      <c r="D4859" s="1128">
        <v>329.58</v>
      </c>
      <c r="E4859" s="1126"/>
    </row>
    <row r="4860" spans="1:5" x14ac:dyDescent="0.2">
      <c r="A4860" s="1126" t="s">
        <v>5442</v>
      </c>
      <c r="B4860" s="1127">
        <v>206</v>
      </c>
      <c r="C4860" s="1128">
        <v>0</v>
      </c>
      <c r="D4860" s="1128">
        <v>114.15</v>
      </c>
      <c r="E4860" s="1126"/>
    </row>
    <row r="4861" spans="1:5" x14ac:dyDescent="0.2">
      <c r="A4861" s="1126" t="s">
        <v>5443</v>
      </c>
      <c r="B4861" s="1127">
        <v>268</v>
      </c>
      <c r="C4861" s="1128">
        <v>387.87</v>
      </c>
      <c r="D4861" s="1128">
        <v>572.08000000000004</v>
      </c>
      <c r="E4861" s="1126"/>
    </row>
    <row r="4862" spans="1:5" x14ac:dyDescent="0.2">
      <c r="A4862" s="1126" t="s">
        <v>5444</v>
      </c>
      <c r="B4862" s="1127">
        <v>204</v>
      </c>
      <c r="C4862" s="1128">
        <v>0</v>
      </c>
      <c r="D4862" s="1128">
        <v>17.62</v>
      </c>
      <c r="E4862" s="1126"/>
    </row>
    <row r="4863" spans="1:5" x14ac:dyDescent="0.2">
      <c r="A4863" s="1126" t="s">
        <v>5445</v>
      </c>
      <c r="B4863" s="1127">
        <v>171</v>
      </c>
      <c r="C4863" s="1128">
        <v>38.31</v>
      </c>
      <c r="D4863" s="1128">
        <v>155.85</v>
      </c>
      <c r="E4863" s="1126"/>
    </row>
    <row r="4864" spans="1:5" x14ac:dyDescent="0.2">
      <c r="A4864" s="1126" t="s">
        <v>5446</v>
      </c>
      <c r="B4864" s="1127">
        <v>233</v>
      </c>
      <c r="C4864" s="1128">
        <v>42.91</v>
      </c>
      <c r="D4864" s="1128">
        <v>203.07</v>
      </c>
      <c r="E4864" s="1126"/>
    </row>
    <row r="4865" spans="1:5" x14ac:dyDescent="0.2">
      <c r="A4865" s="1126" t="s">
        <v>5447</v>
      </c>
      <c r="B4865" s="1127">
        <v>429</v>
      </c>
      <c r="C4865" s="1128">
        <v>0</v>
      </c>
      <c r="D4865" s="1128">
        <v>171.63</v>
      </c>
      <c r="E4865" s="1126"/>
    </row>
    <row r="4866" spans="1:5" x14ac:dyDescent="0.2">
      <c r="A4866" s="1126" t="s">
        <v>5448</v>
      </c>
      <c r="B4866" s="1127">
        <v>232</v>
      </c>
      <c r="C4866" s="1128">
        <v>599.08000000000004</v>
      </c>
      <c r="D4866" s="1128">
        <v>758.55</v>
      </c>
      <c r="E4866" s="1126"/>
    </row>
    <row r="4867" spans="1:5" x14ac:dyDescent="0.2">
      <c r="A4867" s="1126" t="s">
        <v>5449</v>
      </c>
      <c r="B4867" s="1127">
        <v>207</v>
      </c>
      <c r="C4867" s="1128">
        <v>0</v>
      </c>
      <c r="D4867" s="1128">
        <v>12.12</v>
      </c>
      <c r="E4867" s="1126"/>
    </row>
    <row r="4868" spans="1:5" x14ac:dyDescent="0.2">
      <c r="A4868" s="1126" t="s">
        <v>5450</v>
      </c>
      <c r="B4868" s="1127">
        <v>80</v>
      </c>
      <c r="C4868" s="1128">
        <v>0</v>
      </c>
      <c r="D4868" s="1128">
        <v>50.31</v>
      </c>
      <c r="E4868" s="1126"/>
    </row>
    <row r="4869" spans="1:5" x14ac:dyDescent="0.2">
      <c r="A4869" s="1126" t="s">
        <v>5451</v>
      </c>
      <c r="B4869" s="1127">
        <v>990</v>
      </c>
      <c r="C4869" s="1128">
        <v>0</v>
      </c>
      <c r="D4869" s="1128">
        <v>447.33</v>
      </c>
      <c r="E4869" s="1126"/>
    </row>
    <row r="4870" spans="1:5" x14ac:dyDescent="0.2">
      <c r="A4870" s="1126" t="s">
        <v>5452</v>
      </c>
      <c r="B4870" s="1127">
        <v>183</v>
      </c>
      <c r="C4870" s="1128">
        <v>0</v>
      </c>
      <c r="D4870" s="1128">
        <v>35.380000000000003</v>
      </c>
      <c r="E4870" s="1126"/>
    </row>
    <row r="4871" spans="1:5" x14ac:dyDescent="0.2">
      <c r="A4871" s="1126" t="s">
        <v>5453</v>
      </c>
      <c r="B4871" s="1127">
        <v>221</v>
      </c>
      <c r="C4871" s="1128">
        <v>0</v>
      </c>
      <c r="D4871" s="1128">
        <v>108.71</v>
      </c>
      <c r="E4871" s="1126"/>
    </row>
    <row r="4872" spans="1:5" x14ac:dyDescent="0.2">
      <c r="A4872" s="1126" t="s">
        <v>5454</v>
      </c>
      <c r="B4872" s="1127">
        <v>200</v>
      </c>
      <c r="C4872" s="1128">
        <v>143.22</v>
      </c>
      <c r="D4872" s="1128">
        <v>280.7</v>
      </c>
      <c r="E4872" s="1126"/>
    </row>
    <row r="4873" spans="1:5" x14ac:dyDescent="0.2">
      <c r="A4873" s="1126" t="s">
        <v>5455</v>
      </c>
      <c r="B4873" s="1127">
        <v>199</v>
      </c>
      <c r="C4873" s="1128">
        <v>0</v>
      </c>
      <c r="D4873" s="1128">
        <v>25.59</v>
      </c>
      <c r="E4873" s="1126"/>
    </row>
    <row r="4874" spans="1:5" x14ac:dyDescent="0.2">
      <c r="A4874" s="1126" t="s">
        <v>5456</v>
      </c>
      <c r="B4874" s="1127">
        <v>177</v>
      </c>
      <c r="C4874" s="1128">
        <v>356.11</v>
      </c>
      <c r="D4874" s="1128">
        <v>477.78</v>
      </c>
      <c r="E4874" s="1126"/>
    </row>
    <row r="4875" spans="1:5" x14ac:dyDescent="0.2">
      <c r="A4875" s="1126" t="s">
        <v>5457</v>
      </c>
      <c r="B4875" s="1127">
        <v>207</v>
      </c>
      <c r="C4875" s="1128">
        <v>23.34</v>
      </c>
      <c r="D4875" s="1128">
        <v>165.62</v>
      </c>
      <c r="E4875" s="1126"/>
    </row>
    <row r="4876" spans="1:5" x14ac:dyDescent="0.2">
      <c r="A4876" s="1126" t="s">
        <v>5458</v>
      </c>
      <c r="B4876" s="1127">
        <v>155</v>
      </c>
      <c r="C4876" s="1128">
        <v>635.57000000000005</v>
      </c>
      <c r="D4876" s="1128">
        <v>742.11</v>
      </c>
      <c r="E4876" s="1126"/>
    </row>
    <row r="4877" spans="1:5" x14ac:dyDescent="0.2">
      <c r="A4877" s="1126" t="s">
        <v>5459</v>
      </c>
      <c r="B4877" s="1127">
        <v>173</v>
      </c>
      <c r="C4877" s="1128">
        <v>0</v>
      </c>
      <c r="D4877" s="1128">
        <v>16.14</v>
      </c>
      <c r="E4877" s="1126"/>
    </row>
    <row r="4878" spans="1:5" x14ac:dyDescent="0.2">
      <c r="A4878" s="1126" t="s">
        <v>5460</v>
      </c>
      <c r="B4878" s="1127">
        <v>138</v>
      </c>
      <c r="C4878" s="1128">
        <v>465.89</v>
      </c>
      <c r="D4878" s="1128">
        <v>560.75</v>
      </c>
      <c r="E4878" s="1126"/>
    </row>
    <row r="4879" spans="1:5" x14ac:dyDescent="0.2">
      <c r="A4879" s="1126" t="s">
        <v>5461</v>
      </c>
      <c r="B4879" s="1127">
        <v>425</v>
      </c>
      <c r="C4879" s="1128">
        <v>0</v>
      </c>
      <c r="D4879" s="1128">
        <v>190.49</v>
      </c>
      <c r="E4879" s="1126"/>
    </row>
    <row r="4880" spans="1:5" x14ac:dyDescent="0.2">
      <c r="A4880" s="1126" t="s">
        <v>5462</v>
      </c>
      <c r="B4880" s="1127">
        <v>223</v>
      </c>
      <c r="C4880" s="1128">
        <v>0</v>
      </c>
      <c r="D4880" s="1128">
        <v>42.69</v>
      </c>
      <c r="E4880" s="1126"/>
    </row>
    <row r="4881" spans="1:5" x14ac:dyDescent="0.2">
      <c r="A4881" s="1126" t="s">
        <v>5463</v>
      </c>
      <c r="B4881" s="1127">
        <v>142</v>
      </c>
      <c r="C4881" s="1128">
        <v>373.8</v>
      </c>
      <c r="D4881" s="1128">
        <v>471.4</v>
      </c>
      <c r="E4881" s="1126"/>
    </row>
    <row r="4882" spans="1:5" x14ac:dyDescent="0.2">
      <c r="A4882" s="1126" t="s">
        <v>5464</v>
      </c>
      <c r="B4882" s="1127">
        <v>177</v>
      </c>
      <c r="C4882" s="1128">
        <v>0</v>
      </c>
      <c r="D4882" s="1128">
        <v>82.14</v>
      </c>
      <c r="E4882" s="1126"/>
    </row>
    <row r="4883" spans="1:5" x14ac:dyDescent="0.2">
      <c r="A4883" s="1126" t="s">
        <v>5465</v>
      </c>
      <c r="B4883" s="1127">
        <v>229</v>
      </c>
      <c r="C4883" s="1128">
        <v>491.92</v>
      </c>
      <c r="D4883" s="1128">
        <v>649.32000000000005</v>
      </c>
      <c r="E4883" s="1126"/>
    </row>
    <row r="4884" spans="1:5" x14ac:dyDescent="0.2">
      <c r="A4884" s="1126" t="s">
        <v>5466</v>
      </c>
      <c r="B4884" s="1127">
        <v>157</v>
      </c>
      <c r="C4884" s="1128">
        <v>178.82</v>
      </c>
      <c r="D4884" s="1128">
        <v>286.74</v>
      </c>
      <c r="E4884" s="1126"/>
    </row>
    <row r="4885" spans="1:5" x14ac:dyDescent="0.2">
      <c r="A4885" s="1126" t="s">
        <v>5467</v>
      </c>
      <c r="B4885" s="1127">
        <v>256</v>
      </c>
      <c r="C4885" s="1128">
        <v>14.52</v>
      </c>
      <c r="D4885" s="1128">
        <v>190.48</v>
      </c>
      <c r="E4885" s="1126"/>
    </row>
    <row r="4886" spans="1:5" x14ac:dyDescent="0.2">
      <c r="A4886" s="1126" t="s">
        <v>5468</v>
      </c>
      <c r="B4886" s="1127">
        <v>618</v>
      </c>
      <c r="C4886" s="1128">
        <v>0</v>
      </c>
      <c r="D4886" s="1128">
        <v>72.14</v>
      </c>
      <c r="E4886" s="1126"/>
    </row>
    <row r="4887" spans="1:5" x14ac:dyDescent="0.2">
      <c r="A4887" s="1126" t="s">
        <v>5469</v>
      </c>
      <c r="B4887" s="1127">
        <v>381</v>
      </c>
      <c r="C4887" s="1128">
        <v>0</v>
      </c>
      <c r="D4887" s="1128">
        <v>154.03</v>
      </c>
      <c r="E4887" s="1126"/>
    </row>
    <row r="4888" spans="1:5" x14ac:dyDescent="0.2">
      <c r="A4888" s="1126" t="s">
        <v>5470</v>
      </c>
      <c r="B4888" s="1127">
        <v>288</v>
      </c>
      <c r="C4888" s="1128">
        <v>138.06</v>
      </c>
      <c r="D4888" s="1128">
        <v>336.02</v>
      </c>
      <c r="E4888" s="1126"/>
    </row>
    <row r="4889" spans="1:5" x14ac:dyDescent="0.2">
      <c r="A4889" s="1126" t="s">
        <v>5471</v>
      </c>
      <c r="B4889" s="1127">
        <v>172</v>
      </c>
      <c r="C4889" s="1128">
        <v>211.25</v>
      </c>
      <c r="D4889" s="1128">
        <v>329.48</v>
      </c>
      <c r="E4889" s="1126"/>
    </row>
    <row r="4890" spans="1:5" x14ac:dyDescent="0.2">
      <c r="A4890" s="1126" t="s">
        <v>5472</v>
      </c>
      <c r="B4890" s="1127">
        <v>259</v>
      </c>
      <c r="C4890" s="1128">
        <v>0</v>
      </c>
      <c r="D4890" s="1128">
        <v>62.47</v>
      </c>
      <c r="E4890" s="1126"/>
    </row>
    <row r="4891" spans="1:5" x14ac:dyDescent="0.2">
      <c r="A4891" s="1126" t="s">
        <v>5473</v>
      </c>
      <c r="B4891" s="1127">
        <v>401</v>
      </c>
      <c r="C4891" s="1128">
        <v>11.21</v>
      </c>
      <c r="D4891" s="1128">
        <v>286.83999999999997</v>
      </c>
      <c r="E4891" s="1126"/>
    </row>
    <row r="4892" spans="1:5" x14ac:dyDescent="0.2">
      <c r="A4892" s="1126" t="s">
        <v>5474</v>
      </c>
      <c r="B4892" s="1127">
        <v>314</v>
      </c>
      <c r="C4892" s="1128">
        <v>276.98</v>
      </c>
      <c r="D4892" s="1128">
        <v>492.81</v>
      </c>
      <c r="E4892" s="1126"/>
    </row>
    <row r="4893" spans="1:5" x14ac:dyDescent="0.2">
      <c r="A4893" s="1126" t="s">
        <v>5475</v>
      </c>
      <c r="B4893" s="1127">
        <v>110</v>
      </c>
      <c r="C4893" s="1128">
        <v>0</v>
      </c>
      <c r="D4893" s="1128">
        <v>14.4</v>
      </c>
      <c r="E4893" s="1126"/>
    </row>
    <row r="4894" spans="1:5" x14ac:dyDescent="0.2">
      <c r="A4894" s="1126" t="s">
        <v>5476</v>
      </c>
      <c r="B4894" s="1127">
        <v>258</v>
      </c>
      <c r="C4894" s="1128">
        <v>191.83</v>
      </c>
      <c r="D4894" s="1128">
        <v>369.17</v>
      </c>
      <c r="E4894" s="1126"/>
    </row>
    <row r="4895" spans="1:5" x14ac:dyDescent="0.2">
      <c r="A4895" s="1126" t="s">
        <v>5477</v>
      </c>
      <c r="B4895" s="1127">
        <v>241</v>
      </c>
      <c r="C4895" s="1128">
        <v>146.16</v>
      </c>
      <c r="D4895" s="1128">
        <v>311.81</v>
      </c>
      <c r="E4895" s="1126"/>
    </row>
    <row r="4896" spans="1:5" x14ac:dyDescent="0.2">
      <c r="A4896" s="1126" t="s">
        <v>5478</v>
      </c>
      <c r="B4896" s="1127">
        <v>79</v>
      </c>
      <c r="C4896" s="1128">
        <v>0</v>
      </c>
      <c r="D4896" s="1128">
        <v>37.81</v>
      </c>
      <c r="E4896" s="1126"/>
    </row>
    <row r="4897" spans="1:5" x14ac:dyDescent="0.2">
      <c r="A4897" s="1126" t="s">
        <v>5479</v>
      </c>
      <c r="B4897" s="1127">
        <v>816</v>
      </c>
      <c r="C4897" s="1128">
        <v>0</v>
      </c>
      <c r="D4897" s="1128">
        <v>302.22000000000003</v>
      </c>
      <c r="E4897" s="1126"/>
    </row>
    <row r="4898" spans="1:5" x14ac:dyDescent="0.2">
      <c r="A4898" s="1126" t="s">
        <v>5480</v>
      </c>
      <c r="B4898" s="1127">
        <v>268</v>
      </c>
      <c r="C4898" s="1128">
        <v>0</v>
      </c>
      <c r="D4898" s="1128">
        <v>124.74</v>
      </c>
      <c r="E4898" s="1126"/>
    </row>
    <row r="4899" spans="1:5" x14ac:dyDescent="0.2">
      <c r="A4899" s="1126" t="s">
        <v>5481</v>
      </c>
      <c r="B4899" s="1127">
        <v>227</v>
      </c>
      <c r="C4899" s="1128">
        <v>33.75</v>
      </c>
      <c r="D4899" s="1128">
        <v>189.78</v>
      </c>
      <c r="E4899" s="1126"/>
    </row>
    <row r="4900" spans="1:5" x14ac:dyDescent="0.2">
      <c r="A4900" s="1126" t="s">
        <v>5482</v>
      </c>
      <c r="B4900" s="1127">
        <v>246</v>
      </c>
      <c r="C4900" s="1128">
        <v>0</v>
      </c>
      <c r="D4900" s="1128">
        <v>115.78</v>
      </c>
      <c r="E4900" s="1126"/>
    </row>
    <row r="4901" spans="1:5" x14ac:dyDescent="0.2">
      <c r="A4901" s="1126" t="s">
        <v>5483</v>
      </c>
      <c r="B4901" s="1127">
        <v>207</v>
      </c>
      <c r="C4901" s="1128">
        <v>95.02</v>
      </c>
      <c r="D4901" s="1128">
        <v>237.31</v>
      </c>
      <c r="E4901" s="1126"/>
    </row>
    <row r="4902" spans="1:5" x14ac:dyDescent="0.2">
      <c r="A4902" s="1126" t="s">
        <v>5484</v>
      </c>
      <c r="B4902" s="1127">
        <v>183</v>
      </c>
      <c r="C4902" s="1128">
        <v>59.84</v>
      </c>
      <c r="D4902" s="1128">
        <v>185.63</v>
      </c>
      <c r="E4902" s="1126"/>
    </row>
    <row r="4903" spans="1:5" x14ac:dyDescent="0.2">
      <c r="A4903" s="1126" t="s">
        <v>5485</v>
      </c>
      <c r="B4903" s="1127">
        <v>186</v>
      </c>
      <c r="C4903" s="1128">
        <v>646.05999999999995</v>
      </c>
      <c r="D4903" s="1128">
        <v>773.91</v>
      </c>
      <c r="E4903" s="1126"/>
    </row>
    <row r="4904" spans="1:5" x14ac:dyDescent="0.2">
      <c r="A4904" s="1126" t="s">
        <v>5486</v>
      </c>
      <c r="B4904" s="1127">
        <v>408</v>
      </c>
      <c r="C4904" s="1128">
        <v>103.73</v>
      </c>
      <c r="D4904" s="1128">
        <v>384.17</v>
      </c>
      <c r="E4904" s="1126"/>
    </row>
    <row r="4905" spans="1:5" x14ac:dyDescent="0.2">
      <c r="A4905" s="1126" t="s">
        <v>5487</v>
      </c>
      <c r="B4905" s="1127">
        <v>52</v>
      </c>
      <c r="C4905" s="1128">
        <v>0</v>
      </c>
      <c r="D4905" s="1128">
        <v>10.02</v>
      </c>
      <c r="E4905" s="1126"/>
    </row>
    <row r="4906" spans="1:5" x14ac:dyDescent="0.2">
      <c r="A4906" s="1126" t="s">
        <v>5488</v>
      </c>
      <c r="B4906" s="1127">
        <v>422</v>
      </c>
      <c r="C4906" s="1128">
        <v>0</v>
      </c>
      <c r="D4906" s="1128">
        <v>225.29</v>
      </c>
      <c r="E4906" s="1126"/>
    </row>
    <row r="4907" spans="1:5" x14ac:dyDescent="0.2">
      <c r="A4907" s="1126" t="s">
        <v>5489</v>
      </c>
      <c r="B4907" s="1127">
        <v>201</v>
      </c>
      <c r="C4907" s="1128">
        <v>274.57</v>
      </c>
      <c r="D4907" s="1128">
        <v>412.73</v>
      </c>
      <c r="E4907" s="1126"/>
    </row>
    <row r="4908" spans="1:5" x14ac:dyDescent="0.2">
      <c r="A4908" s="1126" t="s">
        <v>5490</v>
      </c>
      <c r="B4908" s="1127">
        <v>156</v>
      </c>
      <c r="C4908" s="1128">
        <v>368.23</v>
      </c>
      <c r="D4908" s="1128">
        <v>475.46</v>
      </c>
      <c r="E4908" s="1126"/>
    </row>
    <row r="4909" spans="1:5" x14ac:dyDescent="0.2">
      <c r="A4909" s="1126" t="s">
        <v>5491</v>
      </c>
      <c r="B4909" s="1127">
        <v>740</v>
      </c>
      <c r="C4909" s="1128">
        <v>156.07</v>
      </c>
      <c r="D4909" s="1128">
        <v>664.72</v>
      </c>
      <c r="E4909" s="1126"/>
    </row>
    <row r="4910" spans="1:5" x14ac:dyDescent="0.2">
      <c r="A4910" s="1126" t="s">
        <v>5492</v>
      </c>
      <c r="B4910" s="1127">
        <v>145</v>
      </c>
      <c r="C4910" s="1128">
        <v>443.26</v>
      </c>
      <c r="D4910" s="1128">
        <v>542.92999999999995</v>
      </c>
      <c r="E4910" s="1126"/>
    </row>
    <row r="4911" spans="1:5" x14ac:dyDescent="0.2">
      <c r="A4911" s="1126" t="s">
        <v>5493</v>
      </c>
      <c r="B4911" s="1127">
        <v>108</v>
      </c>
      <c r="C4911" s="1128">
        <v>473.35</v>
      </c>
      <c r="D4911" s="1128">
        <v>547.58000000000004</v>
      </c>
      <c r="E4911" s="1126"/>
    </row>
    <row r="4912" spans="1:5" x14ac:dyDescent="0.2">
      <c r="A4912" s="1126" t="s">
        <v>5494</v>
      </c>
      <c r="B4912" s="1127">
        <v>126</v>
      </c>
      <c r="C4912" s="1128">
        <v>237.23</v>
      </c>
      <c r="D4912" s="1128">
        <v>323.83</v>
      </c>
      <c r="E4912" s="1126"/>
    </row>
    <row r="4913" spans="1:5" x14ac:dyDescent="0.2">
      <c r="A4913" s="1126" t="s">
        <v>5495</v>
      </c>
      <c r="B4913" s="1127">
        <v>195</v>
      </c>
      <c r="C4913" s="1128">
        <v>431.6</v>
      </c>
      <c r="D4913" s="1128">
        <v>565.64</v>
      </c>
      <c r="E4913" s="1126"/>
    </row>
    <row r="4914" spans="1:5" x14ac:dyDescent="0.2">
      <c r="A4914" s="1126" t="s">
        <v>5496</v>
      </c>
      <c r="B4914" s="1127">
        <v>178</v>
      </c>
      <c r="C4914" s="1128">
        <v>244.11</v>
      </c>
      <c r="D4914" s="1128">
        <v>366.46</v>
      </c>
      <c r="E4914" s="1126"/>
    </row>
    <row r="4915" spans="1:5" x14ac:dyDescent="0.2">
      <c r="A4915" s="1126" t="s">
        <v>5497</v>
      </c>
      <c r="B4915" s="1127">
        <v>188</v>
      </c>
      <c r="C4915" s="1128">
        <v>458.21</v>
      </c>
      <c r="D4915" s="1128">
        <v>587.44000000000005</v>
      </c>
      <c r="E4915" s="1126"/>
    </row>
    <row r="4916" spans="1:5" x14ac:dyDescent="0.2">
      <c r="A4916" s="1126" t="s">
        <v>5498</v>
      </c>
      <c r="B4916" s="1127">
        <v>452</v>
      </c>
      <c r="C4916" s="1128">
        <v>0</v>
      </c>
      <c r="D4916" s="1128">
        <v>9.41</v>
      </c>
      <c r="E4916" s="1126"/>
    </row>
    <row r="4917" spans="1:5" x14ac:dyDescent="0.2">
      <c r="A4917" s="1126" t="s">
        <v>5499</v>
      </c>
      <c r="B4917" s="1127">
        <v>240</v>
      </c>
      <c r="C4917" s="1128">
        <v>0</v>
      </c>
      <c r="D4917" s="1128">
        <v>128.76</v>
      </c>
      <c r="E4917" s="1126"/>
    </row>
    <row r="4918" spans="1:5" x14ac:dyDescent="0.2">
      <c r="A4918" s="1126" t="s">
        <v>5500</v>
      </c>
      <c r="B4918" s="1127">
        <v>144</v>
      </c>
      <c r="C4918" s="1128">
        <v>314.82</v>
      </c>
      <c r="D4918" s="1128">
        <v>413.8</v>
      </c>
      <c r="E4918" s="1126"/>
    </row>
    <row r="4919" spans="1:5" x14ac:dyDescent="0.2">
      <c r="A4919" s="1126" t="s">
        <v>5501</v>
      </c>
      <c r="B4919" s="1127">
        <v>263</v>
      </c>
      <c r="C4919" s="1128">
        <v>679.34</v>
      </c>
      <c r="D4919" s="1128">
        <v>860.12</v>
      </c>
      <c r="E4919" s="1126"/>
    </row>
    <row r="4920" spans="1:5" x14ac:dyDescent="0.2">
      <c r="A4920" s="1126" t="s">
        <v>5502</v>
      </c>
      <c r="B4920" s="1127">
        <v>145</v>
      </c>
      <c r="C4920" s="1128">
        <v>172.82</v>
      </c>
      <c r="D4920" s="1128">
        <v>272.49</v>
      </c>
      <c r="E4920" s="1126"/>
    </row>
    <row r="4921" spans="1:5" x14ac:dyDescent="0.2">
      <c r="A4921" s="1126" t="s">
        <v>5503</v>
      </c>
      <c r="B4921" s="1127">
        <v>165</v>
      </c>
      <c r="C4921" s="1128">
        <v>623.29999999999995</v>
      </c>
      <c r="D4921" s="1128">
        <v>736.72</v>
      </c>
      <c r="E4921" s="1126"/>
    </row>
    <row r="4922" spans="1:5" x14ac:dyDescent="0.2">
      <c r="A4922" s="1126" t="s">
        <v>5504</v>
      </c>
      <c r="B4922" s="1127">
        <v>213</v>
      </c>
      <c r="C4922" s="1128">
        <v>154.61000000000001</v>
      </c>
      <c r="D4922" s="1128">
        <v>301.02</v>
      </c>
      <c r="E4922" s="1126"/>
    </row>
    <row r="4923" spans="1:5" x14ac:dyDescent="0.2">
      <c r="A4923" s="1126" t="s">
        <v>5505</v>
      </c>
      <c r="B4923" s="1127">
        <v>180</v>
      </c>
      <c r="C4923" s="1128">
        <v>283.52999999999997</v>
      </c>
      <c r="D4923" s="1128">
        <v>407.26</v>
      </c>
      <c r="E4923" s="1126"/>
    </row>
    <row r="4924" spans="1:5" x14ac:dyDescent="0.2">
      <c r="A4924" s="1126" t="s">
        <v>5506</v>
      </c>
      <c r="B4924" s="1127">
        <v>375</v>
      </c>
      <c r="C4924" s="1128">
        <v>350.62</v>
      </c>
      <c r="D4924" s="1128">
        <v>608.38</v>
      </c>
      <c r="E4924" s="1126"/>
    </row>
    <row r="4925" spans="1:5" x14ac:dyDescent="0.2">
      <c r="A4925" s="1126" t="s">
        <v>5507</v>
      </c>
      <c r="B4925" s="1127">
        <v>393</v>
      </c>
      <c r="C4925" s="1128">
        <v>236.13</v>
      </c>
      <c r="D4925" s="1128">
        <v>506.26</v>
      </c>
      <c r="E4925" s="1126"/>
    </row>
    <row r="4926" spans="1:5" x14ac:dyDescent="0.2">
      <c r="A4926" s="1126" t="s">
        <v>5508</v>
      </c>
      <c r="B4926" s="1127">
        <v>202</v>
      </c>
      <c r="C4926" s="1128">
        <v>421.39</v>
      </c>
      <c r="D4926" s="1128">
        <v>560.23</v>
      </c>
      <c r="E4926" s="1126"/>
    </row>
    <row r="4927" spans="1:5" x14ac:dyDescent="0.2">
      <c r="A4927" s="1126" t="s">
        <v>5509</v>
      </c>
      <c r="B4927" s="1127">
        <v>288</v>
      </c>
      <c r="C4927" s="1128">
        <v>276.42</v>
      </c>
      <c r="D4927" s="1128">
        <v>474.38</v>
      </c>
      <c r="E4927" s="1126"/>
    </row>
    <row r="4928" spans="1:5" x14ac:dyDescent="0.2">
      <c r="A4928" s="1126" t="s">
        <v>5510</v>
      </c>
      <c r="B4928" s="1127">
        <v>170</v>
      </c>
      <c r="C4928" s="1128">
        <v>400.4</v>
      </c>
      <c r="D4928" s="1128">
        <v>517.26</v>
      </c>
      <c r="E4928" s="1126"/>
    </row>
    <row r="4929" spans="1:5" x14ac:dyDescent="0.2">
      <c r="A4929" s="1126" t="s">
        <v>5511</v>
      </c>
      <c r="B4929" s="1127">
        <v>386</v>
      </c>
      <c r="C4929" s="1128">
        <v>0</v>
      </c>
      <c r="D4929" s="1128">
        <v>152.36000000000001</v>
      </c>
      <c r="E4929" s="1126"/>
    </row>
    <row r="4930" spans="1:5" x14ac:dyDescent="0.2">
      <c r="A4930" s="1126" t="s">
        <v>5512</v>
      </c>
      <c r="B4930" s="1127">
        <v>185</v>
      </c>
      <c r="C4930" s="1128">
        <v>41.82</v>
      </c>
      <c r="D4930" s="1128">
        <v>168.98</v>
      </c>
      <c r="E4930" s="1126"/>
    </row>
    <row r="4931" spans="1:5" x14ac:dyDescent="0.2">
      <c r="A4931" s="1126" t="s">
        <v>5513</v>
      </c>
      <c r="B4931" s="1127">
        <v>362</v>
      </c>
      <c r="C4931" s="1128">
        <v>0</v>
      </c>
      <c r="D4931" s="1128">
        <v>150.54</v>
      </c>
      <c r="E4931" s="1126"/>
    </row>
    <row r="4932" spans="1:5" x14ac:dyDescent="0.2">
      <c r="A4932" s="1126" t="s">
        <v>5514</v>
      </c>
      <c r="B4932" s="1127">
        <v>119</v>
      </c>
      <c r="C4932" s="1128">
        <v>240.12</v>
      </c>
      <c r="D4932" s="1128">
        <v>321.91000000000003</v>
      </c>
      <c r="E4932" s="1126"/>
    </row>
    <row r="4933" spans="1:5" x14ac:dyDescent="0.2">
      <c r="A4933" s="1126" t="s">
        <v>5515</v>
      </c>
      <c r="B4933" s="1127">
        <v>128</v>
      </c>
      <c r="C4933" s="1128">
        <v>241.55</v>
      </c>
      <c r="D4933" s="1128">
        <v>329.53</v>
      </c>
      <c r="E4933" s="1126"/>
    </row>
    <row r="4934" spans="1:5" x14ac:dyDescent="0.2">
      <c r="A4934" s="1126" t="s">
        <v>5516</v>
      </c>
      <c r="B4934" s="1127">
        <v>278</v>
      </c>
      <c r="C4934" s="1128">
        <v>0</v>
      </c>
      <c r="D4934" s="1128">
        <v>19.2</v>
      </c>
      <c r="E4934" s="1126"/>
    </row>
    <row r="4935" spans="1:5" x14ac:dyDescent="0.2">
      <c r="A4935" s="1126" t="s">
        <v>5517</v>
      </c>
      <c r="B4935" s="1127">
        <v>312</v>
      </c>
      <c r="C4935" s="1128">
        <v>0</v>
      </c>
      <c r="D4935" s="1128">
        <v>51.97</v>
      </c>
      <c r="E4935" s="1126"/>
    </row>
    <row r="4936" spans="1:5" x14ac:dyDescent="0.2">
      <c r="A4936" s="1126" t="s">
        <v>5518</v>
      </c>
      <c r="B4936" s="1127">
        <v>150</v>
      </c>
      <c r="C4936" s="1128">
        <v>496.22</v>
      </c>
      <c r="D4936" s="1128">
        <v>599.32000000000005</v>
      </c>
      <c r="E4936" s="1126"/>
    </row>
    <row r="4937" spans="1:5" x14ac:dyDescent="0.2">
      <c r="A4937" s="1126" t="s">
        <v>5519</v>
      </c>
      <c r="B4937" s="1127">
        <v>401</v>
      </c>
      <c r="C4937" s="1128">
        <v>0</v>
      </c>
      <c r="D4937" s="1128">
        <v>216.01</v>
      </c>
      <c r="E4937" s="1126"/>
    </row>
    <row r="4938" spans="1:5" x14ac:dyDescent="0.2">
      <c r="A4938" s="1126" t="s">
        <v>5520</v>
      </c>
      <c r="B4938" s="1127">
        <v>263</v>
      </c>
      <c r="C4938" s="1128">
        <v>246.87</v>
      </c>
      <c r="D4938" s="1128">
        <v>427.65</v>
      </c>
      <c r="E4938" s="1126"/>
    </row>
    <row r="4939" spans="1:5" x14ac:dyDescent="0.2">
      <c r="A4939" s="1126" t="s">
        <v>5521</v>
      </c>
      <c r="B4939" s="1127">
        <v>533</v>
      </c>
      <c r="C4939" s="1128">
        <v>0</v>
      </c>
      <c r="D4939" s="1128">
        <v>43.04</v>
      </c>
      <c r="E4939" s="1126"/>
    </row>
    <row r="4940" spans="1:5" x14ac:dyDescent="0.2">
      <c r="A4940" s="1126" t="s">
        <v>5522</v>
      </c>
      <c r="B4940" s="1127">
        <v>211</v>
      </c>
      <c r="C4940" s="1128">
        <v>56.87</v>
      </c>
      <c r="D4940" s="1128">
        <v>201.91</v>
      </c>
      <c r="E4940" s="1126"/>
    </row>
    <row r="4941" spans="1:5" x14ac:dyDescent="0.2">
      <c r="A4941" s="1126" t="s">
        <v>5523</v>
      </c>
      <c r="B4941" s="1127">
        <v>226</v>
      </c>
      <c r="C4941" s="1128">
        <v>573.20000000000005</v>
      </c>
      <c r="D4941" s="1128">
        <v>728.55</v>
      </c>
      <c r="E4941" s="1126"/>
    </row>
    <row r="4942" spans="1:5" x14ac:dyDescent="0.2">
      <c r="A4942" s="1126" t="s">
        <v>5524</v>
      </c>
      <c r="B4942" s="1127">
        <v>228</v>
      </c>
      <c r="C4942" s="1128">
        <v>9.0299999999999994</v>
      </c>
      <c r="D4942" s="1128">
        <v>165.75</v>
      </c>
      <c r="E4942" s="1126"/>
    </row>
    <row r="4943" spans="1:5" x14ac:dyDescent="0.2">
      <c r="A4943" s="1126" t="s">
        <v>5525</v>
      </c>
      <c r="B4943" s="1127">
        <v>116</v>
      </c>
      <c r="C4943" s="1128">
        <v>0</v>
      </c>
      <c r="D4943" s="1128">
        <v>8.9600000000000009</v>
      </c>
      <c r="E4943" s="1126"/>
    </row>
    <row r="4944" spans="1:5" x14ac:dyDescent="0.2">
      <c r="A4944" s="1126" t="s">
        <v>5526</v>
      </c>
      <c r="B4944" s="1127">
        <v>425</v>
      </c>
      <c r="C4944" s="1128">
        <v>0</v>
      </c>
      <c r="D4944" s="1128">
        <v>61.13</v>
      </c>
      <c r="E4944" s="1126"/>
    </row>
    <row r="4945" spans="1:5" x14ac:dyDescent="0.2">
      <c r="A4945" s="1126" t="s">
        <v>5527</v>
      </c>
      <c r="B4945" s="1127">
        <v>227</v>
      </c>
      <c r="C4945" s="1128">
        <v>320.64999999999998</v>
      </c>
      <c r="D4945" s="1128">
        <v>476.68</v>
      </c>
      <c r="E4945" s="1126"/>
    </row>
    <row r="4946" spans="1:5" x14ac:dyDescent="0.2">
      <c r="A4946" s="1126" t="s">
        <v>5528</v>
      </c>
      <c r="B4946" s="1127">
        <v>414</v>
      </c>
      <c r="C4946" s="1128">
        <v>0</v>
      </c>
      <c r="D4946" s="1128">
        <v>230.1</v>
      </c>
      <c r="E4946" s="1126"/>
    </row>
    <row r="4947" spans="1:5" x14ac:dyDescent="0.2">
      <c r="A4947" s="1126" t="s">
        <v>5529</v>
      </c>
      <c r="B4947" s="1127">
        <v>298</v>
      </c>
      <c r="C4947" s="1128">
        <v>355.95</v>
      </c>
      <c r="D4947" s="1128">
        <v>560.78</v>
      </c>
      <c r="E4947" s="1126"/>
    </row>
    <row r="4948" spans="1:5" x14ac:dyDescent="0.2">
      <c r="A4948" s="1126" t="s">
        <v>5530</v>
      </c>
      <c r="B4948" s="1127">
        <v>163</v>
      </c>
      <c r="C4948" s="1128">
        <v>48.32</v>
      </c>
      <c r="D4948" s="1128">
        <v>160.36000000000001</v>
      </c>
      <c r="E4948" s="1126"/>
    </row>
    <row r="4949" spans="1:5" x14ac:dyDescent="0.2">
      <c r="A4949" s="1126" t="s">
        <v>5531</v>
      </c>
      <c r="B4949" s="1127">
        <v>322</v>
      </c>
      <c r="C4949" s="1128">
        <v>0</v>
      </c>
      <c r="D4949" s="1128">
        <v>98.01</v>
      </c>
      <c r="E4949" s="1126"/>
    </row>
    <row r="4950" spans="1:5" x14ac:dyDescent="0.2">
      <c r="A4950" s="1126" t="s">
        <v>5532</v>
      </c>
      <c r="B4950" s="1127">
        <v>302</v>
      </c>
      <c r="C4950" s="1128">
        <v>0</v>
      </c>
      <c r="D4950" s="1128">
        <v>183.17</v>
      </c>
      <c r="E4950" s="1126"/>
    </row>
    <row r="4951" spans="1:5" x14ac:dyDescent="0.2">
      <c r="A4951" s="1126" t="s">
        <v>5533</v>
      </c>
      <c r="B4951" s="1127">
        <v>276</v>
      </c>
      <c r="C4951" s="1128">
        <v>69.459999999999994</v>
      </c>
      <c r="D4951" s="1128">
        <v>259.17</v>
      </c>
      <c r="E4951" s="1126"/>
    </row>
    <row r="4952" spans="1:5" x14ac:dyDescent="0.2">
      <c r="A4952" s="1126" t="s">
        <v>5534</v>
      </c>
      <c r="B4952" s="1127">
        <v>91</v>
      </c>
      <c r="C4952" s="1128">
        <v>100.36</v>
      </c>
      <c r="D4952" s="1128">
        <v>162.91</v>
      </c>
      <c r="E4952" s="1126"/>
    </row>
    <row r="4953" spans="1:5" x14ac:dyDescent="0.2">
      <c r="A4953" s="1126" t="s">
        <v>5535</v>
      </c>
      <c r="B4953" s="1127">
        <v>272</v>
      </c>
      <c r="C4953" s="1128">
        <v>0</v>
      </c>
      <c r="D4953" s="1128">
        <v>129.88</v>
      </c>
      <c r="E4953" s="1126"/>
    </row>
    <row r="4954" spans="1:5" x14ac:dyDescent="0.2">
      <c r="A4954" s="1126" t="s">
        <v>5536</v>
      </c>
      <c r="B4954" s="1127">
        <v>382</v>
      </c>
      <c r="C4954" s="1128">
        <v>0</v>
      </c>
      <c r="D4954" s="1128">
        <v>107.77</v>
      </c>
      <c r="E4954" s="1126"/>
    </row>
    <row r="4955" spans="1:5" x14ac:dyDescent="0.2">
      <c r="A4955" s="1126" t="s">
        <v>5537</v>
      </c>
      <c r="B4955" s="1127">
        <v>166</v>
      </c>
      <c r="C4955" s="1128">
        <v>260.39999999999998</v>
      </c>
      <c r="D4955" s="1128">
        <v>374.5</v>
      </c>
      <c r="E4955" s="1126"/>
    </row>
    <row r="4956" spans="1:5" x14ac:dyDescent="0.2">
      <c r="A4956" s="1126" t="s">
        <v>5538</v>
      </c>
      <c r="B4956" s="1127">
        <v>181</v>
      </c>
      <c r="C4956" s="1128">
        <v>645.42999999999995</v>
      </c>
      <c r="D4956" s="1128">
        <v>769.85</v>
      </c>
      <c r="E4956" s="1126"/>
    </row>
    <row r="4957" spans="1:5" x14ac:dyDescent="0.2">
      <c r="A4957" s="1126" t="s">
        <v>5539</v>
      </c>
      <c r="B4957" s="1127">
        <v>877</v>
      </c>
      <c r="C4957" s="1128">
        <v>197.17</v>
      </c>
      <c r="D4957" s="1128">
        <v>799.99</v>
      </c>
      <c r="E4957" s="1126"/>
    </row>
    <row r="4958" spans="1:5" x14ac:dyDescent="0.2">
      <c r="A4958" s="1126" t="s">
        <v>5540</v>
      </c>
      <c r="B4958" s="1127">
        <v>360</v>
      </c>
      <c r="C4958" s="1128">
        <v>476.56</v>
      </c>
      <c r="D4958" s="1128">
        <v>724.01</v>
      </c>
      <c r="E4958" s="1126"/>
    </row>
    <row r="4959" spans="1:5" x14ac:dyDescent="0.2">
      <c r="A4959" s="1126" t="s">
        <v>5541</v>
      </c>
      <c r="B4959" s="1127">
        <v>535</v>
      </c>
      <c r="C4959" s="1128">
        <v>827.5</v>
      </c>
      <c r="D4959" s="1128">
        <v>1195.24</v>
      </c>
      <c r="E4959" s="1126"/>
    </row>
    <row r="4960" spans="1:5" x14ac:dyDescent="0.2">
      <c r="A4960" s="1126" t="s">
        <v>5542</v>
      </c>
      <c r="B4960" s="1127">
        <v>450</v>
      </c>
      <c r="C4960" s="1128">
        <v>147.43</v>
      </c>
      <c r="D4960" s="1128">
        <v>456.75</v>
      </c>
      <c r="E4960" s="1126"/>
    </row>
    <row r="4961" spans="1:5" x14ac:dyDescent="0.2">
      <c r="A4961" s="1126" t="s">
        <v>5543</v>
      </c>
      <c r="B4961" s="1127">
        <v>163</v>
      </c>
      <c r="C4961" s="1128">
        <v>599.21</v>
      </c>
      <c r="D4961" s="1128">
        <v>711.25</v>
      </c>
      <c r="E4961" s="1126"/>
    </row>
    <row r="4962" spans="1:5" x14ac:dyDescent="0.2">
      <c r="A4962" s="1126" t="s">
        <v>5544</v>
      </c>
      <c r="B4962" s="1127">
        <v>456</v>
      </c>
      <c r="C4962" s="1128">
        <v>0</v>
      </c>
      <c r="D4962" s="1128">
        <v>155.25</v>
      </c>
      <c r="E4962" s="1126"/>
    </row>
    <row r="4963" spans="1:5" x14ac:dyDescent="0.2">
      <c r="A4963" s="1126" t="s">
        <v>5545</v>
      </c>
      <c r="B4963" s="1127">
        <v>387</v>
      </c>
      <c r="C4963" s="1128">
        <v>0</v>
      </c>
      <c r="D4963" s="1128">
        <v>135.69</v>
      </c>
      <c r="E4963" s="1126"/>
    </row>
    <row r="4964" spans="1:5" x14ac:dyDescent="0.2">
      <c r="A4964" s="1126" t="s">
        <v>5546</v>
      </c>
      <c r="B4964" s="1127">
        <v>226</v>
      </c>
      <c r="C4964" s="1128">
        <v>359.81</v>
      </c>
      <c r="D4964" s="1128">
        <v>515.15</v>
      </c>
      <c r="E4964" s="1126"/>
    </row>
    <row r="4965" spans="1:5" x14ac:dyDescent="0.2">
      <c r="A4965" s="1126" t="s">
        <v>5547</v>
      </c>
      <c r="B4965" s="1127">
        <v>442</v>
      </c>
      <c r="C4965" s="1128">
        <v>0</v>
      </c>
      <c r="D4965" s="1128">
        <v>227.09</v>
      </c>
      <c r="E4965" s="1126"/>
    </row>
    <row r="4966" spans="1:5" x14ac:dyDescent="0.2">
      <c r="A4966" s="1126" t="s">
        <v>5548</v>
      </c>
      <c r="B4966" s="1127">
        <v>75</v>
      </c>
      <c r="C4966" s="1128">
        <v>293.88</v>
      </c>
      <c r="D4966" s="1128">
        <v>345.43</v>
      </c>
      <c r="E4966" s="1126"/>
    </row>
    <row r="4967" spans="1:5" x14ac:dyDescent="0.2">
      <c r="A4967" s="1126" t="s">
        <v>5549</v>
      </c>
      <c r="B4967" s="1127">
        <v>209</v>
      </c>
      <c r="C4967" s="1128">
        <v>0</v>
      </c>
      <c r="D4967" s="1128">
        <v>118.6</v>
      </c>
      <c r="E4967" s="1126"/>
    </row>
    <row r="4968" spans="1:5" x14ac:dyDescent="0.2">
      <c r="A4968" s="1126" t="s">
        <v>5550</v>
      </c>
      <c r="B4968" s="1127">
        <v>516</v>
      </c>
      <c r="C4968" s="1128">
        <v>334.79</v>
      </c>
      <c r="D4968" s="1128">
        <v>689.47</v>
      </c>
      <c r="E4968" s="1126"/>
    </row>
    <row r="4969" spans="1:5" x14ac:dyDescent="0.2">
      <c r="A4969" s="1126" t="s">
        <v>5551</v>
      </c>
      <c r="B4969" s="1127">
        <v>646</v>
      </c>
      <c r="C4969" s="1128">
        <v>0</v>
      </c>
      <c r="D4969" s="1128">
        <v>140.08000000000001</v>
      </c>
      <c r="E4969" s="1126"/>
    </row>
    <row r="4970" spans="1:5" x14ac:dyDescent="0.2">
      <c r="A4970" s="1126" t="s">
        <v>5552</v>
      </c>
      <c r="B4970" s="1127">
        <v>276</v>
      </c>
      <c r="C4970" s="1128">
        <v>124.6</v>
      </c>
      <c r="D4970" s="1128">
        <v>314.32</v>
      </c>
      <c r="E4970" s="1126"/>
    </row>
    <row r="4971" spans="1:5" x14ac:dyDescent="0.2">
      <c r="A4971" s="1126" t="s">
        <v>5553</v>
      </c>
      <c r="B4971" s="1127">
        <v>249</v>
      </c>
      <c r="C4971" s="1128">
        <v>646.26</v>
      </c>
      <c r="D4971" s="1128">
        <v>817.41</v>
      </c>
      <c r="E4971" s="1126"/>
    </row>
    <row r="4972" spans="1:5" x14ac:dyDescent="0.2">
      <c r="A4972" s="1126" t="s">
        <v>5554</v>
      </c>
      <c r="B4972" s="1127">
        <v>220</v>
      </c>
      <c r="C4972" s="1128">
        <v>488.46</v>
      </c>
      <c r="D4972" s="1128">
        <v>639.67999999999995</v>
      </c>
      <c r="E4972" s="1126"/>
    </row>
    <row r="4973" spans="1:5" x14ac:dyDescent="0.2">
      <c r="A4973" s="1126" t="s">
        <v>5555</v>
      </c>
      <c r="B4973" s="1127">
        <v>125</v>
      </c>
      <c r="C4973" s="1128">
        <v>118.46</v>
      </c>
      <c r="D4973" s="1128">
        <v>204.38</v>
      </c>
      <c r="E4973" s="1126"/>
    </row>
    <row r="4974" spans="1:5" x14ac:dyDescent="0.2">
      <c r="A4974" s="1126" t="s">
        <v>5556</v>
      </c>
      <c r="B4974" s="1127">
        <v>191</v>
      </c>
      <c r="C4974" s="1128">
        <v>50.03</v>
      </c>
      <c r="D4974" s="1128">
        <v>181.32</v>
      </c>
      <c r="E4974" s="1126"/>
    </row>
    <row r="4975" spans="1:5" x14ac:dyDescent="0.2">
      <c r="A4975" s="1126" t="s">
        <v>5557</v>
      </c>
      <c r="B4975" s="1127">
        <v>355</v>
      </c>
      <c r="C4975" s="1128">
        <v>1146.06</v>
      </c>
      <c r="D4975" s="1128">
        <v>1390.07</v>
      </c>
      <c r="E4975" s="1126"/>
    </row>
    <row r="4976" spans="1:5" x14ac:dyDescent="0.2">
      <c r="A4976" s="1126" t="s">
        <v>5558</v>
      </c>
      <c r="B4976" s="1127">
        <v>269</v>
      </c>
      <c r="C4976" s="1128">
        <v>821.24</v>
      </c>
      <c r="D4976" s="1128">
        <v>1006.14</v>
      </c>
      <c r="E4976" s="1126"/>
    </row>
    <row r="4977" spans="1:5" x14ac:dyDescent="0.2">
      <c r="A4977" s="1126" t="s">
        <v>5559</v>
      </c>
      <c r="B4977" s="1127">
        <v>375</v>
      </c>
      <c r="C4977" s="1128">
        <v>75.63</v>
      </c>
      <c r="D4977" s="1128">
        <v>333.39</v>
      </c>
      <c r="E4977" s="1126"/>
    </row>
    <row r="4978" spans="1:5" x14ac:dyDescent="0.2">
      <c r="A4978" s="1126" t="s">
        <v>5560</v>
      </c>
      <c r="B4978" s="1127">
        <v>138</v>
      </c>
      <c r="C4978" s="1128">
        <v>50.97</v>
      </c>
      <c r="D4978" s="1128">
        <v>145.83000000000001</v>
      </c>
      <c r="E4978" s="1126"/>
    </row>
    <row r="4979" spans="1:5" x14ac:dyDescent="0.2">
      <c r="A4979" s="1126" t="s">
        <v>5561</v>
      </c>
      <c r="B4979" s="1127">
        <v>360</v>
      </c>
      <c r="C4979" s="1128">
        <v>0</v>
      </c>
      <c r="D4979" s="1128">
        <v>176.06</v>
      </c>
      <c r="E4979" s="1126"/>
    </row>
    <row r="4980" spans="1:5" x14ac:dyDescent="0.2">
      <c r="A4980" s="1126" t="s">
        <v>5562</v>
      </c>
      <c r="B4980" s="1127">
        <v>330</v>
      </c>
      <c r="C4980" s="1128">
        <v>498.59</v>
      </c>
      <c r="D4980" s="1128">
        <v>725.42</v>
      </c>
      <c r="E4980" s="1126"/>
    </row>
    <row r="4981" spans="1:5" x14ac:dyDescent="0.2">
      <c r="A4981" s="1126" t="s">
        <v>5563</v>
      </c>
      <c r="B4981" s="1127">
        <v>177</v>
      </c>
      <c r="C4981" s="1128">
        <v>568.71</v>
      </c>
      <c r="D4981" s="1128">
        <v>690.37</v>
      </c>
      <c r="E4981" s="1126"/>
    </row>
    <row r="4982" spans="1:5" x14ac:dyDescent="0.2">
      <c r="A4982" s="1126" t="s">
        <v>5564</v>
      </c>
      <c r="B4982" s="1127">
        <v>168</v>
      </c>
      <c r="C4982" s="1128">
        <v>0</v>
      </c>
      <c r="D4982" s="1128">
        <v>93.81</v>
      </c>
      <c r="E4982" s="1126"/>
    </row>
    <row r="4983" spans="1:5" x14ac:dyDescent="0.2">
      <c r="A4983" s="1126" t="s">
        <v>5565</v>
      </c>
      <c r="B4983" s="1127">
        <v>266</v>
      </c>
      <c r="C4983" s="1128">
        <v>22.01</v>
      </c>
      <c r="D4983" s="1128">
        <v>204.85</v>
      </c>
      <c r="E4983" s="1126"/>
    </row>
    <row r="4984" spans="1:5" x14ac:dyDescent="0.2">
      <c r="A4984" s="1126" t="s">
        <v>5566</v>
      </c>
      <c r="B4984" s="1127">
        <v>406</v>
      </c>
      <c r="C4984" s="1128">
        <v>0</v>
      </c>
      <c r="D4984" s="1128">
        <v>71.34</v>
      </c>
      <c r="E4984" s="1126"/>
    </row>
    <row r="4985" spans="1:5" x14ac:dyDescent="0.2">
      <c r="A4985" s="1126" t="s">
        <v>5567</v>
      </c>
      <c r="B4985" s="1127">
        <v>280</v>
      </c>
      <c r="C4985" s="1128">
        <v>0</v>
      </c>
      <c r="D4985" s="1128">
        <v>110.71</v>
      </c>
      <c r="E4985" s="1126"/>
    </row>
    <row r="4986" spans="1:5" x14ac:dyDescent="0.2">
      <c r="A4986" s="1126" t="s">
        <v>5568</v>
      </c>
      <c r="B4986" s="1127">
        <v>422</v>
      </c>
      <c r="C4986" s="1128">
        <v>0</v>
      </c>
      <c r="D4986" s="1128">
        <v>231.83</v>
      </c>
      <c r="E4986" s="1126"/>
    </row>
    <row r="4987" spans="1:5" x14ac:dyDescent="0.2">
      <c r="A4987" s="1126" t="s">
        <v>5569</v>
      </c>
      <c r="B4987" s="1127">
        <v>160</v>
      </c>
      <c r="C4987" s="1128">
        <v>0</v>
      </c>
      <c r="D4987" s="1128">
        <v>36.76</v>
      </c>
      <c r="E4987" s="1126"/>
    </row>
    <row r="4988" spans="1:5" x14ac:dyDescent="0.2">
      <c r="A4988" s="1126" t="s">
        <v>5570</v>
      </c>
      <c r="B4988" s="1127">
        <v>412</v>
      </c>
      <c r="C4988" s="1128">
        <v>492.09</v>
      </c>
      <c r="D4988" s="1128">
        <v>775.28</v>
      </c>
      <c r="E4988" s="1126"/>
    </row>
    <row r="4989" spans="1:5" x14ac:dyDescent="0.2">
      <c r="A4989" s="1126" t="s">
        <v>5571</v>
      </c>
      <c r="B4989" s="1127">
        <v>296</v>
      </c>
      <c r="C4989" s="1128">
        <v>402.03</v>
      </c>
      <c r="D4989" s="1128">
        <v>605.49</v>
      </c>
      <c r="E4989" s="1126"/>
    </row>
    <row r="4990" spans="1:5" x14ac:dyDescent="0.2">
      <c r="A4990" s="1126" t="s">
        <v>5572</v>
      </c>
      <c r="B4990" s="1127">
        <v>153</v>
      </c>
      <c r="C4990" s="1128">
        <v>12.07</v>
      </c>
      <c r="D4990" s="1128">
        <v>117.24</v>
      </c>
      <c r="E4990" s="1126"/>
    </row>
    <row r="4991" spans="1:5" x14ac:dyDescent="0.2">
      <c r="A4991" s="1126" t="s">
        <v>5573</v>
      </c>
      <c r="B4991" s="1127">
        <v>221</v>
      </c>
      <c r="C4991" s="1128">
        <v>7.89</v>
      </c>
      <c r="D4991" s="1128">
        <v>159.79</v>
      </c>
      <c r="E4991" s="1126"/>
    </row>
    <row r="4992" spans="1:5" x14ac:dyDescent="0.2">
      <c r="A4992" s="1126" t="s">
        <v>5574</v>
      </c>
      <c r="B4992" s="1127">
        <v>311</v>
      </c>
      <c r="C4992" s="1128">
        <v>109.53</v>
      </c>
      <c r="D4992" s="1128">
        <v>323.3</v>
      </c>
      <c r="E4992" s="1126"/>
    </row>
    <row r="4993" spans="1:5" x14ac:dyDescent="0.2">
      <c r="A4993" s="1126" t="s">
        <v>5575</v>
      </c>
      <c r="B4993" s="1127">
        <v>380</v>
      </c>
      <c r="C4993" s="1128">
        <v>0</v>
      </c>
      <c r="D4993" s="1128">
        <v>175.58</v>
      </c>
      <c r="E4993" s="1126"/>
    </row>
    <row r="4994" spans="1:5" x14ac:dyDescent="0.2">
      <c r="A4994" s="1126" t="s">
        <v>5576</v>
      </c>
      <c r="B4994" s="1127">
        <v>271</v>
      </c>
      <c r="C4994" s="1128">
        <v>0</v>
      </c>
      <c r="D4994" s="1128">
        <v>36.25</v>
      </c>
      <c r="E4994" s="1126"/>
    </row>
    <row r="4995" spans="1:5" x14ac:dyDescent="0.2">
      <c r="A4995" s="1126" t="s">
        <v>5577</v>
      </c>
      <c r="B4995" s="1127">
        <v>379</v>
      </c>
      <c r="C4995" s="1128">
        <v>0</v>
      </c>
      <c r="D4995" s="1128">
        <v>15.13</v>
      </c>
      <c r="E4995" s="1126"/>
    </row>
    <row r="4996" spans="1:5" x14ac:dyDescent="0.2">
      <c r="A4996" s="1126" t="s">
        <v>5578</v>
      </c>
      <c r="B4996" s="1127">
        <v>226</v>
      </c>
      <c r="C4996" s="1128">
        <v>0</v>
      </c>
      <c r="D4996" s="1128">
        <v>111.23</v>
      </c>
      <c r="E4996" s="1126"/>
    </row>
    <row r="4997" spans="1:5" x14ac:dyDescent="0.2">
      <c r="A4997" s="1126" t="s">
        <v>5579</v>
      </c>
      <c r="B4997" s="1127">
        <v>197</v>
      </c>
      <c r="C4997" s="1128">
        <v>25.15</v>
      </c>
      <c r="D4997" s="1128">
        <v>160.56</v>
      </c>
      <c r="E4997" s="1126"/>
    </row>
    <row r="4998" spans="1:5" x14ac:dyDescent="0.2">
      <c r="A4998" s="1126" t="s">
        <v>5580</v>
      </c>
      <c r="B4998" s="1127">
        <v>166</v>
      </c>
      <c r="C4998" s="1128">
        <v>571.80999999999995</v>
      </c>
      <c r="D4998" s="1128">
        <v>685.91</v>
      </c>
      <c r="E4998" s="1126"/>
    </row>
    <row r="4999" spans="1:5" x14ac:dyDescent="0.2">
      <c r="A4999" s="1126" t="s">
        <v>5581</v>
      </c>
      <c r="B4999" s="1127">
        <v>231</v>
      </c>
      <c r="C4999" s="1128">
        <v>835.75</v>
      </c>
      <c r="D4999" s="1128">
        <v>994.53</v>
      </c>
      <c r="E4999" s="1126"/>
    </row>
    <row r="5000" spans="1:5" x14ac:dyDescent="0.2">
      <c r="A5000" s="1126" t="s">
        <v>5582</v>
      </c>
      <c r="B5000" s="1127">
        <v>99</v>
      </c>
      <c r="C5000" s="1128">
        <v>147.22999999999999</v>
      </c>
      <c r="D5000" s="1128">
        <v>215.28</v>
      </c>
      <c r="E5000" s="1126"/>
    </row>
    <row r="5001" spans="1:5" x14ac:dyDescent="0.2">
      <c r="A5001" s="1126" t="s">
        <v>5583</v>
      </c>
      <c r="B5001" s="1127">
        <v>206</v>
      </c>
      <c r="C5001" s="1128">
        <v>494.02</v>
      </c>
      <c r="D5001" s="1128">
        <v>635.62</v>
      </c>
      <c r="E5001" s="1126"/>
    </row>
    <row r="5002" spans="1:5" x14ac:dyDescent="0.2">
      <c r="A5002" s="1126" t="s">
        <v>5584</v>
      </c>
      <c r="B5002" s="1127">
        <v>229</v>
      </c>
      <c r="C5002" s="1128">
        <v>108.42</v>
      </c>
      <c r="D5002" s="1128">
        <v>265.83</v>
      </c>
      <c r="E5002" s="1126"/>
    </row>
    <row r="5003" spans="1:5" x14ac:dyDescent="0.2">
      <c r="A5003" s="1126" t="s">
        <v>5585</v>
      </c>
      <c r="B5003" s="1127">
        <v>203</v>
      </c>
      <c r="C5003" s="1128">
        <v>122.7</v>
      </c>
      <c r="D5003" s="1128">
        <v>262.24</v>
      </c>
      <c r="E5003" s="1126"/>
    </row>
    <row r="5004" spans="1:5" x14ac:dyDescent="0.2">
      <c r="A5004" s="1126" t="s">
        <v>5586</v>
      </c>
      <c r="B5004" s="1127">
        <v>55</v>
      </c>
      <c r="C5004" s="1128">
        <v>0</v>
      </c>
      <c r="D5004" s="1128">
        <v>27.81</v>
      </c>
      <c r="E5004" s="1126"/>
    </row>
    <row r="5005" spans="1:5" x14ac:dyDescent="0.2">
      <c r="A5005" s="1126" t="s">
        <v>5587</v>
      </c>
      <c r="B5005" s="1127">
        <v>288</v>
      </c>
      <c r="C5005" s="1128">
        <v>0</v>
      </c>
      <c r="D5005" s="1128">
        <v>44.79</v>
      </c>
      <c r="E5005" s="1126"/>
    </row>
    <row r="5006" spans="1:5" x14ac:dyDescent="0.2">
      <c r="A5006" s="1126" t="s">
        <v>5588</v>
      </c>
      <c r="B5006" s="1127">
        <v>370</v>
      </c>
      <c r="C5006" s="1128">
        <v>501.14</v>
      </c>
      <c r="D5006" s="1128">
        <v>755.46</v>
      </c>
      <c r="E5006" s="1126"/>
    </row>
    <row r="5007" spans="1:5" x14ac:dyDescent="0.2">
      <c r="A5007" s="1126" t="s">
        <v>5589</v>
      </c>
      <c r="B5007" s="1127">
        <v>378</v>
      </c>
      <c r="C5007" s="1128">
        <v>877.73</v>
      </c>
      <c r="D5007" s="1128">
        <v>1137.55</v>
      </c>
      <c r="E5007" s="1126"/>
    </row>
    <row r="5008" spans="1:5" x14ac:dyDescent="0.2">
      <c r="A5008" s="1126" t="s">
        <v>5590</v>
      </c>
      <c r="B5008" s="1127">
        <v>136</v>
      </c>
      <c r="C5008" s="1128">
        <v>0</v>
      </c>
      <c r="D5008" s="1128">
        <v>62.64</v>
      </c>
      <c r="E5008" s="1126"/>
    </row>
    <row r="5009" spans="1:5" x14ac:dyDescent="0.2">
      <c r="A5009" s="1126" t="s">
        <v>5591</v>
      </c>
      <c r="B5009" s="1127">
        <v>241</v>
      </c>
      <c r="C5009" s="1128">
        <v>0</v>
      </c>
      <c r="D5009" s="1128">
        <v>103.09</v>
      </c>
      <c r="E5009" s="1126"/>
    </row>
    <row r="5010" spans="1:5" x14ac:dyDescent="0.2">
      <c r="A5010" s="1126" t="s">
        <v>5592</v>
      </c>
      <c r="B5010" s="1127">
        <v>212</v>
      </c>
      <c r="C5010" s="1128">
        <v>742.61</v>
      </c>
      <c r="D5010" s="1128">
        <v>888.33</v>
      </c>
      <c r="E5010" s="1126"/>
    </row>
    <row r="5011" spans="1:5" x14ac:dyDescent="0.2">
      <c r="A5011" s="1126" t="s">
        <v>5593</v>
      </c>
      <c r="B5011" s="1127">
        <v>624</v>
      </c>
      <c r="C5011" s="1128">
        <v>1962.34</v>
      </c>
      <c r="D5011" s="1128">
        <v>2391.25</v>
      </c>
      <c r="E5011" s="1126"/>
    </row>
    <row r="5012" spans="1:5" x14ac:dyDescent="0.2">
      <c r="A5012" s="1126" t="s">
        <v>5594</v>
      </c>
      <c r="B5012" s="1127">
        <v>117</v>
      </c>
      <c r="C5012" s="1128">
        <v>0</v>
      </c>
      <c r="D5012" s="1128">
        <v>23.52</v>
      </c>
      <c r="E5012" s="1126"/>
    </row>
    <row r="5013" spans="1:5" x14ac:dyDescent="0.2">
      <c r="A5013" s="1126" t="s">
        <v>5595</v>
      </c>
      <c r="B5013" s="1127">
        <v>83</v>
      </c>
      <c r="C5013" s="1128">
        <v>49.77</v>
      </c>
      <c r="D5013" s="1128">
        <v>106.82</v>
      </c>
      <c r="E5013" s="1126"/>
    </row>
    <row r="5014" spans="1:5" x14ac:dyDescent="0.2">
      <c r="A5014" s="1126" t="s">
        <v>5596</v>
      </c>
      <c r="B5014" s="1127">
        <v>148</v>
      </c>
      <c r="C5014" s="1128">
        <v>453.16</v>
      </c>
      <c r="D5014" s="1128">
        <v>554.89</v>
      </c>
      <c r="E5014" s="1126"/>
    </row>
    <row r="5015" spans="1:5" x14ac:dyDescent="0.2">
      <c r="A5015" s="1126" t="s">
        <v>5597</v>
      </c>
      <c r="B5015" s="1127">
        <v>191</v>
      </c>
      <c r="C5015" s="1128">
        <v>589.54999999999995</v>
      </c>
      <c r="D5015" s="1128">
        <v>720.83</v>
      </c>
      <c r="E5015" s="1126"/>
    </row>
    <row r="5016" spans="1:5" x14ac:dyDescent="0.2">
      <c r="A5016" s="1126" t="s">
        <v>5598</v>
      </c>
      <c r="B5016" s="1127">
        <v>183</v>
      </c>
      <c r="C5016" s="1128">
        <v>0</v>
      </c>
      <c r="D5016" s="1128">
        <v>107.42</v>
      </c>
      <c r="E5016" s="1126"/>
    </row>
    <row r="5017" spans="1:5" x14ac:dyDescent="0.2">
      <c r="A5017" s="1126" t="s">
        <v>5599</v>
      </c>
      <c r="B5017" s="1127">
        <v>96</v>
      </c>
      <c r="C5017" s="1128">
        <v>8.8699999999999992</v>
      </c>
      <c r="D5017" s="1128">
        <v>74.849999999999994</v>
      </c>
      <c r="E5017" s="1126"/>
    </row>
    <row r="5018" spans="1:5" x14ac:dyDescent="0.2">
      <c r="A5018" s="1126" t="s">
        <v>5600</v>
      </c>
      <c r="B5018" s="1127">
        <v>504</v>
      </c>
      <c r="C5018" s="1128">
        <v>1785.48</v>
      </c>
      <c r="D5018" s="1128">
        <v>2131.91</v>
      </c>
      <c r="E5018" s="1126"/>
    </row>
    <row r="5019" spans="1:5" x14ac:dyDescent="0.2">
      <c r="A5019" s="1126" t="s">
        <v>5601</v>
      </c>
      <c r="B5019" s="1127">
        <v>195</v>
      </c>
      <c r="C5019" s="1128">
        <v>695.76</v>
      </c>
      <c r="D5019" s="1128">
        <v>829.8</v>
      </c>
      <c r="E5019" s="1126"/>
    </row>
    <row r="5020" spans="1:5" x14ac:dyDescent="0.2">
      <c r="A5020" s="1126" t="s">
        <v>5602</v>
      </c>
      <c r="B5020" s="1127">
        <v>164</v>
      </c>
      <c r="C5020" s="1128">
        <v>306.85000000000002</v>
      </c>
      <c r="D5020" s="1128">
        <v>419.58</v>
      </c>
      <c r="E5020" s="1126"/>
    </row>
    <row r="5021" spans="1:5" x14ac:dyDescent="0.2">
      <c r="A5021" s="1126" t="s">
        <v>5603</v>
      </c>
      <c r="B5021" s="1127">
        <v>529</v>
      </c>
      <c r="C5021" s="1128">
        <v>1552.3</v>
      </c>
      <c r="D5021" s="1128">
        <v>1915.91</v>
      </c>
      <c r="E5021" s="1126"/>
    </row>
    <row r="5022" spans="1:5" x14ac:dyDescent="0.2">
      <c r="A5022" s="1126" t="s">
        <v>5604</v>
      </c>
      <c r="B5022" s="1127">
        <v>318</v>
      </c>
      <c r="C5022" s="1128">
        <v>0</v>
      </c>
      <c r="D5022" s="1128">
        <v>143.80000000000001</v>
      </c>
      <c r="E5022" s="1126"/>
    </row>
    <row r="5023" spans="1:5" x14ac:dyDescent="0.2">
      <c r="A5023" s="1126" t="s">
        <v>5605</v>
      </c>
      <c r="B5023" s="1127">
        <v>118</v>
      </c>
      <c r="C5023" s="1128">
        <v>13.46</v>
      </c>
      <c r="D5023" s="1128">
        <v>94.57</v>
      </c>
      <c r="E5023" s="1126"/>
    </row>
    <row r="5024" spans="1:5" x14ac:dyDescent="0.2">
      <c r="A5024" s="1126" t="s">
        <v>5606</v>
      </c>
      <c r="B5024" s="1127">
        <v>352</v>
      </c>
      <c r="C5024" s="1128">
        <v>393.79</v>
      </c>
      <c r="D5024" s="1128">
        <v>635.74</v>
      </c>
      <c r="E5024" s="1126"/>
    </row>
    <row r="5025" spans="1:5" x14ac:dyDescent="0.2">
      <c r="A5025" s="1126" t="s">
        <v>5607</v>
      </c>
      <c r="B5025" s="1127">
        <v>867</v>
      </c>
      <c r="C5025" s="1128">
        <v>1676</v>
      </c>
      <c r="D5025" s="1128">
        <v>2271.94</v>
      </c>
      <c r="E5025" s="1126"/>
    </row>
    <row r="5026" spans="1:5" x14ac:dyDescent="0.2">
      <c r="A5026" s="1126" t="s">
        <v>5608</v>
      </c>
      <c r="B5026" s="1127">
        <v>204</v>
      </c>
      <c r="C5026" s="1128">
        <v>537.66</v>
      </c>
      <c r="D5026" s="1128">
        <v>677.88</v>
      </c>
      <c r="E5026" s="1126"/>
    </row>
    <row r="5027" spans="1:5" x14ac:dyDescent="0.2">
      <c r="A5027" s="1126" t="s">
        <v>5609</v>
      </c>
      <c r="B5027" s="1127">
        <v>186</v>
      </c>
      <c r="C5027" s="1128">
        <v>149.16999999999999</v>
      </c>
      <c r="D5027" s="1128">
        <v>277.02</v>
      </c>
      <c r="E5027" s="1126"/>
    </row>
    <row r="5028" spans="1:5" x14ac:dyDescent="0.2">
      <c r="A5028" s="1126" t="s">
        <v>5610</v>
      </c>
      <c r="B5028" s="1127">
        <v>333</v>
      </c>
      <c r="C5028" s="1128">
        <v>0</v>
      </c>
      <c r="D5028" s="1128">
        <v>106.14</v>
      </c>
      <c r="E5028" s="1126"/>
    </row>
    <row r="5029" spans="1:5" x14ac:dyDescent="0.2">
      <c r="A5029" s="1126" t="s">
        <v>5611</v>
      </c>
      <c r="B5029" s="1127">
        <v>302</v>
      </c>
      <c r="C5029" s="1128">
        <v>0</v>
      </c>
      <c r="D5029" s="1128">
        <v>39.58</v>
      </c>
      <c r="E5029" s="1126"/>
    </row>
    <row r="5030" spans="1:5" x14ac:dyDescent="0.2">
      <c r="A5030" s="1126" t="s">
        <v>5612</v>
      </c>
      <c r="B5030" s="1127">
        <v>279</v>
      </c>
      <c r="C5030" s="1128">
        <v>91.91</v>
      </c>
      <c r="D5030" s="1128">
        <v>283.69</v>
      </c>
      <c r="E5030" s="1126"/>
    </row>
    <row r="5031" spans="1:5" x14ac:dyDescent="0.2">
      <c r="A5031" s="1126" t="s">
        <v>5613</v>
      </c>
      <c r="B5031" s="1127">
        <v>232</v>
      </c>
      <c r="C5031" s="1128">
        <v>798.33</v>
      </c>
      <c r="D5031" s="1128">
        <v>957.79</v>
      </c>
      <c r="E5031" s="1126"/>
    </row>
    <row r="5032" spans="1:5" x14ac:dyDescent="0.2">
      <c r="A5032" s="1126" t="s">
        <v>5614</v>
      </c>
      <c r="B5032" s="1127">
        <v>207</v>
      </c>
      <c r="C5032" s="1128">
        <v>633.71</v>
      </c>
      <c r="D5032" s="1128">
        <v>775.99</v>
      </c>
      <c r="E5032" s="1126"/>
    </row>
    <row r="5033" spans="1:5" x14ac:dyDescent="0.2">
      <c r="A5033" s="1126" t="s">
        <v>5615</v>
      </c>
      <c r="B5033" s="1127">
        <v>222</v>
      </c>
      <c r="C5033" s="1128">
        <v>70.05</v>
      </c>
      <c r="D5033" s="1128">
        <v>222.64</v>
      </c>
      <c r="E5033" s="1126"/>
    </row>
    <row r="5034" spans="1:5" x14ac:dyDescent="0.2">
      <c r="A5034" s="1126" t="s">
        <v>5616</v>
      </c>
      <c r="B5034" s="1127">
        <v>532</v>
      </c>
      <c r="C5034" s="1128">
        <v>0</v>
      </c>
      <c r="D5034" s="1128">
        <v>277.47000000000003</v>
      </c>
      <c r="E5034" s="1126"/>
    </row>
    <row r="5035" spans="1:5" x14ac:dyDescent="0.2">
      <c r="A5035" s="1126" t="s">
        <v>5617</v>
      </c>
      <c r="B5035" s="1127">
        <v>410</v>
      </c>
      <c r="C5035" s="1128">
        <v>494.99</v>
      </c>
      <c r="D5035" s="1128">
        <v>776.81</v>
      </c>
      <c r="E5035" s="1126"/>
    </row>
    <row r="5036" spans="1:5" x14ac:dyDescent="0.2">
      <c r="A5036" s="1126" t="s">
        <v>5618</v>
      </c>
      <c r="B5036" s="1127">
        <v>385</v>
      </c>
      <c r="C5036" s="1128">
        <v>37.81</v>
      </c>
      <c r="D5036" s="1128">
        <v>302.45</v>
      </c>
      <c r="E5036" s="1126"/>
    </row>
    <row r="5037" spans="1:5" x14ac:dyDescent="0.2">
      <c r="A5037" s="1126" t="s">
        <v>5619</v>
      </c>
      <c r="B5037" s="1127">
        <v>484</v>
      </c>
      <c r="C5037" s="1128">
        <v>0</v>
      </c>
      <c r="D5037" s="1128">
        <v>122.13</v>
      </c>
      <c r="E5037" s="1126"/>
    </row>
    <row r="5038" spans="1:5" x14ac:dyDescent="0.2">
      <c r="A5038" s="1126" t="s">
        <v>5620</v>
      </c>
      <c r="B5038" s="1127">
        <v>268</v>
      </c>
      <c r="C5038" s="1128">
        <v>389.62</v>
      </c>
      <c r="D5038" s="1128">
        <v>573.83000000000004</v>
      </c>
      <c r="E5038" s="1126"/>
    </row>
    <row r="5039" spans="1:5" x14ac:dyDescent="0.2">
      <c r="A5039" s="1126" t="s">
        <v>5621</v>
      </c>
      <c r="B5039" s="1127">
        <v>329</v>
      </c>
      <c r="C5039" s="1128">
        <v>130.06</v>
      </c>
      <c r="D5039" s="1128">
        <v>356.2</v>
      </c>
      <c r="E5039" s="1126"/>
    </row>
    <row r="5040" spans="1:5" x14ac:dyDescent="0.2">
      <c r="A5040" s="1126" t="s">
        <v>5622</v>
      </c>
      <c r="B5040" s="1127">
        <v>141</v>
      </c>
      <c r="C5040" s="1128">
        <v>283.81</v>
      </c>
      <c r="D5040" s="1128">
        <v>380.73</v>
      </c>
      <c r="E5040" s="1126"/>
    </row>
    <row r="5041" spans="1:5" x14ac:dyDescent="0.2">
      <c r="A5041" s="1126" t="s">
        <v>5623</v>
      </c>
      <c r="B5041" s="1127">
        <v>260</v>
      </c>
      <c r="C5041" s="1128">
        <v>621.62</v>
      </c>
      <c r="D5041" s="1128">
        <v>800.34</v>
      </c>
      <c r="E5041" s="1126"/>
    </row>
    <row r="5042" spans="1:5" x14ac:dyDescent="0.2">
      <c r="A5042" s="1126" t="s">
        <v>5624</v>
      </c>
      <c r="B5042" s="1127">
        <v>529</v>
      </c>
      <c r="C5042" s="1128">
        <v>0</v>
      </c>
      <c r="D5042" s="1128">
        <v>237.88</v>
      </c>
      <c r="E5042" s="1126"/>
    </row>
    <row r="5043" spans="1:5" x14ac:dyDescent="0.2">
      <c r="A5043" s="1126" t="s">
        <v>5625</v>
      </c>
      <c r="B5043" s="1127">
        <v>168</v>
      </c>
      <c r="C5043" s="1128">
        <v>357.8</v>
      </c>
      <c r="D5043" s="1128">
        <v>473.28</v>
      </c>
      <c r="E5043" s="1126"/>
    </row>
    <row r="5044" spans="1:5" x14ac:dyDescent="0.2">
      <c r="A5044" s="1126" t="s">
        <v>5626</v>
      </c>
      <c r="B5044" s="1127">
        <v>245</v>
      </c>
      <c r="C5044" s="1128">
        <v>0</v>
      </c>
      <c r="D5044" s="1128">
        <v>150.24</v>
      </c>
      <c r="E5044" s="1126"/>
    </row>
    <row r="5045" spans="1:5" x14ac:dyDescent="0.2">
      <c r="A5045" s="1126" t="s">
        <v>5627</v>
      </c>
      <c r="B5045" s="1127">
        <v>218</v>
      </c>
      <c r="C5045" s="1128">
        <v>345.42</v>
      </c>
      <c r="D5045" s="1128">
        <v>495.26</v>
      </c>
      <c r="E5045" s="1126"/>
    </row>
    <row r="5046" spans="1:5" x14ac:dyDescent="0.2">
      <c r="A5046" s="1126" t="s">
        <v>5628</v>
      </c>
      <c r="B5046" s="1127">
        <v>291</v>
      </c>
      <c r="C5046" s="1128">
        <v>323.83</v>
      </c>
      <c r="D5046" s="1128">
        <v>523.86</v>
      </c>
      <c r="E5046" s="1126"/>
    </row>
    <row r="5047" spans="1:5" x14ac:dyDescent="0.2">
      <c r="A5047" s="1126" t="s">
        <v>5629</v>
      </c>
      <c r="B5047" s="1127">
        <v>159</v>
      </c>
      <c r="C5047" s="1128">
        <v>190.09</v>
      </c>
      <c r="D5047" s="1128">
        <v>299.38</v>
      </c>
      <c r="E5047" s="1126"/>
    </row>
    <row r="5048" spans="1:5" x14ac:dyDescent="0.2">
      <c r="A5048" s="1126" t="s">
        <v>5630</v>
      </c>
      <c r="B5048" s="1127">
        <v>71</v>
      </c>
      <c r="C5048" s="1128">
        <v>65.91</v>
      </c>
      <c r="D5048" s="1128">
        <v>114.71</v>
      </c>
      <c r="E5048" s="1126"/>
    </row>
    <row r="5049" spans="1:5" x14ac:dyDescent="0.2">
      <c r="A5049" s="1126" t="s">
        <v>5631</v>
      </c>
      <c r="B5049" s="1127">
        <v>63</v>
      </c>
      <c r="C5049" s="1128">
        <v>0</v>
      </c>
      <c r="D5049" s="1128">
        <v>30.85</v>
      </c>
      <c r="E5049" s="1126"/>
    </row>
    <row r="5050" spans="1:5" x14ac:dyDescent="0.2">
      <c r="A5050" s="1126" t="s">
        <v>5632</v>
      </c>
      <c r="B5050" s="1127">
        <v>105</v>
      </c>
      <c r="C5050" s="1128">
        <v>40.43</v>
      </c>
      <c r="D5050" s="1128">
        <v>112.6</v>
      </c>
      <c r="E5050" s="1126"/>
    </row>
    <row r="5051" spans="1:5" x14ac:dyDescent="0.2">
      <c r="A5051" s="1126" t="s">
        <v>5633</v>
      </c>
      <c r="B5051" s="1127">
        <v>38</v>
      </c>
      <c r="C5051" s="1128">
        <v>67.010000000000005</v>
      </c>
      <c r="D5051" s="1128">
        <v>93.13</v>
      </c>
      <c r="E5051" s="1126" t="s">
        <v>669</v>
      </c>
    </row>
    <row r="5052" spans="1:5" x14ac:dyDescent="0.2">
      <c r="A5052" s="1126" t="s">
        <v>5634</v>
      </c>
      <c r="B5052" s="1127">
        <v>112</v>
      </c>
      <c r="C5052" s="1128">
        <v>84.73</v>
      </c>
      <c r="D5052" s="1128">
        <v>161.72</v>
      </c>
      <c r="E5052" s="1126"/>
    </row>
    <row r="5053" spans="1:5" x14ac:dyDescent="0.2">
      <c r="A5053" s="1126" t="s">
        <v>5635</v>
      </c>
      <c r="B5053" s="1127">
        <v>268</v>
      </c>
      <c r="C5053" s="1128">
        <v>15.33</v>
      </c>
      <c r="D5053" s="1128">
        <v>199.54</v>
      </c>
      <c r="E5053" s="1126"/>
    </row>
    <row r="5054" spans="1:5" x14ac:dyDescent="0.2">
      <c r="A5054" s="1126" t="s">
        <v>5636</v>
      </c>
      <c r="B5054" s="1127">
        <v>171</v>
      </c>
      <c r="C5054" s="1128">
        <v>122.06</v>
      </c>
      <c r="D5054" s="1128">
        <v>239.6</v>
      </c>
      <c r="E5054" s="1126"/>
    </row>
    <row r="5055" spans="1:5" x14ac:dyDescent="0.2">
      <c r="A5055" s="1126" t="s">
        <v>5637</v>
      </c>
      <c r="B5055" s="1127">
        <v>181</v>
      </c>
      <c r="C5055" s="1128">
        <v>0</v>
      </c>
      <c r="D5055" s="1128">
        <v>100.73</v>
      </c>
      <c r="E5055" s="1126"/>
    </row>
    <row r="5056" spans="1:5" x14ac:dyDescent="0.2">
      <c r="A5056" s="1126" t="s">
        <v>5638</v>
      </c>
      <c r="B5056" s="1127">
        <v>198</v>
      </c>
      <c r="C5056" s="1128">
        <v>26.7</v>
      </c>
      <c r="D5056" s="1128">
        <v>162.80000000000001</v>
      </c>
      <c r="E5056" s="1126"/>
    </row>
    <row r="5057" spans="1:5" x14ac:dyDescent="0.2">
      <c r="A5057" s="1126" t="s">
        <v>5639</v>
      </c>
      <c r="B5057" s="1127">
        <v>275</v>
      </c>
      <c r="C5057" s="1128">
        <v>0</v>
      </c>
      <c r="D5057" s="1128">
        <v>60.15</v>
      </c>
      <c r="E5057" s="1126"/>
    </row>
    <row r="5058" spans="1:5" x14ac:dyDescent="0.2">
      <c r="A5058" s="1126" t="s">
        <v>5640</v>
      </c>
      <c r="B5058" s="1127">
        <v>247</v>
      </c>
      <c r="C5058" s="1128">
        <v>0</v>
      </c>
      <c r="D5058" s="1128">
        <v>129.71</v>
      </c>
      <c r="E5058" s="1126"/>
    </row>
    <row r="5059" spans="1:5" x14ac:dyDescent="0.2">
      <c r="A5059" s="1126" t="s">
        <v>5641</v>
      </c>
      <c r="B5059" s="1127">
        <v>75</v>
      </c>
      <c r="C5059" s="1128">
        <v>28.89</v>
      </c>
      <c r="D5059" s="1128">
        <v>80.45</v>
      </c>
      <c r="E5059" s="1126"/>
    </row>
    <row r="5060" spans="1:5" x14ac:dyDescent="0.2">
      <c r="A5060" s="1126" t="s">
        <v>5642</v>
      </c>
      <c r="B5060" s="1127">
        <v>120</v>
      </c>
      <c r="C5060" s="1128">
        <v>94.81</v>
      </c>
      <c r="D5060" s="1128">
        <v>177.29</v>
      </c>
      <c r="E5060" s="1126"/>
    </row>
    <row r="5061" spans="1:5" x14ac:dyDescent="0.2">
      <c r="A5061" s="1126" t="s">
        <v>5643</v>
      </c>
      <c r="B5061" s="1127">
        <v>347</v>
      </c>
      <c r="C5061" s="1128">
        <v>1020.61</v>
      </c>
      <c r="D5061" s="1128">
        <v>1259.1199999999999</v>
      </c>
      <c r="E5061" s="1126"/>
    </row>
    <row r="5062" spans="1:5" x14ac:dyDescent="0.2">
      <c r="A5062" s="1126" t="s">
        <v>5644</v>
      </c>
      <c r="B5062" s="1127">
        <v>56</v>
      </c>
      <c r="C5062" s="1128">
        <v>0</v>
      </c>
      <c r="D5062" s="1128">
        <v>8.8000000000000007</v>
      </c>
      <c r="E5062" s="1126"/>
    </row>
    <row r="5063" spans="1:5" x14ac:dyDescent="0.2">
      <c r="A5063" s="1126" t="s">
        <v>5645</v>
      </c>
      <c r="B5063" s="1127">
        <v>144</v>
      </c>
      <c r="C5063" s="1128">
        <v>0</v>
      </c>
      <c r="D5063" s="1128">
        <v>38.6</v>
      </c>
      <c r="E5063" s="1126"/>
    </row>
    <row r="5064" spans="1:5" x14ac:dyDescent="0.2">
      <c r="A5064" s="1126" t="s">
        <v>5646</v>
      </c>
      <c r="B5064" s="1127">
        <v>487</v>
      </c>
      <c r="C5064" s="1128">
        <v>58.03</v>
      </c>
      <c r="D5064" s="1128">
        <v>392.78</v>
      </c>
      <c r="E5064" s="1126"/>
    </row>
    <row r="5065" spans="1:5" x14ac:dyDescent="0.2">
      <c r="A5065" s="1126" t="s">
        <v>5647</v>
      </c>
      <c r="B5065" s="1127">
        <v>101</v>
      </c>
      <c r="C5065" s="1128">
        <v>19.55</v>
      </c>
      <c r="D5065" s="1128">
        <v>88.97</v>
      </c>
      <c r="E5065" s="1126"/>
    </row>
    <row r="5066" spans="1:5" x14ac:dyDescent="0.2">
      <c r="A5066" s="1126" t="s">
        <v>5648</v>
      </c>
      <c r="B5066" s="1127">
        <v>54</v>
      </c>
      <c r="C5066" s="1128">
        <v>0</v>
      </c>
      <c r="D5066" s="1128">
        <v>24.32</v>
      </c>
      <c r="E5066" s="1126"/>
    </row>
    <row r="5067" spans="1:5" x14ac:dyDescent="0.2">
      <c r="A5067" s="1126" t="s">
        <v>5649</v>
      </c>
      <c r="B5067" s="1127">
        <v>105</v>
      </c>
      <c r="C5067" s="1128">
        <v>60.46</v>
      </c>
      <c r="D5067" s="1128">
        <v>132.63999999999999</v>
      </c>
      <c r="E5067" s="1126"/>
    </row>
    <row r="5068" spans="1:5" x14ac:dyDescent="0.2">
      <c r="A5068" s="1126" t="s">
        <v>5650</v>
      </c>
      <c r="B5068" s="1127">
        <v>104</v>
      </c>
      <c r="C5068" s="1128">
        <v>0</v>
      </c>
      <c r="D5068" s="1128">
        <v>54.77</v>
      </c>
      <c r="E5068" s="1126"/>
    </row>
    <row r="5069" spans="1:5" x14ac:dyDescent="0.2">
      <c r="A5069" s="1126" t="s">
        <v>5651</v>
      </c>
      <c r="B5069" s="1127">
        <v>51</v>
      </c>
      <c r="C5069" s="1128">
        <v>69.39</v>
      </c>
      <c r="D5069" s="1128">
        <v>104.45</v>
      </c>
      <c r="E5069" s="1126"/>
    </row>
    <row r="5070" spans="1:5" x14ac:dyDescent="0.2">
      <c r="A5070" s="1126" t="s">
        <v>5652</v>
      </c>
      <c r="B5070" s="1127">
        <v>62</v>
      </c>
      <c r="C5070" s="1128">
        <v>0</v>
      </c>
      <c r="D5070" s="1128">
        <v>18.22</v>
      </c>
      <c r="E5070" s="1126"/>
    </row>
    <row r="5071" spans="1:5" x14ac:dyDescent="0.2">
      <c r="A5071" s="1126" t="s">
        <v>5653</v>
      </c>
      <c r="B5071" s="1127">
        <v>394</v>
      </c>
      <c r="C5071" s="1128">
        <v>138.93</v>
      </c>
      <c r="D5071" s="1128">
        <v>409.75</v>
      </c>
      <c r="E5071" s="1126"/>
    </row>
    <row r="5072" spans="1:5" x14ac:dyDescent="0.2">
      <c r="A5072" s="1126" t="s">
        <v>5654</v>
      </c>
      <c r="B5072" s="1127">
        <v>353</v>
      </c>
      <c r="C5072" s="1128">
        <v>0</v>
      </c>
      <c r="D5072" s="1128">
        <v>98.67</v>
      </c>
      <c r="E5072" s="1126"/>
    </row>
    <row r="5073" spans="1:5" x14ac:dyDescent="0.2">
      <c r="A5073" s="1126" t="s">
        <v>5655</v>
      </c>
      <c r="B5073" s="1127">
        <v>187</v>
      </c>
      <c r="C5073" s="1128">
        <v>0</v>
      </c>
      <c r="D5073" s="1128">
        <v>35.61</v>
      </c>
      <c r="E5073" s="1126"/>
    </row>
    <row r="5074" spans="1:5" x14ac:dyDescent="0.2">
      <c r="A5074" s="1126" t="s">
        <v>5656</v>
      </c>
      <c r="B5074" s="1127">
        <v>186</v>
      </c>
      <c r="C5074" s="1128">
        <v>88.31</v>
      </c>
      <c r="D5074" s="1128">
        <v>216.16</v>
      </c>
      <c r="E5074" s="1126"/>
    </row>
    <row r="5075" spans="1:5" x14ac:dyDescent="0.2">
      <c r="A5075" s="1126" t="s">
        <v>5657</v>
      </c>
      <c r="B5075" s="1127">
        <v>126</v>
      </c>
      <c r="C5075" s="1128">
        <v>16.02</v>
      </c>
      <c r="D5075" s="1128">
        <v>102.63</v>
      </c>
      <c r="E5075" s="1126"/>
    </row>
    <row r="5076" spans="1:5" x14ac:dyDescent="0.2">
      <c r="A5076" s="1126" t="s">
        <v>5658</v>
      </c>
      <c r="B5076" s="1127">
        <v>228</v>
      </c>
      <c r="C5076" s="1128">
        <v>0</v>
      </c>
      <c r="D5076" s="1128">
        <v>11.28</v>
      </c>
      <c r="E5076" s="1126"/>
    </row>
    <row r="5077" spans="1:5" x14ac:dyDescent="0.2">
      <c r="A5077" s="1126" t="s">
        <v>5659</v>
      </c>
      <c r="B5077" s="1127">
        <v>80</v>
      </c>
      <c r="C5077" s="1128">
        <v>0</v>
      </c>
      <c r="D5077" s="1128">
        <v>45.41</v>
      </c>
      <c r="E5077" s="1126"/>
    </row>
    <row r="5078" spans="1:5" x14ac:dyDescent="0.2">
      <c r="A5078" s="1126" t="s">
        <v>5660</v>
      </c>
      <c r="B5078" s="1127">
        <v>326</v>
      </c>
      <c r="C5078" s="1128">
        <v>48.81</v>
      </c>
      <c r="D5078" s="1128">
        <v>272.89</v>
      </c>
      <c r="E5078" s="1126"/>
    </row>
    <row r="5079" spans="1:5" x14ac:dyDescent="0.2">
      <c r="A5079" s="1126" t="s">
        <v>5661</v>
      </c>
      <c r="B5079" s="1127">
        <v>195</v>
      </c>
      <c r="C5079" s="1128">
        <v>158.12</v>
      </c>
      <c r="D5079" s="1128">
        <v>292.16000000000003</v>
      </c>
      <c r="E5079" s="1126"/>
    </row>
    <row r="5080" spans="1:5" x14ac:dyDescent="0.2">
      <c r="A5080" s="1126" t="s">
        <v>5662</v>
      </c>
      <c r="B5080" s="1127">
        <v>248</v>
      </c>
      <c r="C5080" s="1128">
        <v>0</v>
      </c>
      <c r="D5080" s="1128">
        <v>58.89</v>
      </c>
      <c r="E5080" s="1126"/>
    </row>
    <row r="5081" spans="1:5" x14ac:dyDescent="0.2">
      <c r="A5081" s="1126" t="s">
        <v>5663</v>
      </c>
      <c r="B5081" s="1127">
        <v>96</v>
      </c>
      <c r="C5081" s="1128">
        <v>32.840000000000003</v>
      </c>
      <c r="D5081" s="1128">
        <v>98.82</v>
      </c>
      <c r="E5081" s="1126"/>
    </row>
    <row r="5082" spans="1:5" x14ac:dyDescent="0.2">
      <c r="A5082" s="1126" t="s">
        <v>5664</v>
      </c>
      <c r="B5082" s="1127">
        <v>294</v>
      </c>
      <c r="C5082" s="1128">
        <v>46.35</v>
      </c>
      <c r="D5082" s="1128">
        <v>248.43</v>
      </c>
      <c r="E5082" s="1126"/>
    </row>
    <row r="5083" spans="1:5" x14ac:dyDescent="0.2">
      <c r="A5083" s="1126" t="s">
        <v>5665</v>
      </c>
      <c r="B5083" s="1127">
        <v>208</v>
      </c>
      <c r="C5083" s="1128">
        <v>0</v>
      </c>
      <c r="D5083" s="1128">
        <v>124.19</v>
      </c>
      <c r="E5083" s="1126"/>
    </row>
    <row r="5084" spans="1:5" x14ac:dyDescent="0.2">
      <c r="A5084" s="1126" t="s">
        <v>5666</v>
      </c>
      <c r="B5084" s="1127">
        <v>113</v>
      </c>
      <c r="C5084" s="1128">
        <v>0</v>
      </c>
      <c r="D5084" s="1128">
        <v>29.31</v>
      </c>
      <c r="E5084" s="1126"/>
    </row>
    <row r="5085" spans="1:5" x14ac:dyDescent="0.2">
      <c r="A5085" s="1126" t="s">
        <v>5667</v>
      </c>
      <c r="B5085" s="1127">
        <v>155</v>
      </c>
      <c r="C5085" s="1128">
        <v>0</v>
      </c>
      <c r="D5085" s="1128">
        <v>67.709999999999994</v>
      </c>
      <c r="E5085" s="1126"/>
    </row>
    <row r="5086" spans="1:5" x14ac:dyDescent="0.2">
      <c r="A5086" s="1126" t="s">
        <v>5668</v>
      </c>
      <c r="B5086" s="1127">
        <v>358</v>
      </c>
      <c r="C5086" s="1128">
        <v>0</v>
      </c>
      <c r="D5086" s="1128">
        <v>67.819999999999993</v>
      </c>
      <c r="E5086" s="1126"/>
    </row>
    <row r="5087" spans="1:5" x14ac:dyDescent="0.2">
      <c r="A5087" s="1126" t="s">
        <v>5669</v>
      </c>
      <c r="B5087" s="1127">
        <v>102</v>
      </c>
      <c r="C5087" s="1128">
        <v>18.2</v>
      </c>
      <c r="D5087" s="1128">
        <v>88.31</v>
      </c>
      <c r="E5087" s="1126"/>
    </row>
    <row r="5088" spans="1:5" x14ac:dyDescent="0.2">
      <c r="A5088" s="1126" t="s">
        <v>5670</v>
      </c>
      <c r="B5088" s="1127">
        <v>69</v>
      </c>
      <c r="C5088" s="1128">
        <v>0.16</v>
      </c>
      <c r="D5088" s="1128">
        <v>47.59</v>
      </c>
      <c r="E5088" s="1126"/>
    </row>
    <row r="5089" spans="1:5" x14ac:dyDescent="0.2">
      <c r="A5089" s="1126" t="s">
        <v>5671</v>
      </c>
      <c r="B5089" s="1127">
        <v>48</v>
      </c>
      <c r="C5089" s="1128">
        <v>0</v>
      </c>
      <c r="D5089" s="1128">
        <v>20.010000000000002</v>
      </c>
      <c r="E5089" s="1126"/>
    </row>
    <row r="5090" spans="1:5" x14ac:dyDescent="0.2">
      <c r="A5090" s="1126" t="s">
        <v>5672</v>
      </c>
      <c r="B5090" s="1127">
        <v>188</v>
      </c>
      <c r="C5090" s="1128">
        <v>0</v>
      </c>
      <c r="D5090" s="1128">
        <v>45.61</v>
      </c>
      <c r="E5090" s="1126"/>
    </row>
    <row r="5091" spans="1:5" x14ac:dyDescent="0.2">
      <c r="A5091" s="1126" t="s">
        <v>5673</v>
      </c>
      <c r="B5091" s="1127">
        <v>69</v>
      </c>
      <c r="C5091" s="1128">
        <v>9.33</v>
      </c>
      <c r="D5091" s="1128">
        <v>56.76</v>
      </c>
      <c r="E5091" s="1126"/>
    </row>
    <row r="5092" spans="1:5" x14ac:dyDescent="0.2">
      <c r="A5092" s="1126" t="s">
        <v>5674</v>
      </c>
      <c r="B5092" s="1127">
        <v>138</v>
      </c>
      <c r="C5092" s="1128">
        <v>0</v>
      </c>
      <c r="D5092" s="1128">
        <v>72.72</v>
      </c>
      <c r="E5092" s="1126"/>
    </row>
    <row r="5093" spans="1:5" x14ac:dyDescent="0.2">
      <c r="A5093" s="1126" t="s">
        <v>5675</v>
      </c>
      <c r="B5093" s="1127">
        <v>143</v>
      </c>
      <c r="C5093" s="1128">
        <v>0</v>
      </c>
      <c r="D5093" s="1128">
        <v>62.72</v>
      </c>
      <c r="E5093" s="1126"/>
    </row>
    <row r="5094" spans="1:5" x14ac:dyDescent="0.2">
      <c r="A5094" s="1126" t="s">
        <v>5676</v>
      </c>
      <c r="B5094" s="1127">
        <v>304</v>
      </c>
      <c r="C5094" s="1128">
        <v>0</v>
      </c>
      <c r="D5094" s="1128">
        <v>88.27</v>
      </c>
      <c r="E5094" s="1126"/>
    </row>
    <row r="5095" spans="1:5" x14ac:dyDescent="0.2">
      <c r="A5095" s="1126" t="s">
        <v>5677</v>
      </c>
      <c r="B5095" s="1127">
        <v>259</v>
      </c>
      <c r="C5095" s="1128">
        <v>44</v>
      </c>
      <c r="D5095" s="1128">
        <v>222.02</v>
      </c>
      <c r="E5095" s="1126"/>
    </row>
    <row r="5096" spans="1:5" x14ac:dyDescent="0.2">
      <c r="A5096" s="1126" t="s">
        <v>5678</v>
      </c>
      <c r="B5096" s="1127">
        <v>97</v>
      </c>
      <c r="C5096" s="1128">
        <v>5.81</v>
      </c>
      <c r="D5096" s="1128">
        <v>72.48</v>
      </c>
      <c r="E5096" s="1126"/>
    </row>
    <row r="5097" spans="1:5" x14ac:dyDescent="0.2">
      <c r="A5097" s="1126" t="s">
        <v>5679</v>
      </c>
      <c r="B5097" s="1127">
        <v>115</v>
      </c>
      <c r="C5097" s="1128">
        <v>101.22</v>
      </c>
      <c r="D5097" s="1128">
        <v>180.27</v>
      </c>
      <c r="E5097" s="1126"/>
    </row>
    <row r="5098" spans="1:5" x14ac:dyDescent="0.2">
      <c r="A5098" s="1126" t="s">
        <v>5680</v>
      </c>
      <c r="B5098" s="1127">
        <v>41</v>
      </c>
      <c r="C5098" s="1128">
        <v>43.15</v>
      </c>
      <c r="D5098" s="1128">
        <v>71.33</v>
      </c>
      <c r="E5098" s="1126"/>
    </row>
    <row r="5099" spans="1:5" x14ac:dyDescent="0.2">
      <c r="A5099" s="1126" t="s">
        <v>5681</v>
      </c>
      <c r="B5099" s="1127">
        <v>51</v>
      </c>
      <c r="C5099" s="1128">
        <v>25.74</v>
      </c>
      <c r="D5099" s="1128">
        <v>60.8</v>
      </c>
      <c r="E5099" s="1126"/>
    </row>
    <row r="5100" spans="1:5" x14ac:dyDescent="0.2">
      <c r="A5100" s="1126" t="s">
        <v>5682</v>
      </c>
      <c r="B5100" s="1127">
        <v>441</v>
      </c>
      <c r="C5100" s="1128">
        <v>838.41</v>
      </c>
      <c r="D5100" s="1128">
        <v>1141.54</v>
      </c>
      <c r="E5100" s="1126"/>
    </row>
    <row r="5101" spans="1:5" x14ac:dyDescent="0.2">
      <c r="A5101" s="1126" t="s">
        <v>5683</v>
      </c>
      <c r="B5101" s="1127">
        <v>210</v>
      </c>
      <c r="C5101" s="1128">
        <v>0</v>
      </c>
      <c r="D5101" s="1128">
        <v>97.97</v>
      </c>
      <c r="E5101" s="1126"/>
    </row>
    <row r="5102" spans="1:5" x14ac:dyDescent="0.2">
      <c r="A5102" s="1126" t="s">
        <v>5684</v>
      </c>
      <c r="B5102" s="1127">
        <v>173</v>
      </c>
      <c r="C5102" s="1128">
        <v>0.91</v>
      </c>
      <c r="D5102" s="1128">
        <v>119.83</v>
      </c>
      <c r="E5102" s="1126"/>
    </row>
    <row r="5103" spans="1:5" x14ac:dyDescent="0.2">
      <c r="A5103" s="1126" t="s">
        <v>5685</v>
      </c>
      <c r="B5103" s="1127">
        <v>93</v>
      </c>
      <c r="C5103" s="1128">
        <v>8.9600000000000009</v>
      </c>
      <c r="D5103" s="1128">
        <v>72.88</v>
      </c>
      <c r="E5103" s="1126"/>
    </row>
    <row r="5104" spans="1:5" x14ac:dyDescent="0.2">
      <c r="A5104" s="1126" t="s">
        <v>5686</v>
      </c>
      <c r="B5104" s="1127">
        <v>98</v>
      </c>
      <c r="C5104" s="1128">
        <v>0</v>
      </c>
      <c r="D5104" s="1128">
        <v>63.07</v>
      </c>
      <c r="E5104" s="1126"/>
    </row>
    <row r="5105" spans="1:5" x14ac:dyDescent="0.2">
      <c r="A5105" s="1126" t="s">
        <v>5687</v>
      </c>
      <c r="B5105" s="1127">
        <v>300</v>
      </c>
      <c r="C5105" s="1128">
        <v>0</v>
      </c>
      <c r="D5105" s="1128">
        <v>69.36</v>
      </c>
      <c r="E5105" s="1126"/>
    </row>
    <row r="5106" spans="1:5" x14ac:dyDescent="0.2">
      <c r="A5106" s="1126" t="s">
        <v>5688</v>
      </c>
      <c r="B5106" s="1127">
        <v>258</v>
      </c>
      <c r="C5106" s="1128">
        <v>0</v>
      </c>
      <c r="D5106" s="1128">
        <v>64.510000000000005</v>
      </c>
      <c r="E5106" s="1126"/>
    </row>
    <row r="5107" spans="1:5" x14ac:dyDescent="0.2">
      <c r="A5107" s="1126" t="s">
        <v>5689</v>
      </c>
      <c r="B5107" s="1127">
        <v>297</v>
      </c>
      <c r="C5107" s="1128">
        <v>0</v>
      </c>
      <c r="D5107" s="1128">
        <v>122.39</v>
      </c>
      <c r="E5107" s="1126"/>
    </row>
    <row r="5108" spans="1:5" x14ac:dyDescent="0.2">
      <c r="A5108" s="1126" t="s">
        <v>5690</v>
      </c>
      <c r="B5108" s="1127">
        <v>281</v>
      </c>
      <c r="C5108" s="1128">
        <v>334.54</v>
      </c>
      <c r="D5108" s="1128">
        <v>527.69000000000005</v>
      </c>
      <c r="E5108" s="1126"/>
    </row>
    <row r="5109" spans="1:5" x14ac:dyDescent="0.2">
      <c r="A5109" s="1126" t="s">
        <v>5691</v>
      </c>
      <c r="B5109" s="1127">
        <v>311</v>
      </c>
      <c r="C5109" s="1128">
        <v>0</v>
      </c>
      <c r="D5109" s="1128">
        <v>89.14</v>
      </c>
      <c r="E5109" s="1126"/>
    </row>
    <row r="5110" spans="1:5" x14ac:dyDescent="0.2">
      <c r="A5110" s="1126" t="s">
        <v>5692</v>
      </c>
      <c r="B5110" s="1127">
        <v>96</v>
      </c>
      <c r="C5110" s="1128">
        <v>223.14</v>
      </c>
      <c r="D5110" s="1128">
        <v>289.13</v>
      </c>
      <c r="E5110" s="1126"/>
    </row>
    <row r="5111" spans="1:5" x14ac:dyDescent="0.2">
      <c r="A5111" s="1126" t="s">
        <v>5693</v>
      </c>
      <c r="B5111" s="1127">
        <v>93</v>
      </c>
      <c r="C5111" s="1128">
        <v>157.18</v>
      </c>
      <c r="D5111" s="1128">
        <v>221.1</v>
      </c>
      <c r="E5111" s="1126"/>
    </row>
    <row r="5112" spans="1:5" x14ac:dyDescent="0.2">
      <c r="A5112" s="1126" t="s">
        <v>5694</v>
      </c>
      <c r="B5112" s="1127">
        <v>115</v>
      </c>
      <c r="C5112" s="1128">
        <v>0</v>
      </c>
      <c r="D5112" s="1128">
        <v>50.05</v>
      </c>
      <c r="E5112" s="1126"/>
    </row>
    <row r="5113" spans="1:5" x14ac:dyDescent="0.2">
      <c r="A5113" s="1126" t="s">
        <v>5695</v>
      </c>
      <c r="B5113" s="1127">
        <v>121</v>
      </c>
      <c r="C5113" s="1128">
        <v>30.96</v>
      </c>
      <c r="D5113" s="1128">
        <v>114.13</v>
      </c>
      <c r="E5113" s="1126"/>
    </row>
    <row r="5114" spans="1:5" x14ac:dyDescent="0.2">
      <c r="A5114" s="1126" t="s">
        <v>5696</v>
      </c>
      <c r="B5114" s="1127">
        <v>171</v>
      </c>
      <c r="C5114" s="1128">
        <v>140.6</v>
      </c>
      <c r="D5114" s="1128">
        <v>258.13</v>
      </c>
      <c r="E5114" s="1126"/>
    </row>
    <row r="5115" spans="1:5" x14ac:dyDescent="0.2">
      <c r="A5115" s="1126" t="s">
        <v>5697</v>
      </c>
      <c r="B5115" s="1127">
        <v>128</v>
      </c>
      <c r="C5115" s="1128">
        <v>0</v>
      </c>
      <c r="D5115" s="1128">
        <v>80.94</v>
      </c>
      <c r="E5115" s="1126"/>
    </row>
    <row r="5116" spans="1:5" x14ac:dyDescent="0.2">
      <c r="A5116" s="1126" t="s">
        <v>5698</v>
      </c>
      <c r="B5116" s="1127">
        <v>95</v>
      </c>
      <c r="C5116" s="1128">
        <v>0</v>
      </c>
      <c r="D5116" s="1128">
        <v>58.84</v>
      </c>
      <c r="E5116" s="1126"/>
    </row>
    <row r="5117" spans="1:5" x14ac:dyDescent="0.2">
      <c r="A5117" s="1126" t="s">
        <v>5699</v>
      </c>
      <c r="B5117" s="1127">
        <v>238</v>
      </c>
      <c r="C5117" s="1128">
        <v>0</v>
      </c>
      <c r="D5117" s="1128">
        <v>141.47</v>
      </c>
      <c r="E5117" s="1126"/>
    </row>
    <row r="5118" spans="1:5" x14ac:dyDescent="0.2">
      <c r="A5118" s="1126" t="s">
        <v>5700</v>
      </c>
      <c r="B5118" s="1127">
        <v>203</v>
      </c>
      <c r="C5118" s="1128">
        <v>0</v>
      </c>
      <c r="D5118" s="1128">
        <v>49.17</v>
      </c>
      <c r="E5118" s="1126"/>
    </row>
    <row r="5119" spans="1:5" x14ac:dyDescent="0.2">
      <c r="A5119" s="1126" t="s">
        <v>5701</v>
      </c>
      <c r="B5119" s="1127">
        <v>193</v>
      </c>
      <c r="C5119" s="1128">
        <v>86.67</v>
      </c>
      <c r="D5119" s="1128">
        <v>219.34</v>
      </c>
      <c r="E5119" s="1126"/>
    </row>
    <row r="5120" spans="1:5" x14ac:dyDescent="0.2">
      <c r="A5120" s="1126" t="s">
        <v>5702</v>
      </c>
      <c r="B5120" s="1127">
        <v>88</v>
      </c>
      <c r="C5120" s="1128">
        <v>17.32</v>
      </c>
      <c r="D5120" s="1128">
        <v>77.81</v>
      </c>
      <c r="E5120" s="1126"/>
    </row>
    <row r="5121" spans="1:5" x14ac:dyDescent="0.2">
      <c r="A5121" s="1126" t="s">
        <v>5703</v>
      </c>
      <c r="B5121" s="1127">
        <v>348</v>
      </c>
      <c r="C5121" s="1128">
        <v>45.49</v>
      </c>
      <c r="D5121" s="1128">
        <v>284.7</v>
      </c>
      <c r="E5121" s="1126"/>
    </row>
    <row r="5122" spans="1:5" x14ac:dyDescent="0.2">
      <c r="A5122" s="1126" t="s">
        <v>5704</v>
      </c>
      <c r="B5122" s="1127">
        <v>52</v>
      </c>
      <c r="C5122" s="1128">
        <v>70.209999999999994</v>
      </c>
      <c r="D5122" s="1128">
        <v>105.95</v>
      </c>
      <c r="E5122" s="1126"/>
    </row>
    <row r="5123" spans="1:5" x14ac:dyDescent="0.2">
      <c r="A5123" s="1126" t="s">
        <v>5705</v>
      </c>
      <c r="B5123" s="1127">
        <v>55</v>
      </c>
      <c r="C5123" s="1128">
        <v>0</v>
      </c>
      <c r="D5123" s="1128">
        <v>9.68</v>
      </c>
      <c r="E5123" s="1126"/>
    </row>
    <row r="5124" spans="1:5" x14ac:dyDescent="0.2">
      <c r="A5124" s="1126" t="s">
        <v>5706</v>
      </c>
      <c r="B5124" s="1127">
        <v>81</v>
      </c>
      <c r="C5124" s="1128">
        <v>1.17</v>
      </c>
      <c r="D5124" s="1128">
        <v>56.85</v>
      </c>
      <c r="E5124" s="1126"/>
    </row>
    <row r="5125" spans="1:5" x14ac:dyDescent="0.2">
      <c r="A5125" s="1126" t="s">
        <v>5707</v>
      </c>
      <c r="B5125" s="1127">
        <v>377</v>
      </c>
      <c r="C5125" s="1128">
        <v>0</v>
      </c>
      <c r="D5125" s="1128">
        <v>90.62</v>
      </c>
      <c r="E5125" s="1126"/>
    </row>
    <row r="5126" spans="1:5" x14ac:dyDescent="0.2">
      <c r="A5126" s="1126" t="s">
        <v>5708</v>
      </c>
      <c r="B5126" s="1127">
        <v>85</v>
      </c>
      <c r="C5126" s="1128">
        <v>0</v>
      </c>
      <c r="D5126" s="1128">
        <v>33.549999999999997</v>
      </c>
      <c r="E5126" s="1126"/>
    </row>
    <row r="5127" spans="1:5" x14ac:dyDescent="0.2">
      <c r="A5127" s="1126" t="s">
        <v>5709</v>
      </c>
      <c r="B5127" s="1127">
        <v>61</v>
      </c>
      <c r="C5127" s="1128">
        <v>0.01</v>
      </c>
      <c r="D5127" s="1128">
        <v>41.94</v>
      </c>
      <c r="E5127" s="1126"/>
    </row>
    <row r="5128" spans="1:5" x14ac:dyDescent="0.2">
      <c r="A5128" s="1126" t="s">
        <v>5710</v>
      </c>
      <c r="B5128" s="1127">
        <v>190</v>
      </c>
      <c r="C5128" s="1128">
        <v>118.63</v>
      </c>
      <c r="D5128" s="1128">
        <v>249.23</v>
      </c>
      <c r="E5128" s="1126"/>
    </row>
    <row r="5129" spans="1:5" x14ac:dyDescent="0.2">
      <c r="A5129" s="1126" t="s">
        <v>5711</v>
      </c>
      <c r="B5129" s="1127">
        <v>35</v>
      </c>
      <c r="C5129" s="1128">
        <v>0</v>
      </c>
      <c r="D5129" s="1128">
        <v>0</v>
      </c>
      <c r="E5129" s="1126" t="s">
        <v>669</v>
      </c>
    </row>
    <row r="5130" spans="1:5" x14ac:dyDescent="0.2">
      <c r="A5130" s="1126" t="s">
        <v>5712</v>
      </c>
      <c r="B5130" s="1127">
        <v>404</v>
      </c>
      <c r="C5130" s="1128">
        <v>0</v>
      </c>
      <c r="D5130" s="1128">
        <v>203.52</v>
      </c>
      <c r="E5130" s="1126"/>
    </row>
    <row r="5131" spans="1:5" x14ac:dyDescent="0.2">
      <c r="A5131" s="1126" t="s">
        <v>5713</v>
      </c>
      <c r="B5131" s="1127">
        <v>110</v>
      </c>
      <c r="C5131" s="1128">
        <v>0</v>
      </c>
      <c r="D5131" s="1128">
        <v>37.04</v>
      </c>
      <c r="E5131" s="1126"/>
    </row>
    <row r="5132" spans="1:5" x14ac:dyDescent="0.2">
      <c r="A5132" s="1126" t="s">
        <v>5714</v>
      </c>
      <c r="B5132" s="1127">
        <v>305</v>
      </c>
      <c r="C5132" s="1128">
        <v>0</v>
      </c>
      <c r="D5132" s="1128">
        <v>56.31</v>
      </c>
      <c r="E5132" s="1126"/>
    </row>
    <row r="5133" spans="1:5" x14ac:dyDescent="0.2">
      <c r="A5133" s="1126" t="s">
        <v>5715</v>
      </c>
      <c r="B5133" s="1127">
        <v>491</v>
      </c>
      <c r="C5133" s="1128">
        <v>0</v>
      </c>
      <c r="D5133" s="1128">
        <v>218.71</v>
      </c>
      <c r="E5133" s="1126"/>
    </row>
    <row r="5134" spans="1:5" x14ac:dyDescent="0.2">
      <c r="A5134" s="1126" t="s">
        <v>5716</v>
      </c>
      <c r="B5134" s="1127">
        <v>196</v>
      </c>
      <c r="C5134" s="1128">
        <v>0</v>
      </c>
      <c r="D5134" s="1128">
        <v>32.17</v>
      </c>
      <c r="E5134" s="1126"/>
    </row>
    <row r="5135" spans="1:5" x14ac:dyDescent="0.2">
      <c r="A5135" s="1126" t="s">
        <v>5717</v>
      </c>
      <c r="B5135" s="1127">
        <v>133</v>
      </c>
      <c r="C5135" s="1128">
        <v>0</v>
      </c>
      <c r="D5135" s="1128">
        <v>78.13</v>
      </c>
      <c r="E5135" s="1126"/>
    </row>
    <row r="5136" spans="1:5" x14ac:dyDescent="0.2">
      <c r="A5136" s="1126" t="s">
        <v>5718</v>
      </c>
      <c r="B5136" s="1127">
        <v>142</v>
      </c>
      <c r="C5136" s="1128">
        <v>0</v>
      </c>
      <c r="D5136" s="1128">
        <v>41.17</v>
      </c>
      <c r="E5136" s="1126"/>
    </row>
    <row r="5137" spans="1:5" x14ac:dyDescent="0.2">
      <c r="A5137" s="1126" t="s">
        <v>5719</v>
      </c>
      <c r="B5137" s="1127">
        <v>71</v>
      </c>
      <c r="C5137" s="1128">
        <v>54.06</v>
      </c>
      <c r="D5137" s="1128">
        <v>102.87</v>
      </c>
      <c r="E5137" s="1126"/>
    </row>
    <row r="5138" spans="1:5" x14ac:dyDescent="0.2">
      <c r="A5138" s="1126" t="s">
        <v>5720</v>
      </c>
      <c r="B5138" s="1127">
        <v>104</v>
      </c>
      <c r="C5138" s="1128">
        <v>44.88</v>
      </c>
      <c r="D5138" s="1128">
        <v>116.37</v>
      </c>
      <c r="E5138" s="1126"/>
    </row>
    <row r="5139" spans="1:5" x14ac:dyDescent="0.2">
      <c r="A5139" s="1126" t="s">
        <v>5721</v>
      </c>
      <c r="B5139" s="1127">
        <v>168</v>
      </c>
      <c r="C5139" s="1128">
        <v>0</v>
      </c>
      <c r="D5139" s="1128">
        <v>40.83</v>
      </c>
      <c r="E5139" s="1126"/>
    </row>
    <row r="5140" spans="1:5" x14ac:dyDescent="0.2">
      <c r="A5140" s="1126" t="s">
        <v>5722</v>
      </c>
      <c r="B5140" s="1127">
        <v>178</v>
      </c>
      <c r="C5140" s="1128">
        <v>0</v>
      </c>
      <c r="D5140" s="1128">
        <v>67.930000000000007</v>
      </c>
      <c r="E5140" s="1126"/>
    </row>
    <row r="5141" spans="1:5" x14ac:dyDescent="0.2">
      <c r="A5141" s="1126" t="s">
        <v>5723</v>
      </c>
      <c r="B5141" s="1127">
        <v>562</v>
      </c>
      <c r="C5141" s="1128">
        <v>0</v>
      </c>
      <c r="D5141" s="1128">
        <v>144.07</v>
      </c>
      <c r="E5141" s="1126"/>
    </row>
    <row r="5142" spans="1:5" x14ac:dyDescent="0.2">
      <c r="A5142" s="1126" t="s">
        <v>5724</v>
      </c>
      <c r="B5142" s="1127">
        <v>228</v>
      </c>
      <c r="C5142" s="1128">
        <v>0</v>
      </c>
      <c r="D5142" s="1128">
        <v>91.79</v>
      </c>
      <c r="E5142" s="1126"/>
    </row>
    <row r="5143" spans="1:5" x14ac:dyDescent="0.2">
      <c r="A5143" s="1126" t="s">
        <v>5725</v>
      </c>
      <c r="B5143" s="1127">
        <v>452</v>
      </c>
      <c r="C5143" s="1128">
        <v>0</v>
      </c>
      <c r="D5143" s="1128">
        <v>18.21</v>
      </c>
      <c r="E5143" s="1126"/>
    </row>
    <row r="5144" spans="1:5" x14ac:dyDescent="0.2">
      <c r="A5144" s="1126" t="s">
        <v>5726</v>
      </c>
      <c r="B5144" s="1127">
        <v>180</v>
      </c>
      <c r="C5144" s="1128">
        <v>0</v>
      </c>
      <c r="D5144" s="1128">
        <v>46.2</v>
      </c>
      <c r="E5144" s="1126"/>
    </row>
    <row r="5145" spans="1:5" x14ac:dyDescent="0.2">
      <c r="A5145" s="1126" t="s">
        <v>5727</v>
      </c>
      <c r="B5145" s="1127">
        <v>173</v>
      </c>
      <c r="C5145" s="1128">
        <v>0</v>
      </c>
      <c r="D5145" s="1128">
        <v>116.07</v>
      </c>
      <c r="E5145" s="1126"/>
    </row>
    <row r="5146" spans="1:5" x14ac:dyDescent="0.2">
      <c r="A5146" s="1126" t="s">
        <v>5728</v>
      </c>
      <c r="B5146" s="1127">
        <v>224</v>
      </c>
      <c r="C5146" s="1128">
        <v>0</v>
      </c>
      <c r="D5146" s="1128">
        <v>127.81</v>
      </c>
      <c r="E5146" s="1126"/>
    </row>
    <row r="5147" spans="1:5" x14ac:dyDescent="0.2">
      <c r="A5147" s="1126" t="s">
        <v>5729</v>
      </c>
      <c r="B5147" s="1127">
        <v>86</v>
      </c>
      <c r="C5147" s="1128">
        <v>0</v>
      </c>
      <c r="D5147" s="1128">
        <v>50.82</v>
      </c>
      <c r="E5147" s="1126"/>
    </row>
    <row r="5148" spans="1:5" x14ac:dyDescent="0.2">
      <c r="A5148" s="1126" t="s">
        <v>5730</v>
      </c>
      <c r="B5148" s="1127">
        <v>307</v>
      </c>
      <c r="C5148" s="1128">
        <v>65.87</v>
      </c>
      <c r="D5148" s="1128">
        <v>276.89</v>
      </c>
      <c r="E5148" s="1126"/>
    </row>
    <row r="5149" spans="1:5" x14ac:dyDescent="0.2">
      <c r="A5149" s="1126" t="s">
        <v>5731</v>
      </c>
      <c r="B5149" s="1127">
        <v>154</v>
      </c>
      <c r="C5149" s="1128">
        <v>0</v>
      </c>
      <c r="D5149" s="1128">
        <v>16.989999999999998</v>
      </c>
      <c r="E5149" s="1126"/>
    </row>
    <row r="5150" spans="1:5" x14ac:dyDescent="0.2">
      <c r="A5150" s="1126" t="s">
        <v>5732</v>
      </c>
      <c r="B5150" s="1127">
        <v>50</v>
      </c>
      <c r="C5150" s="1128">
        <v>7.34</v>
      </c>
      <c r="D5150" s="1128">
        <v>41.71</v>
      </c>
      <c r="E5150" s="1126"/>
    </row>
    <row r="5151" spans="1:5" x14ac:dyDescent="0.2">
      <c r="A5151" s="1126" t="s">
        <v>5733</v>
      </c>
      <c r="B5151" s="1127">
        <v>181</v>
      </c>
      <c r="C5151" s="1128">
        <v>51.54</v>
      </c>
      <c r="D5151" s="1128">
        <v>175.95</v>
      </c>
      <c r="E5151" s="1126"/>
    </row>
    <row r="5152" spans="1:5" x14ac:dyDescent="0.2">
      <c r="A5152" s="1126" t="s">
        <v>5734</v>
      </c>
      <c r="B5152" s="1127">
        <v>86</v>
      </c>
      <c r="C5152" s="1128">
        <v>0</v>
      </c>
      <c r="D5152" s="1128">
        <v>25.92</v>
      </c>
      <c r="E5152" s="1126"/>
    </row>
    <row r="5153" spans="1:5" x14ac:dyDescent="0.2">
      <c r="A5153" s="1126" t="s">
        <v>5735</v>
      </c>
      <c r="B5153" s="1127">
        <v>169</v>
      </c>
      <c r="C5153" s="1128">
        <v>11.78</v>
      </c>
      <c r="D5153" s="1128">
        <v>127.94</v>
      </c>
      <c r="E5153" s="1126"/>
    </row>
    <row r="5154" spans="1:5" x14ac:dyDescent="0.2">
      <c r="A5154" s="1126" t="s">
        <v>5736</v>
      </c>
      <c r="B5154" s="1127">
        <v>28</v>
      </c>
      <c r="C5154" s="1128">
        <v>0</v>
      </c>
      <c r="D5154" s="1128">
        <v>17.62</v>
      </c>
      <c r="E5154" s="1126" t="s">
        <v>669</v>
      </c>
    </row>
    <row r="5155" spans="1:5" x14ac:dyDescent="0.2">
      <c r="A5155" s="1126" t="s">
        <v>5737</v>
      </c>
      <c r="B5155" s="1127">
        <v>75</v>
      </c>
      <c r="C5155" s="1128">
        <v>0</v>
      </c>
      <c r="D5155" s="1128">
        <v>0</v>
      </c>
      <c r="E5155" s="1126"/>
    </row>
    <row r="5156" spans="1:5" x14ac:dyDescent="0.2">
      <c r="A5156" s="1126" t="s">
        <v>5738</v>
      </c>
      <c r="B5156" s="1127">
        <v>293</v>
      </c>
      <c r="C5156" s="1128">
        <v>313.69</v>
      </c>
      <c r="D5156" s="1128">
        <v>515.09</v>
      </c>
      <c r="E5156" s="1126"/>
    </row>
    <row r="5157" spans="1:5" x14ac:dyDescent="0.2">
      <c r="A5157" s="1126" t="s">
        <v>5739</v>
      </c>
      <c r="B5157" s="1127">
        <v>257</v>
      </c>
      <c r="C5157" s="1128">
        <v>100.74</v>
      </c>
      <c r="D5157" s="1128">
        <v>277.39</v>
      </c>
      <c r="E5157" s="1126"/>
    </row>
    <row r="5158" spans="1:5" x14ac:dyDescent="0.2">
      <c r="A5158" s="1126" t="s">
        <v>5740</v>
      </c>
      <c r="B5158" s="1127">
        <v>94</v>
      </c>
      <c r="C5158" s="1128">
        <v>24.35</v>
      </c>
      <c r="D5158" s="1128">
        <v>88.96</v>
      </c>
      <c r="E5158" s="1126"/>
    </row>
    <row r="5159" spans="1:5" x14ac:dyDescent="0.2">
      <c r="A5159" s="1126" t="s">
        <v>5741</v>
      </c>
      <c r="B5159" s="1127">
        <v>50</v>
      </c>
      <c r="C5159" s="1128">
        <v>2.86</v>
      </c>
      <c r="D5159" s="1128">
        <v>37.229999999999997</v>
      </c>
      <c r="E5159" s="1126"/>
    </row>
    <row r="5160" spans="1:5" x14ac:dyDescent="0.2">
      <c r="A5160" s="1126" t="s">
        <v>5742</v>
      </c>
      <c r="B5160" s="1127">
        <v>48</v>
      </c>
      <c r="C5160" s="1128">
        <v>0</v>
      </c>
      <c r="D5160" s="1128">
        <v>32</v>
      </c>
      <c r="E5160" s="1126"/>
    </row>
    <row r="5161" spans="1:5" x14ac:dyDescent="0.2">
      <c r="A5161" s="1126" t="s">
        <v>5743</v>
      </c>
      <c r="B5161" s="1127">
        <v>227</v>
      </c>
      <c r="C5161" s="1128">
        <v>317.54000000000002</v>
      </c>
      <c r="D5161" s="1128">
        <v>473.57</v>
      </c>
      <c r="E5161" s="1126"/>
    </row>
    <row r="5162" spans="1:5" x14ac:dyDescent="0.2">
      <c r="A5162" s="1126" t="s">
        <v>5744</v>
      </c>
      <c r="B5162" s="1127">
        <v>65</v>
      </c>
      <c r="C5162" s="1128">
        <v>0</v>
      </c>
      <c r="D5162" s="1128">
        <v>16.690000000000001</v>
      </c>
      <c r="E5162" s="1126"/>
    </row>
    <row r="5163" spans="1:5" x14ac:dyDescent="0.2">
      <c r="A5163" s="1126" t="s">
        <v>5745</v>
      </c>
      <c r="B5163" s="1127">
        <v>231</v>
      </c>
      <c r="C5163" s="1128">
        <v>503.16</v>
      </c>
      <c r="D5163" s="1128">
        <v>661.94</v>
      </c>
      <c r="E5163" s="1126"/>
    </row>
    <row r="5164" spans="1:5" x14ac:dyDescent="0.2">
      <c r="A5164" s="1126" t="s">
        <v>5746</v>
      </c>
      <c r="B5164" s="1127">
        <v>125</v>
      </c>
      <c r="C5164" s="1128">
        <v>45.07</v>
      </c>
      <c r="D5164" s="1128">
        <v>130.99</v>
      </c>
      <c r="E5164" s="1126"/>
    </row>
    <row r="5165" spans="1:5" x14ac:dyDescent="0.2">
      <c r="A5165" s="1126" t="s">
        <v>5747</v>
      </c>
      <c r="B5165" s="1127">
        <v>7</v>
      </c>
      <c r="C5165" s="1128">
        <v>0</v>
      </c>
      <c r="D5165" s="1128">
        <v>0</v>
      </c>
      <c r="E5165" s="1126" t="s">
        <v>669</v>
      </c>
    </row>
    <row r="5166" spans="1:5" x14ac:dyDescent="0.2">
      <c r="A5166" s="1126" t="s">
        <v>5748</v>
      </c>
      <c r="B5166" s="1127">
        <v>104</v>
      </c>
      <c r="C5166" s="1128">
        <v>24.94</v>
      </c>
      <c r="D5166" s="1128">
        <v>96.43</v>
      </c>
      <c r="E5166" s="1126"/>
    </row>
    <row r="5167" spans="1:5" x14ac:dyDescent="0.2">
      <c r="A5167" s="1126" t="s">
        <v>5749</v>
      </c>
      <c r="B5167" s="1127">
        <v>185</v>
      </c>
      <c r="C5167" s="1128">
        <v>45.3</v>
      </c>
      <c r="D5167" s="1128">
        <v>172.46</v>
      </c>
      <c r="E5167" s="1126"/>
    </row>
    <row r="5168" spans="1:5" x14ac:dyDescent="0.2">
      <c r="A5168" s="1126" t="s">
        <v>5750</v>
      </c>
      <c r="B5168" s="1127">
        <v>173</v>
      </c>
      <c r="C5168" s="1128">
        <v>140.81</v>
      </c>
      <c r="D5168" s="1128">
        <v>259.73</v>
      </c>
      <c r="E5168" s="1126"/>
    </row>
    <row r="5169" spans="1:5" x14ac:dyDescent="0.2">
      <c r="A5169" s="1126" t="s">
        <v>5751</v>
      </c>
      <c r="B5169" s="1127">
        <v>448</v>
      </c>
      <c r="C5169" s="1128">
        <v>108.53</v>
      </c>
      <c r="D5169" s="1128">
        <v>416.47</v>
      </c>
      <c r="E5169" s="1126"/>
    </row>
    <row r="5170" spans="1:5" x14ac:dyDescent="0.2">
      <c r="A5170" s="1126" t="s">
        <v>5752</v>
      </c>
      <c r="B5170" s="1127">
        <v>114</v>
      </c>
      <c r="C5170" s="1128">
        <v>49.45</v>
      </c>
      <c r="D5170" s="1128">
        <v>127.81</v>
      </c>
      <c r="E5170" s="1126"/>
    </row>
    <row r="5171" spans="1:5" x14ac:dyDescent="0.2">
      <c r="A5171" s="1126" t="s">
        <v>5753</v>
      </c>
      <c r="B5171" s="1127">
        <v>165</v>
      </c>
      <c r="C5171" s="1128">
        <v>0</v>
      </c>
      <c r="D5171" s="1128">
        <v>49.37</v>
      </c>
      <c r="E5171" s="1126"/>
    </row>
    <row r="5172" spans="1:5" x14ac:dyDescent="0.2">
      <c r="A5172" s="1126" t="s">
        <v>5754</v>
      </c>
      <c r="B5172" s="1127">
        <v>176</v>
      </c>
      <c r="C5172" s="1128">
        <v>463.37</v>
      </c>
      <c r="D5172" s="1128">
        <v>584.34</v>
      </c>
      <c r="E5172" s="1126"/>
    </row>
    <row r="5173" spans="1:5" x14ac:dyDescent="0.2">
      <c r="A5173" s="1126" t="s">
        <v>5755</v>
      </c>
      <c r="B5173" s="1127">
        <v>229</v>
      </c>
      <c r="C5173" s="1128">
        <v>606.16</v>
      </c>
      <c r="D5173" s="1128">
        <v>763.57</v>
      </c>
      <c r="E5173" s="1126"/>
    </row>
    <row r="5174" spans="1:5" x14ac:dyDescent="0.2">
      <c r="A5174" s="1126" t="s">
        <v>5756</v>
      </c>
      <c r="B5174" s="1127">
        <v>50</v>
      </c>
      <c r="C5174" s="1128">
        <v>0</v>
      </c>
      <c r="D5174" s="1128">
        <v>11.88</v>
      </c>
      <c r="E5174" s="1126"/>
    </row>
    <row r="5175" spans="1:5" x14ac:dyDescent="0.2">
      <c r="A5175" s="1126" t="s">
        <v>5757</v>
      </c>
      <c r="B5175" s="1127">
        <v>88</v>
      </c>
      <c r="C5175" s="1128">
        <v>250.42</v>
      </c>
      <c r="D5175" s="1128">
        <v>310.89999999999998</v>
      </c>
      <c r="E5175" s="1126"/>
    </row>
    <row r="5176" spans="1:5" x14ac:dyDescent="0.2">
      <c r="A5176" s="1126" t="s">
        <v>5758</v>
      </c>
      <c r="B5176" s="1127">
        <v>123</v>
      </c>
      <c r="C5176" s="1128">
        <v>0</v>
      </c>
      <c r="D5176" s="1128">
        <v>38.25</v>
      </c>
      <c r="E5176" s="1126"/>
    </row>
    <row r="5177" spans="1:5" x14ac:dyDescent="0.2">
      <c r="A5177" s="1126" t="s">
        <v>5759</v>
      </c>
      <c r="B5177" s="1127">
        <v>374</v>
      </c>
      <c r="C5177" s="1128">
        <v>0</v>
      </c>
      <c r="D5177" s="1128">
        <v>7.07</v>
      </c>
      <c r="E5177" s="1126"/>
    </row>
    <row r="5178" spans="1:5" x14ac:dyDescent="0.2">
      <c r="A5178" s="1126" t="s">
        <v>5760</v>
      </c>
      <c r="B5178" s="1127">
        <v>213</v>
      </c>
      <c r="C5178" s="1128">
        <v>75.540000000000006</v>
      </c>
      <c r="D5178" s="1128">
        <v>221.95</v>
      </c>
      <c r="E5178" s="1126"/>
    </row>
    <row r="5179" spans="1:5" x14ac:dyDescent="0.2">
      <c r="A5179" s="1126" t="s">
        <v>5761</v>
      </c>
      <c r="B5179" s="1127">
        <v>75</v>
      </c>
      <c r="C5179" s="1128">
        <v>0</v>
      </c>
      <c r="D5179" s="1128">
        <v>16.739999999999998</v>
      </c>
      <c r="E5179" s="1126"/>
    </row>
    <row r="5180" spans="1:5" x14ac:dyDescent="0.2">
      <c r="A5180" s="1126" t="s">
        <v>5762</v>
      </c>
      <c r="B5180" s="1127">
        <v>200</v>
      </c>
      <c r="C5180" s="1128">
        <v>0</v>
      </c>
      <c r="D5180" s="1128">
        <v>121.1</v>
      </c>
      <c r="E5180" s="1126"/>
    </row>
    <row r="5181" spans="1:5" x14ac:dyDescent="0.2">
      <c r="A5181" s="1126" t="s">
        <v>5763</v>
      </c>
      <c r="B5181" s="1127">
        <v>231</v>
      </c>
      <c r="C5181" s="1128">
        <v>0</v>
      </c>
      <c r="D5181" s="1128">
        <v>110.43</v>
      </c>
      <c r="E5181" s="1126"/>
    </row>
    <row r="5182" spans="1:5" x14ac:dyDescent="0.2">
      <c r="A5182" s="1126" t="s">
        <v>5764</v>
      </c>
      <c r="B5182" s="1127">
        <v>98</v>
      </c>
      <c r="C5182" s="1128">
        <v>71.86</v>
      </c>
      <c r="D5182" s="1128">
        <v>139.22</v>
      </c>
      <c r="E5182" s="1126"/>
    </row>
    <row r="5183" spans="1:5" x14ac:dyDescent="0.2">
      <c r="A5183" s="1126" t="s">
        <v>5765</v>
      </c>
      <c r="B5183" s="1127">
        <v>246</v>
      </c>
      <c r="C5183" s="1128">
        <v>0</v>
      </c>
      <c r="D5183" s="1128">
        <v>147.12</v>
      </c>
      <c r="E5183" s="1126"/>
    </row>
    <row r="5184" spans="1:5" x14ac:dyDescent="0.2">
      <c r="A5184" s="1126" t="s">
        <v>5766</v>
      </c>
      <c r="B5184" s="1127">
        <v>100</v>
      </c>
      <c r="C5184" s="1128">
        <v>0</v>
      </c>
      <c r="D5184" s="1128">
        <v>18.5</v>
      </c>
      <c r="E5184" s="1126"/>
    </row>
    <row r="5185" spans="1:5" x14ac:dyDescent="0.2">
      <c r="A5185" s="1126" t="s">
        <v>5767</v>
      </c>
      <c r="B5185" s="1127">
        <v>405</v>
      </c>
      <c r="C5185" s="1128">
        <v>125.31</v>
      </c>
      <c r="D5185" s="1128">
        <v>403.69</v>
      </c>
      <c r="E5185" s="1126"/>
    </row>
    <row r="5186" spans="1:5" x14ac:dyDescent="0.2">
      <c r="A5186" s="1126" t="s">
        <v>5768</v>
      </c>
      <c r="B5186" s="1127">
        <v>182</v>
      </c>
      <c r="C5186" s="1128">
        <v>313.67</v>
      </c>
      <c r="D5186" s="1128">
        <v>438.77</v>
      </c>
      <c r="E5186" s="1126"/>
    </row>
    <row r="5187" spans="1:5" x14ac:dyDescent="0.2">
      <c r="A5187" s="1126" t="s">
        <v>5769</v>
      </c>
      <c r="B5187" s="1127">
        <v>361</v>
      </c>
      <c r="C5187" s="1128">
        <v>0</v>
      </c>
      <c r="D5187" s="1128">
        <v>76.09</v>
      </c>
      <c r="E5187" s="1126"/>
    </row>
    <row r="5188" spans="1:5" x14ac:dyDescent="0.2">
      <c r="A5188" s="1126" t="s">
        <v>5770</v>
      </c>
      <c r="B5188" s="1127">
        <v>360</v>
      </c>
      <c r="C5188" s="1128">
        <v>40.25</v>
      </c>
      <c r="D5188" s="1128">
        <v>287.7</v>
      </c>
      <c r="E5188" s="1126"/>
    </row>
    <row r="5189" spans="1:5" x14ac:dyDescent="0.2">
      <c r="A5189" s="1126" t="s">
        <v>5771</v>
      </c>
      <c r="B5189" s="1127">
        <v>70</v>
      </c>
      <c r="C5189" s="1128">
        <v>33.71</v>
      </c>
      <c r="D5189" s="1128">
        <v>81.83</v>
      </c>
      <c r="E5189" s="1126"/>
    </row>
    <row r="5190" spans="1:5" x14ac:dyDescent="0.2">
      <c r="A5190" s="1126" t="s">
        <v>5772</v>
      </c>
      <c r="B5190" s="1127">
        <v>294</v>
      </c>
      <c r="C5190" s="1128">
        <v>0</v>
      </c>
      <c r="D5190" s="1128">
        <v>102.51</v>
      </c>
      <c r="E5190" s="1126"/>
    </row>
    <row r="5191" spans="1:5" x14ac:dyDescent="0.2">
      <c r="A5191" s="1126" t="s">
        <v>5773</v>
      </c>
      <c r="B5191" s="1127">
        <v>61</v>
      </c>
      <c r="C5191" s="1128">
        <v>0</v>
      </c>
      <c r="D5191" s="1128">
        <v>28.11</v>
      </c>
      <c r="E5191" s="1126"/>
    </row>
    <row r="5192" spans="1:5" x14ac:dyDescent="0.2">
      <c r="A5192" s="1126" t="s">
        <v>5774</v>
      </c>
      <c r="B5192" s="1127">
        <v>90</v>
      </c>
      <c r="C5192" s="1128">
        <v>0</v>
      </c>
      <c r="D5192" s="1128">
        <v>20.74</v>
      </c>
      <c r="E5192" s="1126"/>
    </row>
    <row r="5193" spans="1:5" x14ac:dyDescent="0.2">
      <c r="A5193" s="1126" t="s">
        <v>5775</v>
      </c>
      <c r="B5193" s="1127">
        <v>242</v>
      </c>
      <c r="C5193" s="1128">
        <v>0</v>
      </c>
      <c r="D5193" s="1128">
        <v>96.16</v>
      </c>
      <c r="E5193" s="1126"/>
    </row>
    <row r="5194" spans="1:5" x14ac:dyDescent="0.2">
      <c r="A5194" s="1126" t="s">
        <v>5776</v>
      </c>
      <c r="B5194" s="1127">
        <v>334</v>
      </c>
      <c r="C5194" s="1128">
        <v>228.34</v>
      </c>
      <c r="D5194" s="1128">
        <v>457.92</v>
      </c>
      <c r="E5194" s="1126"/>
    </row>
    <row r="5195" spans="1:5" x14ac:dyDescent="0.2">
      <c r="A5195" s="1126" t="s">
        <v>5777</v>
      </c>
      <c r="B5195" s="1127">
        <v>38</v>
      </c>
      <c r="C5195" s="1128">
        <v>18.05</v>
      </c>
      <c r="D5195" s="1128">
        <v>44.17</v>
      </c>
      <c r="E5195" s="1126" t="s">
        <v>669</v>
      </c>
    </row>
    <row r="5196" spans="1:5" x14ac:dyDescent="0.2">
      <c r="A5196" s="1126" t="s">
        <v>5778</v>
      </c>
      <c r="B5196" s="1127">
        <v>296</v>
      </c>
      <c r="C5196" s="1128">
        <v>0</v>
      </c>
      <c r="D5196" s="1128">
        <v>80.459999999999994</v>
      </c>
      <c r="E5196" s="1126"/>
    </row>
    <row r="5197" spans="1:5" x14ac:dyDescent="0.2">
      <c r="A5197" s="1126" t="s">
        <v>5779</v>
      </c>
      <c r="B5197" s="1127">
        <v>87</v>
      </c>
      <c r="C5197" s="1128">
        <v>0</v>
      </c>
      <c r="D5197" s="1128">
        <v>35.29</v>
      </c>
      <c r="E5197" s="1126"/>
    </row>
    <row r="5198" spans="1:5" x14ac:dyDescent="0.2">
      <c r="A5198" s="1126" t="s">
        <v>5780</v>
      </c>
      <c r="B5198" s="1127">
        <v>128</v>
      </c>
      <c r="C5198" s="1128">
        <v>0</v>
      </c>
      <c r="D5198" s="1128">
        <v>9.26</v>
      </c>
      <c r="E5198" s="1126"/>
    </row>
    <row r="5199" spans="1:5" x14ac:dyDescent="0.2">
      <c r="A5199" s="1126" t="s">
        <v>5781</v>
      </c>
      <c r="B5199" s="1127">
        <v>434</v>
      </c>
      <c r="C5199" s="1128">
        <v>0</v>
      </c>
      <c r="D5199" s="1128">
        <v>0</v>
      </c>
      <c r="E5199" s="1126"/>
    </row>
    <row r="5200" spans="1:5" x14ac:dyDescent="0.2">
      <c r="A5200" s="1126" t="s">
        <v>5782</v>
      </c>
      <c r="B5200" s="1127">
        <v>320</v>
      </c>
      <c r="C5200" s="1128">
        <v>117.59</v>
      </c>
      <c r="D5200" s="1128">
        <v>337.55</v>
      </c>
      <c r="E5200" s="1126"/>
    </row>
    <row r="5201" spans="1:5" x14ac:dyDescent="0.2">
      <c r="A5201" s="1126" t="s">
        <v>5783</v>
      </c>
      <c r="B5201" s="1127">
        <v>236</v>
      </c>
      <c r="C5201" s="1128">
        <v>0</v>
      </c>
      <c r="D5201" s="1128">
        <v>79.52</v>
      </c>
      <c r="E5201" s="1126"/>
    </row>
    <row r="5202" spans="1:5" x14ac:dyDescent="0.2">
      <c r="A5202" s="1126" t="s">
        <v>5784</v>
      </c>
      <c r="B5202" s="1127">
        <v>58</v>
      </c>
      <c r="C5202" s="1128">
        <v>0</v>
      </c>
      <c r="D5202" s="1128">
        <v>38.25</v>
      </c>
      <c r="E5202" s="1126"/>
    </row>
    <row r="5203" spans="1:5" x14ac:dyDescent="0.2">
      <c r="A5203" s="1126" t="s">
        <v>5785</v>
      </c>
      <c r="B5203" s="1127">
        <v>107</v>
      </c>
      <c r="C5203" s="1128">
        <v>103.21</v>
      </c>
      <c r="D5203" s="1128">
        <v>176.76</v>
      </c>
      <c r="E5203" s="1126"/>
    </row>
    <row r="5204" spans="1:5" x14ac:dyDescent="0.2">
      <c r="A5204" s="1126" t="s">
        <v>5786</v>
      </c>
      <c r="B5204" s="1127">
        <v>184</v>
      </c>
      <c r="C5204" s="1128">
        <v>144.80000000000001</v>
      </c>
      <c r="D5204" s="1128">
        <v>271.27</v>
      </c>
      <c r="E5204" s="1126"/>
    </row>
    <row r="5205" spans="1:5" x14ac:dyDescent="0.2">
      <c r="A5205" s="1126" t="s">
        <v>5787</v>
      </c>
      <c r="B5205" s="1127">
        <v>344</v>
      </c>
      <c r="C5205" s="1128">
        <v>55.68</v>
      </c>
      <c r="D5205" s="1128">
        <v>292.13</v>
      </c>
      <c r="E5205" s="1126"/>
    </row>
    <row r="5206" spans="1:5" x14ac:dyDescent="0.2">
      <c r="A5206" s="1126" t="s">
        <v>5788</v>
      </c>
      <c r="B5206" s="1127">
        <v>218</v>
      </c>
      <c r="C5206" s="1128">
        <v>707.19</v>
      </c>
      <c r="D5206" s="1128">
        <v>857.04</v>
      </c>
      <c r="E5206" s="1126"/>
    </row>
    <row r="5207" spans="1:5" x14ac:dyDescent="0.2">
      <c r="A5207" s="1126" t="s">
        <v>5789</v>
      </c>
      <c r="B5207" s="1127">
        <v>253</v>
      </c>
      <c r="C5207" s="1128">
        <v>0</v>
      </c>
      <c r="D5207" s="1128">
        <v>108.72</v>
      </c>
      <c r="E5207" s="1126"/>
    </row>
    <row r="5208" spans="1:5" x14ac:dyDescent="0.2">
      <c r="A5208" s="1126" t="s">
        <v>5790</v>
      </c>
      <c r="B5208" s="1127">
        <v>147</v>
      </c>
      <c r="C5208" s="1128">
        <v>0</v>
      </c>
      <c r="D5208" s="1128">
        <v>28.66</v>
      </c>
      <c r="E5208" s="1126"/>
    </row>
    <row r="5209" spans="1:5" x14ac:dyDescent="0.2">
      <c r="A5209" s="1126" t="s">
        <v>5791</v>
      </c>
      <c r="B5209" s="1127">
        <v>214</v>
      </c>
      <c r="C5209" s="1128">
        <v>47.77</v>
      </c>
      <c r="D5209" s="1128">
        <v>194.87</v>
      </c>
      <c r="E5209" s="1126"/>
    </row>
    <row r="5210" spans="1:5" x14ac:dyDescent="0.2">
      <c r="A5210" s="1126" t="s">
        <v>5792</v>
      </c>
      <c r="B5210" s="1127">
        <v>175</v>
      </c>
      <c r="C5210" s="1128">
        <v>384.57</v>
      </c>
      <c r="D5210" s="1128">
        <v>504.86</v>
      </c>
      <c r="E5210" s="1126"/>
    </row>
    <row r="5211" spans="1:5" x14ac:dyDescent="0.2">
      <c r="A5211" s="1126" t="s">
        <v>5793</v>
      </c>
      <c r="B5211" s="1127">
        <v>61</v>
      </c>
      <c r="C5211" s="1128">
        <v>33.700000000000003</v>
      </c>
      <c r="D5211" s="1128">
        <v>75.63</v>
      </c>
      <c r="E5211" s="1126"/>
    </row>
    <row r="5212" spans="1:5" x14ac:dyDescent="0.2">
      <c r="A5212" s="1126" t="s">
        <v>5794</v>
      </c>
      <c r="B5212" s="1127">
        <v>503</v>
      </c>
      <c r="C5212" s="1128">
        <v>600.6</v>
      </c>
      <c r="D5212" s="1128">
        <v>946.35</v>
      </c>
      <c r="E5212" s="1126"/>
    </row>
    <row r="5213" spans="1:5" x14ac:dyDescent="0.2">
      <c r="A5213" s="1126" t="s">
        <v>5795</v>
      </c>
      <c r="B5213" s="1127">
        <v>34</v>
      </c>
      <c r="C5213" s="1128">
        <v>0</v>
      </c>
      <c r="D5213" s="1128">
        <v>14.26</v>
      </c>
      <c r="E5213" s="1126" t="s">
        <v>669</v>
      </c>
    </row>
    <row r="5214" spans="1:5" x14ac:dyDescent="0.2">
      <c r="A5214" s="1126" t="s">
        <v>5796</v>
      </c>
      <c r="B5214" s="1127">
        <v>40</v>
      </c>
      <c r="C5214" s="1128">
        <v>1.22</v>
      </c>
      <c r="D5214" s="1128">
        <v>28.71</v>
      </c>
      <c r="E5214" s="1126" t="s">
        <v>669</v>
      </c>
    </row>
    <row r="5215" spans="1:5" x14ac:dyDescent="0.2">
      <c r="A5215" s="1126" t="s">
        <v>5797</v>
      </c>
      <c r="B5215" s="1127">
        <v>101</v>
      </c>
      <c r="C5215" s="1128">
        <v>0</v>
      </c>
      <c r="D5215" s="1128">
        <v>68.31</v>
      </c>
      <c r="E5215" s="1126"/>
    </row>
    <row r="5216" spans="1:5" x14ac:dyDescent="0.2">
      <c r="A5216" s="1126" t="s">
        <v>5798</v>
      </c>
      <c r="B5216" s="1127">
        <v>329</v>
      </c>
      <c r="C5216" s="1128">
        <v>0</v>
      </c>
      <c r="D5216" s="1128">
        <v>0</v>
      </c>
      <c r="E5216" s="1126"/>
    </row>
    <row r="5217" spans="1:5" x14ac:dyDescent="0.2">
      <c r="A5217" s="1126" t="s">
        <v>5799</v>
      </c>
      <c r="B5217" s="1127">
        <v>53</v>
      </c>
      <c r="C5217" s="1128">
        <v>214</v>
      </c>
      <c r="D5217" s="1128">
        <v>250.43</v>
      </c>
      <c r="E5217" s="1126"/>
    </row>
    <row r="5218" spans="1:5" x14ac:dyDescent="0.2">
      <c r="A5218" s="1126" t="s">
        <v>5800</v>
      </c>
      <c r="B5218" s="1127">
        <v>264</v>
      </c>
      <c r="C5218" s="1128">
        <v>798.36</v>
      </c>
      <c r="D5218" s="1128">
        <v>979.82</v>
      </c>
      <c r="E5218" s="1126"/>
    </row>
    <row r="5219" spans="1:5" x14ac:dyDescent="0.2">
      <c r="A5219" s="1126" t="s">
        <v>5801</v>
      </c>
      <c r="B5219" s="1127">
        <v>522</v>
      </c>
      <c r="C5219" s="1128">
        <v>0</v>
      </c>
      <c r="D5219" s="1128">
        <v>17.29</v>
      </c>
      <c r="E5219" s="1126"/>
    </row>
    <row r="5220" spans="1:5" x14ac:dyDescent="0.2">
      <c r="A5220" s="1126" t="s">
        <v>5802</v>
      </c>
      <c r="B5220" s="1127">
        <v>74</v>
      </c>
      <c r="C5220" s="1128">
        <v>0</v>
      </c>
      <c r="D5220" s="1128">
        <v>15.22</v>
      </c>
      <c r="E5220" s="1126"/>
    </row>
    <row r="5221" spans="1:5" x14ac:dyDescent="0.2">
      <c r="A5221" s="1126" t="s">
        <v>5803</v>
      </c>
      <c r="B5221" s="1127">
        <v>71</v>
      </c>
      <c r="C5221" s="1128">
        <v>0</v>
      </c>
      <c r="D5221" s="1128">
        <v>10.1</v>
      </c>
      <c r="E5221" s="1126"/>
    </row>
    <row r="5222" spans="1:5" x14ac:dyDescent="0.2">
      <c r="A5222" s="1126" t="s">
        <v>5804</v>
      </c>
      <c r="B5222" s="1127">
        <v>198</v>
      </c>
      <c r="C5222" s="1128">
        <v>69.31</v>
      </c>
      <c r="D5222" s="1128">
        <v>205.41</v>
      </c>
      <c r="E5222" s="1126"/>
    </row>
    <row r="5223" spans="1:5" x14ac:dyDescent="0.2">
      <c r="A5223" s="1126" t="s">
        <v>5805</v>
      </c>
      <c r="B5223" s="1127">
        <v>217</v>
      </c>
      <c r="C5223" s="1128">
        <v>345.98</v>
      </c>
      <c r="D5223" s="1128">
        <v>495.13</v>
      </c>
      <c r="E5223" s="1126"/>
    </row>
    <row r="5224" spans="1:5" x14ac:dyDescent="0.2">
      <c r="A5224" s="1126" t="s">
        <v>5806</v>
      </c>
      <c r="B5224" s="1127">
        <v>73</v>
      </c>
      <c r="C5224" s="1128">
        <v>0</v>
      </c>
      <c r="D5224" s="1128">
        <v>23.48</v>
      </c>
      <c r="E5224" s="1126"/>
    </row>
    <row r="5225" spans="1:5" x14ac:dyDescent="0.2">
      <c r="A5225" s="1126" t="s">
        <v>5807</v>
      </c>
      <c r="B5225" s="1127">
        <v>102</v>
      </c>
      <c r="C5225" s="1128">
        <v>197.31</v>
      </c>
      <c r="D5225" s="1128">
        <v>267.42</v>
      </c>
      <c r="E5225" s="1126"/>
    </row>
    <row r="5226" spans="1:5" x14ac:dyDescent="0.2">
      <c r="A5226" s="1126" t="s">
        <v>5808</v>
      </c>
      <c r="B5226" s="1127">
        <v>254</v>
      </c>
      <c r="C5226" s="1128">
        <v>20.07</v>
      </c>
      <c r="D5226" s="1128">
        <v>194.66</v>
      </c>
      <c r="E5226" s="1126"/>
    </row>
    <row r="5227" spans="1:5" x14ac:dyDescent="0.2">
      <c r="A5227" s="1126" t="s">
        <v>5809</v>
      </c>
      <c r="B5227" s="1127">
        <v>148</v>
      </c>
      <c r="C5227" s="1128">
        <v>283.77</v>
      </c>
      <c r="D5227" s="1128">
        <v>385.5</v>
      </c>
      <c r="E5227" s="1126"/>
    </row>
    <row r="5228" spans="1:5" x14ac:dyDescent="0.2">
      <c r="A5228" s="1126" t="s">
        <v>5810</v>
      </c>
      <c r="B5228" s="1127">
        <v>31</v>
      </c>
      <c r="C5228" s="1128">
        <v>0</v>
      </c>
      <c r="D5228" s="1128">
        <v>19.649999999999999</v>
      </c>
      <c r="E5228" s="1126" t="s">
        <v>669</v>
      </c>
    </row>
    <row r="5229" spans="1:5" x14ac:dyDescent="0.2">
      <c r="A5229" s="1126" t="s">
        <v>5811</v>
      </c>
      <c r="B5229" s="1127">
        <v>559</v>
      </c>
      <c r="C5229" s="1128">
        <v>1708.61</v>
      </c>
      <c r="D5229" s="1128">
        <v>2092.85</v>
      </c>
      <c r="E5229" s="1126"/>
    </row>
    <row r="5230" spans="1:5" x14ac:dyDescent="0.2">
      <c r="A5230" s="1126" t="s">
        <v>5812</v>
      </c>
      <c r="B5230" s="1127">
        <v>297</v>
      </c>
      <c r="C5230" s="1128">
        <v>345.16</v>
      </c>
      <c r="D5230" s="1128">
        <v>549.30999999999995</v>
      </c>
      <c r="E5230" s="1126"/>
    </row>
    <row r="5231" spans="1:5" x14ac:dyDescent="0.2">
      <c r="A5231" s="1126" t="s">
        <v>5813</v>
      </c>
      <c r="B5231" s="1127">
        <v>89</v>
      </c>
      <c r="C5231" s="1128">
        <v>0</v>
      </c>
      <c r="D5231" s="1128">
        <v>10.29</v>
      </c>
      <c r="E5231" s="1126"/>
    </row>
    <row r="5232" spans="1:5" x14ac:dyDescent="0.2">
      <c r="A5232" s="1126" t="s">
        <v>5814</v>
      </c>
      <c r="B5232" s="1127">
        <v>175</v>
      </c>
      <c r="C5232" s="1128">
        <v>65.739999999999995</v>
      </c>
      <c r="D5232" s="1128">
        <v>186.02</v>
      </c>
      <c r="E5232" s="1126"/>
    </row>
    <row r="5233" spans="1:5" x14ac:dyDescent="0.2">
      <c r="A5233" s="1126" t="s">
        <v>5815</v>
      </c>
      <c r="B5233" s="1127">
        <v>241</v>
      </c>
      <c r="C5233" s="1128">
        <v>0</v>
      </c>
      <c r="D5233" s="1128">
        <v>142.25</v>
      </c>
      <c r="E5233" s="1126"/>
    </row>
    <row r="5234" spans="1:5" x14ac:dyDescent="0.2">
      <c r="A5234" s="1126" t="s">
        <v>5816</v>
      </c>
      <c r="B5234" s="1127">
        <v>325</v>
      </c>
      <c r="C5234" s="1128">
        <v>419.59</v>
      </c>
      <c r="D5234" s="1128">
        <v>642.98</v>
      </c>
      <c r="E5234" s="1126"/>
    </row>
    <row r="5235" spans="1:5" x14ac:dyDescent="0.2">
      <c r="A5235" s="1126" t="s">
        <v>5817</v>
      </c>
      <c r="B5235" s="1127">
        <v>241</v>
      </c>
      <c r="C5235" s="1128">
        <v>0</v>
      </c>
      <c r="D5235" s="1128">
        <v>53.44</v>
      </c>
      <c r="E5235" s="1126"/>
    </row>
    <row r="5236" spans="1:5" x14ac:dyDescent="0.2">
      <c r="A5236" s="1126" t="s">
        <v>5818</v>
      </c>
      <c r="B5236" s="1127">
        <v>312</v>
      </c>
      <c r="C5236" s="1128">
        <v>0</v>
      </c>
      <c r="D5236" s="1128">
        <v>70.260000000000005</v>
      </c>
      <c r="E5236" s="1126"/>
    </row>
    <row r="5237" spans="1:5" x14ac:dyDescent="0.2">
      <c r="A5237" s="1126" t="s">
        <v>5819</v>
      </c>
      <c r="B5237" s="1127">
        <v>189</v>
      </c>
      <c r="C5237" s="1128">
        <v>62.48</v>
      </c>
      <c r="D5237" s="1128">
        <v>192.39</v>
      </c>
      <c r="E5237" s="1126"/>
    </row>
    <row r="5238" spans="1:5" x14ac:dyDescent="0.2">
      <c r="A5238" s="1126" t="s">
        <v>5820</v>
      </c>
      <c r="B5238" s="1127">
        <v>114</v>
      </c>
      <c r="C5238" s="1128">
        <v>0</v>
      </c>
      <c r="D5238" s="1128">
        <v>62.88</v>
      </c>
      <c r="E5238" s="1126"/>
    </row>
    <row r="5239" spans="1:5" x14ac:dyDescent="0.2">
      <c r="A5239" s="1126" t="s">
        <v>5821</v>
      </c>
      <c r="B5239" s="1127">
        <v>220</v>
      </c>
      <c r="C5239" s="1128">
        <v>13.52</v>
      </c>
      <c r="D5239" s="1128">
        <v>164.74</v>
      </c>
      <c r="E5239" s="1126"/>
    </row>
    <row r="5240" spans="1:5" x14ac:dyDescent="0.2">
      <c r="A5240" s="1126" t="s">
        <v>5822</v>
      </c>
      <c r="B5240" s="1127">
        <v>43</v>
      </c>
      <c r="C5240" s="1128">
        <v>50.78</v>
      </c>
      <c r="D5240" s="1128">
        <v>80.34</v>
      </c>
      <c r="E5240" s="1126"/>
    </row>
    <row r="5241" spans="1:5" x14ac:dyDescent="0.2">
      <c r="A5241" s="1126" t="s">
        <v>5823</v>
      </c>
      <c r="B5241" s="1127">
        <v>447</v>
      </c>
      <c r="C5241" s="1128">
        <v>0</v>
      </c>
      <c r="D5241" s="1128">
        <v>213.78</v>
      </c>
      <c r="E5241" s="1126"/>
    </row>
    <row r="5242" spans="1:5" x14ac:dyDescent="0.2">
      <c r="A5242" s="1126" t="s">
        <v>5824</v>
      </c>
      <c r="B5242" s="1127">
        <v>133</v>
      </c>
      <c r="C5242" s="1128">
        <v>0</v>
      </c>
      <c r="D5242" s="1128">
        <v>65.2</v>
      </c>
      <c r="E5242" s="1126"/>
    </row>
    <row r="5243" spans="1:5" x14ac:dyDescent="0.2">
      <c r="A5243" s="1126" t="s">
        <v>5825</v>
      </c>
      <c r="B5243" s="1127">
        <v>88</v>
      </c>
      <c r="C5243" s="1128">
        <v>0</v>
      </c>
      <c r="D5243" s="1128">
        <v>39.67</v>
      </c>
      <c r="E5243" s="1126"/>
    </row>
    <row r="5244" spans="1:5" x14ac:dyDescent="0.2">
      <c r="A5244" s="1126" t="s">
        <v>5826</v>
      </c>
      <c r="B5244" s="1127">
        <v>280</v>
      </c>
      <c r="C5244" s="1128">
        <v>679.2</v>
      </c>
      <c r="D5244" s="1128">
        <v>871.67</v>
      </c>
      <c r="E5244" s="1126"/>
    </row>
    <row r="5245" spans="1:5" x14ac:dyDescent="0.2">
      <c r="A5245" s="1126" t="s">
        <v>5827</v>
      </c>
      <c r="B5245" s="1127">
        <v>162</v>
      </c>
      <c r="C5245" s="1128">
        <v>4.17</v>
      </c>
      <c r="D5245" s="1128">
        <v>115.52</v>
      </c>
      <c r="E5245" s="1126"/>
    </row>
    <row r="5246" spans="1:5" x14ac:dyDescent="0.2">
      <c r="A5246" s="1126" t="s">
        <v>5828</v>
      </c>
      <c r="B5246" s="1127">
        <v>59</v>
      </c>
      <c r="C5246" s="1128">
        <v>50.38</v>
      </c>
      <c r="D5246" s="1128">
        <v>90.94</v>
      </c>
      <c r="E5246" s="1126"/>
    </row>
    <row r="5247" spans="1:5" x14ac:dyDescent="0.2">
      <c r="A5247" s="1126" t="s">
        <v>5829</v>
      </c>
      <c r="B5247" s="1127">
        <v>322</v>
      </c>
      <c r="C5247" s="1128">
        <v>124.14</v>
      </c>
      <c r="D5247" s="1128">
        <v>345.47</v>
      </c>
      <c r="E5247" s="1126"/>
    </row>
    <row r="5248" spans="1:5" x14ac:dyDescent="0.2">
      <c r="A5248" s="1126" t="s">
        <v>5830</v>
      </c>
      <c r="B5248" s="1127">
        <v>161</v>
      </c>
      <c r="C5248" s="1128">
        <v>261.37</v>
      </c>
      <c r="D5248" s="1128">
        <v>372.04</v>
      </c>
      <c r="E5248" s="1126"/>
    </row>
    <row r="5249" spans="1:5" x14ac:dyDescent="0.2">
      <c r="A5249" s="1126" t="s">
        <v>5831</v>
      </c>
      <c r="B5249" s="1127">
        <v>208</v>
      </c>
      <c r="C5249" s="1128">
        <v>487.87</v>
      </c>
      <c r="D5249" s="1128">
        <v>630.85</v>
      </c>
      <c r="E5249" s="1126"/>
    </row>
    <row r="5250" spans="1:5" x14ac:dyDescent="0.2">
      <c r="A5250" s="1126" t="s">
        <v>5832</v>
      </c>
      <c r="B5250" s="1127">
        <v>176</v>
      </c>
      <c r="C5250" s="1128">
        <v>526.48</v>
      </c>
      <c r="D5250" s="1128">
        <v>647.45000000000005</v>
      </c>
      <c r="E5250" s="1126"/>
    </row>
    <row r="5251" spans="1:5" x14ac:dyDescent="0.2">
      <c r="A5251" s="1126" t="s">
        <v>5833</v>
      </c>
      <c r="B5251" s="1127">
        <v>157</v>
      </c>
      <c r="C5251" s="1128">
        <v>299.02999999999997</v>
      </c>
      <c r="D5251" s="1128">
        <v>406.94</v>
      </c>
      <c r="E5251" s="1126"/>
    </row>
    <row r="5252" spans="1:5" x14ac:dyDescent="0.2">
      <c r="A5252" s="1126" t="s">
        <v>5834</v>
      </c>
      <c r="B5252" s="1127">
        <v>232</v>
      </c>
      <c r="C5252" s="1128">
        <v>0</v>
      </c>
      <c r="D5252" s="1128">
        <v>109.43</v>
      </c>
      <c r="E5252" s="1126"/>
    </row>
    <row r="5253" spans="1:5" x14ac:dyDescent="0.2">
      <c r="A5253" s="1126" t="s">
        <v>5835</v>
      </c>
      <c r="B5253" s="1127">
        <v>43</v>
      </c>
      <c r="C5253" s="1128">
        <v>29.63</v>
      </c>
      <c r="D5253" s="1128">
        <v>59.19</v>
      </c>
      <c r="E5253" s="1126"/>
    </row>
    <row r="5254" spans="1:5" x14ac:dyDescent="0.2">
      <c r="A5254" s="1126" t="s">
        <v>5836</v>
      </c>
      <c r="B5254" s="1127">
        <v>183</v>
      </c>
      <c r="C5254" s="1128">
        <v>0</v>
      </c>
      <c r="D5254" s="1128">
        <v>86.49</v>
      </c>
      <c r="E5254" s="1126"/>
    </row>
    <row r="5255" spans="1:5" x14ac:dyDescent="0.2">
      <c r="A5255" s="1126" t="s">
        <v>5837</v>
      </c>
      <c r="B5255" s="1127">
        <v>483</v>
      </c>
      <c r="C5255" s="1128">
        <v>1254.99</v>
      </c>
      <c r="D5255" s="1128">
        <v>1586.99</v>
      </c>
      <c r="E5255" s="1126"/>
    </row>
    <row r="5256" spans="1:5" x14ac:dyDescent="0.2">
      <c r="A5256" s="1126" t="s">
        <v>5838</v>
      </c>
      <c r="B5256" s="1127">
        <v>107</v>
      </c>
      <c r="C5256" s="1128">
        <v>0</v>
      </c>
      <c r="D5256" s="1128">
        <v>16.190000000000001</v>
      </c>
      <c r="E5256" s="1126"/>
    </row>
    <row r="5257" spans="1:5" x14ac:dyDescent="0.2">
      <c r="A5257" s="1126" t="s">
        <v>5839</v>
      </c>
      <c r="B5257" s="1127">
        <v>560</v>
      </c>
      <c r="C5257" s="1128">
        <v>0</v>
      </c>
      <c r="D5257" s="1128">
        <v>153.59</v>
      </c>
      <c r="E5257" s="1126"/>
    </row>
    <row r="5258" spans="1:5" x14ac:dyDescent="0.2">
      <c r="A5258" s="1126" t="s">
        <v>5840</v>
      </c>
      <c r="B5258" s="1127">
        <v>355</v>
      </c>
      <c r="C5258" s="1128">
        <v>0</v>
      </c>
      <c r="D5258" s="1128">
        <v>36.299999999999997</v>
      </c>
      <c r="E5258" s="1126"/>
    </row>
    <row r="5259" spans="1:5" x14ac:dyDescent="0.2">
      <c r="A5259" s="1126" t="s">
        <v>5841</v>
      </c>
      <c r="B5259" s="1127">
        <v>154</v>
      </c>
      <c r="C5259" s="1128">
        <v>0</v>
      </c>
      <c r="D5259" s="1128">
        <v>39.93</v>
      </c>
      <c r="E5259" s="1126"/>
    </row>
    <row r="5260" spans="1:5" x14ac:dyDescent="0.2">
      <c r="A5260" s="1126" t="s">
        <v>5842</v>
      </c>
      <c r="B5260" s="1127">
        <v>121</v>
      </c>
      <c r="C5260" s="1128">
        <v>77.03</v>
      </c>
      <c r="D5260" s="1128">
        <v>160.19999999999999</v>
      </c>
      <c r="E5260" s="1126"/>
    </row>
    <row r="5261" spans="1:5" x14ac:dyDescent="0.2">
      <c r="A5261" s="1126" t="s">
        <v>5843</v>
      </c>
      <c r="B5261" s="1127">
        <v>106</v>
      </c>
      <c r="C5261" s="1128">
        <v>24.94</v>
      </c>
      <c r="D5261" s="1128">
        <v>97.8</v>
      </c>
      <c r="E5261" s="1126"/>
    </row>
    <row r="5262" spans="1:5" x14ac:dyDescent="0.2">
      <c r="A5262" s="1126" t="s">
        <v>5844</v>
      </c>
      <c r="B5262" s="1127">
        <v>76</v>
      </c>
      <c r="C5262" s="1128">
        <v>0</v>
      </c>
      <c r="D5262" s="1128">
        <v>43.72</v>
      </c>
      <c r="E5262" s="1126"/>
    </row>
    <row r="5263" spans="1:5" x14ac:dyDescent="0.2">
      <c r="A5263" s="1126" t="s">
        <v>5845</v>
      </c>
      <c r="B5263" s="1127">
        <v>120</v>
      </c>
      <c r="C5263" s="1128">
        <v>135.94</v>
      </c>
      <c r="D5263" s="1128">
        <v>218.42</v>
      </c>
      <c r="E5263" s="1126"/>
    </row>
    <row r="5264" spans="1:5" x14ac:dyDescent="0.2">
      <c r="A5264" s="1126" t="s">
        <v>5846</v>
      </c>
      <c r="B5264" s="1127">
        <v>140</v>
      </c>
      <c r="C5264" s="1128">
        <v>0.31</v>
      </c>
      <c r="D5264" s="1128">
        <v>96.55</v>
      </c>
      <c r="E5264" s="1126"/>
    </row>
    <row r="5265" spans="1:5" x14ac:dyDescent="0.2">
      <c r="A5265" s="1126" t="s">
        <v>5847</v>
      </c>
      <c r="B5265" s="1127">
        <v>70</v>
      </c>
      <c r="C5265" s="1128">
        <v>0</v>
      </c>
      <c r="D5265" s="1128">
        <v>0</v>
      </c>
      <c r="E5265" s="1126"/>
    </row>
    <row r="5266" spans="1:5" x14ac:dyDescent="0.2">
      <c r="A5266" s="1126" t="s">
        <v>5848</v>
      </c>
      <c r="B5266" s="1127">
        <v>182</v>
      </c>
      <c r="C5266" s="1128">
        <v>171.27</v>
      </c>
      <c r="D5266" s="1128">
        <v>296.37</v>
      </c>
      <c r="E5266" s="1126"/>
    </row>
    <row r="5267" spans="1:5" x14ac:dyDescent="0.2">
      <c r="A5267" s="1126" t="s">
        <v>5849</v>
      </c>
      <c r="B5267" s="1127">
        <v>108</v>
      </c>
      <c r="C5267" s="1128">
        <v>0</v>
      </c>
      <c r="D5267" s="1128">
        <v>60.28</v>
      </c>
      <c r="E5267" s="1126"/>
    </row>
    <row r="5268" spans="1:5" x14ac:dyDescent="0.2">
      <c r="A5268" s="1126" t="s">
        <v>5850</v>
      </c>
      <c r="B5268" s="1127">
        <v>131</v>
      </c>
      <c r="C5268" s="1128">
        <v>13.99</v>
      </c>
      <c r="D5268" s="1128">
        <v>104.03</v>
      </c>
      <c r="E5268" s="1126"/>
    </row>
    <row r="5269" spans="1:5" x14ac:dyDescent="0.2">
      <c r="A5269" s="1126" t="s">
        <v>5851</v>
      </c>
      <c r="B5269" s="1127">
        <v>156</v>
      </c>
      <c r="C5269" s="1128">
        <v>0</v>
      </c>
      <c r="D5269" s="1128">
        <v>75.52</v>
      </c>
      <c r="E5269" s="1126"/>
    </row>
    <row r="5270" spans="1:5" x14ac:dyDescent="0.2">
      <c r="A5270" s="1126" t="s">
        <v>5852</v>
      </c>
      <c r="B5270" s="1127">
        <v>62</v>
      </c>
      <c r="C5270" s="1128">
        <v>0</v>
      </c>
      <c r="D5270" s="1128">
        <v>31.19</v>
      </c>
      <c r="E5270" s="1126"/>
    </row>
    <row r="5271" spans="1:5" x14ac:dyDescent="0.2">
      <c r="A5271" s="1126" t="s">
        <v>5853</v>
      </c>
      <c r="B5271" s="1127">
        <v>344</v>
      </c>
      <c r="C5271" s="1128">
        <v>0</v>
      </c>
      <c r="D5271" s="1128">
        <v>72.45</v>
      </c>
      <c r="E5271" s="1126"/>
    </row>
    <row r="5272" spans="1:5" x14ac:dyDescent="0.2">
      <c r="A5272" s="1126" t="s">
        <v>5854</v>
      </c>
      <c r="B5272" s="1127">
        <v>103</v>
      </c>
      <c r="C5272" s="1128">
        <v>0</v>
      </c>
      <c r="D5272" s="1128">
        <v>66.19</v>
      </c>
      <c r="E5272" s="1126"/>
    </row>
    <row r="5273" spans="1:5" x14ac:dyDescent="0.2">
      <c r="A5273" s="1126" t="s">
        <v>5855</v>
      </c>
      <c r="B5273" s="1127">
        <v>200</v>
      </c>
      <c r="C5273" s="1128">
        <v>131.56</v>
      </c>
      <c r="D5273" s="1128">
        <v>269.02999999999997</v>
      </c>
      <c r="E5273" s="1126"/>
    </row>
    <row r="5274" spans="1:5" x14ac:dyDescent="0.2">
      <c r="A5274" s="1126" t="s">
        <v>5856</v>
      </c>
      <c r="B5274" s="1127">
        <v>813</v>
      </c>
      <c r="C5274" s="1128">
        <v>665.15</v>
      </c>
      <c r="D5274" s="1128">
        <v>1223.97</v>
      </c>
      <c r="E5274" s="1126"/>
    </row>
    <row r="5275" spans="1:5" x14ac:dyDescent="0.2">
      <c r="A5275" s="1126" t="s">
        <v>5857</v>
      </c>
      <c r="B5275" s="1127">
        <v>70</v>
      </c>
      <c r="C5275" s="1128">
        <v>30.16</v>
      </c>
      <c r="D5275" s="1128">
        <v>78.27</v>
      </c>
      <c r="E5275" s="1126"/>
    </row>
    <row r="5276" spans="1:5" x14ac:dyDescent="0.2">
      <c r="A5276" s="1126" t="s">
        <v>5858</v>
      </c>
      <c r="B5276" s="1127">
        <v>46</v>
      </c>
      <c r="C5276" s="1128">
        <v>0</v>
      </c>
      <c r="D5276" s="1128">
        <v>9.11</v>
      </c>
      <c r="E5276" s="1126"/>
    </row>
    <row r="5277" spans="1:5" x14ac:dyDescent="0.2">
      <c r="A5277" s="1126" t="s">
        <v>5859</v>
      </c>
      <c r="B5277" s="1127">
        <v>58</v>
      </c>
      <c r="C5277" s="1128">
        <v>0.71</v>
      </c>
      <c r="D5277" s="1128">
        <v>40.58</v>
      </c>
      <c r="E5277" s="1126"/>
    </row>
    <row r="5278" spans="1:5" x14ac:dyDescent="0.2">
      <c r="A5278" s="1126" t="s">
        <v>5860</v>
      </c>
      <c r="B5278" s="1127">
        <v>44</v>
      </c>
      <c r="C5278" s="1128">
        <v>5.17</v>
      </c>
      <c r="D5278" s="1128">
        <v>35.409999999999997</v>
      </c>
      <c r="E5278" s="1126"/>
    </row>
    <row r="5279" spans="1:5" x14ac:dyDescent="0.2">
      <c r="A5279" s="1126" t="s">
        <v>5861</v>
      </c>
      <c r="B5279" s="1127">
        <v>52</v>
      </c>
      <c r="C5279" s="1128">
        <v>0</v>
      </c>
      <c r="D5279" s="1128">
        <v>27.86</v>
      </c>
      <c r="E5279" s="1126"/>
    </row>
    <row r="5280" spans="1:5" x14ac:dyDescent="0.2">
      <c r="A5280" s="1126" t="s">
        <v>5862</v>
      </c>
      <c r="B5280" s="1127">
        <v>77</v>
      </c>
      <c r="C5280" s="1128">
        <v>0</v>
      </c>
      <c r="D5280" s="1128">
        <v>44.23</v>
      </c>
      <c r="E5280" s="1126"/>
    </row>
    <row r="5281" spans="1:5" x14ac:dyDescent="0.2">
      <c r="A5281" s="1126" t="s">
        <v>5863</v>
      </c>
      <c r="B5281" s="1127">
        <v>62</v>
      </c>
      <c r="C5281" s="1128">
        <v>0</v>
      </c>
      <c r="D5281" s="1128">
        <v>42</v>
      </c>
      <c r="E5281" s="1126"/>
    </row>
    <row r="5282" spans="1:5" x14ac:dyDescent="0.2">
      <c r="A5282" s="1126" t="s">
        <v>5864</v>
      </c>
      <c r="B5282" s="1127">
        <v>109</v>
      </c>
      <c r="C5282" s="1128">
        <v>22.33</v>
      </c>
      <c r="D5282" s="1128">
        <v>97.25</v>
      </c>
      <c r="E5282" s="1126"/>
    </row>
    <row r="5283" spans="1:5" x14ac:dyDescent="0.2">
      <c r="A5283" s="1126" t="s">
        <v>5865</v>
      </c>
      <c r="B5283" s="1127">
        <v>154</v>
      </c>
      <c r="C5283" s="1128">
        <v>368.14</v>
      </c>
      <c r="D5283" s="1128">
        <v>474</v>
      </c>
      <c r="E5283" s="1126"/>
    </row>
    <row r="5284" spans="1:5" x14ac:dyDescent="0.2">
      <c r="A5284" s="1126" t="s">
        <v>5866</v>
      </c>
      <c r="B5284" s="1127">
        <v>120</v>
      </c>
      <c r="C5284" s="1128">
        <v>213.25</v>
      </c>
      <c r="D5284" s="1128">
        <v>295.73</v>
      </c>
      <c r="E5284" s="1126"/>
    </row>
    <row r="5285" spans="1:5" x14ac:dyDescent="0.2">
      <c r="A5285" s="1126" t="s">
        <v>5867</v>
      </c>
      <c r="B5285" s="1127">
        <v>92</v>
      </c>
      <c r="C5285" s="1128">
        <v>39.92</v>
      </c>
      <c r="D5285" s="1128">
        <v>103.16</v>
      </c>
      <c r="E5285" s="1126"/>
    </row>
    <row r="5286" spans="1:5" x14ac:dyDescent="0.2">
      <c r="A5286" s="1126" t="s">
        <v>5868</v>
      </c>
      <c r="B5286" s="1127">
        <v>88</v>
      </c>
      <c r="C5286" s="1128">
        <v>0</v>
      </c>
      <c r="D5286" s="1128">
        <v>20.71</v>
      </c>
      <c r="E5286" s="1126"/>
    </row>
    <row r="5287" spans="1:5" x14ac:dyDescent="0.2">
      <c r="A5287" s="1126" t="s">
        <v>5869</v>
      </c>
      <c r="B5287" s="1127">
        <v>146</v>
      </c>
      <c r="C5287" s="1128">
        <v>0</v>
      </c>
      <c r="D5287" s="1128">
        <v>82.85</v>
      </c>
      <c r="E5287" s="1126"/>
    </row>
    <row r="5288" spans="1:5" x14ac:dyDescent="0.2">
      <c r="A5288" s="1126" t="s">
        <v>5870</v>
      </c>
      <c r="B5288" s="1127">
        <v>232</v>
      </c>
      <c r="C5288" s="1128">
        <v>656.09</v>
      </c>
      <c r="D5288" s="1128">
        <v>815.56</v>
      </c>
      <c r="E5288" s="1126"/>
    </row>
    <row r="5289" spans="1:5" x14ac:dyDescent="0.2">
      <c r="A5289" s="1126" t="s">
        <v>5871</v>
      </c>
      <c r="B5289" s="1127">
        <v>147</v>
      </c>
      <c r="C5289" s="1128">
        <v>0</v>
      </c>
      <c r="D5289" s="1128">
        <v>57.68</v>
      </c>
      <c r="E5289" s="1126"/>
    </row>
    <row r="5290" spans="1:5" x14ac:dyDescent="0.2">
      <c r="A5290" s="1126" t="s">
        <v>5872</v>
      </c>
      <c r="B5290" s="1127">
        <v>517</v>
      </c>
      <c r="C5290" s="1128">
        <v>358.49</v>
      </c>
      <c r="D5290" s="1128">
        <v>713.86</v>
      </c>
      <c r="E5290" s="1126"/>
    </row>
    <row r="5291" spans="1:5" x14ac:dyDescent="0.2">
      <c r="A5291" s="1126" t="s">
        <v>5873</v>
      </c>
      <c r="B5291" s="1127">
        <v>50</v>
      </c>
      <c r="C5291" s="1128">
        <v>1.1399999999999999</v>
      </c>
      <c r="D5291" s="1128">
        <v>35.51</v>
      </c>
      <c r="E5291" s="1126"/>
    </row>
    <row r="5292" spans="1:5" x14ac:dyDescent="0.2">
      <c r="A5292" s="1126" t="s">
        <v>5874</v>
      </c>
      <c r="B5292" s="1127">
        <v>69</v>
      </c>
      <c r="C5292" s="1128">
        <v>61.26</v>
      </c>
      <c r="D5292" s="1128">
        <v>108.69</v>
      </c>
      <c r="E5292" s="1126"/>
    </row>
    <row r="5293" spans="1:5" x14ac:dyDescent="0.2">
      <c r="A5293" s="1126" t="s">
        <v>5875</v>
      </c>
      <c r="B5293" s="1127">
        <v>72</v>
      </c>
      <c r="C5293" s="1128">
        <v>0</v>
      </c>
      <c r="D5293" s="1128">
        <v>39.590000000000003</v>
      </c>
      <c r="E5293" s="1126"/>
    </row>
    <row r="5294" spans="1:5" x14ac:dyDescent="0.2">
      <c r="A5294" s="1126" t="s">
        <v>5876</v>
      </c>
      <c r="B5294" s="1127">
        <v>410</v>
      </c>
      <c r="C5294" s="1128">
        <v>0</v>
      </c>
      <c r="D5294" s="1128">
        <v>109.15</v>
      </c>
      <c r="E5294" s="1126"/>
    </row>
    <row r="5295" spans="1:5" x14ac:dyDescent="0.2">
      <c r="A5295" s="1126" t="s">
        <v>5877</v>
      </c>
      <c r="B5295" s="1127">
        <v>369</v>
      </c>
      <c r="C5295" s="1128">
        <v>0</v>
      </c>
      <c r="D5295" s="1128">
        <v>8.61</v>
      </c>
      <c r="E5295" s="1126"/>
    </row>
    <row r="5296" spans="1:5" x14ac:dyDescent="0.2">
      <c r="A5296" s="1126" t="s">
        <v>5878</v>
      </c>
      <c r="B5296" s="1127">
        <v>404</v>
      </c>
      <c r="C5296" s="1128">
        <v>0</v>
      </c>
      <c r="D5296" s="1128">
        <v>18.190000000000001</v>
      </c>
      <c r="E5296" s="1126"/>
    </row>
    <row r="5297" spans="1:5" x14ac:dyDescent="0.2">
      <c r="A5297" s="1126" t="s">
        <v>5879</v>
      </c>
      <c r="B5297" s="1127">
        <v>84</v>
      </c>
      <c r="C5297" s="1128">
        <v>0</v>
      </c>
      <c r="D5297" s="1128">
        <v>16.68</v>
      </c>
      <c r="E5297" s="1126"/>
    </row>
    <row r="5298" spans="1:5" x14ac:dyDescent="0.2">
      <c r="A5298" s="1126" t="s">
        <v>5880</v>
      </c>
      <c r="B5298" s="1127">
        <v>44</v>
      </c>
      <c r="C5298" s="1128">
        <v>21.85</v>
      </c>
      <c r="D5298" s="1128">
        <v>52.09</v>
      </c>
      <c r="E5298" s="1126"/>
    </row>
    <row r="5299" spans="1:5" x14ac:dyDescent="0.2">
      <c r="A5299" s="1126" t="s">
        <v>5881</v>
      </c>
      <c r="B5299" s="1127">
        <v>165</v>
      </c>
      <c r="C5299" s="1128">
        <v>463.08</v>
      </c>
      <c r="D5299" s="1128">
        <v>576.49</v>
      </c>
      <c r="E5299" s="1126"/>
    </row>
    <row r="5300" spans="1:5" x14ac:dyDescent="0.2">
      <c r="A5300" s="1126" t="s">
        <v>5882</v>
      </c>
      <c r="B5300" s="1127">
        <v>205</v>
      </c>
      <c r="C5300" s="1128">
        <v>35.64</v>
      </c>
      <c r="D5300" s="1128">
        <v>176.55</v>
      </c>
      <c r="E5300" s="1126"/>
    </row>
    <row r="5301" spans="1:5" x14ac:dyDescent="0.2">
      <c r="A5301" s="1126" t="s">
        <v>5883</v>
      </c>
      <c r="B5301" s="1127">
        <v>403</v>
      </c>
      <c r="C5301" s="1128">
        <v>233.42</v>
      </c>
      <c r="D5301" s="1128">
        <v>510.43</v>
      </c>
      <c r="E5301" s="1126"/>
    </row>
    <row r="5302" spans="1:5" x14ac:dyDescent="0.2">
      <c r="A5302" s="1126" t="s">
        <v>5884</v>
      </c>
      <c r="B5302" s="1127">
        <v>88</v>
      </c>
      <c r="C5302" s="1128">
        <v>0</v>
      </c>
      <c r="D5302" s="1128">
        <v>59.69</v>
      </c>
      <c r="E5302" s="1126"/>
    </row>
    <row r="5303" spans="1:5" x14ac:dyDescent="0.2">
      <c r="A5303" s="1126" t="s">
        <v>5885</v>
      </c>
      <c r="B5303" s="1127">
        <v>95</v>
      </c>
      <c r="C5303" s="1128">
        <v>0</v>
      </c>
      <c r="D5303" s="1128">
        <v>10.3</v>
      </c>
      <c r="E5303" s="1126"/>
    </row>
    <row r="5304" spans="1:5" x14ac:dyDescent="0.2">
      <c r="A5304" s="1126" t="s">
        <v>5886</v>
      </c>
      <c r="B5304" s="1127">
        <v>101</v>
      </c>
      <c r="C5304" s="1128">
        <v>101.25</v>
      </c>
      <c r="D5304" s="1128">
        <v>170.67</v>
      </c>
      <c r="E5304" s="1126"/>
    </row>
    <row r="5305" spans="1:5" x14ac:dyDescent="0.2">
      <c r="A5305" s="1126" t="s">
        <v>5887</v>
      </c>
      <c r="B5305" s="1127">
        <v>300</v>
      </c>
      <c r="C5305" s="1128">
        <v>0</v>
      </c>
      <c r="D5305" s="1128">
        <v>133.34</v>
      </c>
      <c r="E5305" s="1126"/>
    </row>
    <row r="5306" spans="1:5" x14ac:dyDescent="0.2">
      <c r="A5306" s="1126" t="s">
        <v>5888</v>
      </c>
      <c r="B5306" s="1127">
        <v>308</v>
      </c>
      <c r="C5306" s="1128">
        <v>1021.44</v>
      </c>
      <c r="D5306" s="1128">
        <v>1233.1500000000001</v>
      </c>
      <c r="E5306" s="1126"/>
    </row>
    <row r="5307" spans="1:5" x14ac:dyDescent="0.2">
      <c r="A5307" s="1126" t="s">
        <v>5889</v>
      </c>
      <c r="B5307" s="1127">
        <v>84</v>
      </c>
      <c r="C5307" s="1128">
        <v>0</v>
      </c>
      <c r="D5307" s="1128">
        <v>30.62</v>
      </c>
      <c r="E5307" s="1126"/>
    </row>
    <row r="5308" spans="1:5" x14ac:dyDescent="0.2">
      <c r="A5308" s="1126" t="s">
        <v>5890</v>
      </c>
      <c r="B5308" s="1127">
        <v>204</v>
      </c>
      <c r="C5308" s="1128">
        <v>875.13</v>
      </c>
      <c r="D5308" s="1128">
        <v>1015.35</v>
      </c>
      <c r="E5308" s="1126"/>
    </row>
    <row r="5309" spans="1:5" x14ac:dyDescent="0.2">
      <c r="A5309" s="1126" t="s">
        <v>5891</v>
      </c>
      <c r="B5309" s="1127">
        <v>254</v>
      </c>
      <c r="C5309" s="1128">
        <v>148.36000000000001</v>
      </c>
      <c r="D5309" s="1128">
        <v>322.95</v>
      </c>
      <c r="E5309" s="1126"/>
    </row>
    <row r="5310" spans="1:5" x14ac:dyDescent="0.2">
      <c r="A5310" s="1126" t="s">
        <v>5892</v>
      </c>
      <c r="B5310" s="1127">
        <v>367</v>
      </c>
      <c r="C5310" s="1128">
        <v>150.85</v>
      </c>
      <c r="D5310" s="1128">
        <v>403.11</v>
      </c>
      <c r="E5310" s="1126"/>
    </row>
    <row r="5311" spans="1:5" x14ac:dyDescent="0.2">
      <c r="A5311" s="1126" t="s">
        <v>5893</v>
      </c>
      <c r="B5311" s="1127">
        <v>207</v>
      </c>
      <c r="C5311" s="1128">
        <v>0</v>
      </c>
      <c r="D5311" s="1128">
        <v>63.74</v>
      </c>
      <c r="E5311" s="1126"/>
    </row>
    <row r="5312" spans="1:5" x14ac:dyDescent="0.2">
      <c r="A5312" s="1126" t="s">
        <v>5894</v>
      </c>
      <c r="B5312" s="1127">
        <v>229</v>
      </c>
      <c r="C5312" s="1128">
        <v>174.82</v>
      </c>
      <c r="D5312" s="1128">
        <v>332.23</v>
      </c>
      <c r="E5312" s="1126"/>
    </row>
    <row r="5313" spans="1:5" x14ac:dyDescent="0.2">
      <c r="A5313" s="1126" t="s">
        <v>5895</v>
      </c>
      <c r="B5313" s="1127">
        <v>277</v>
      </c>
      <c r="C5313" s="1128">
        <v>0</v>
      </c>
      <c r="D5313" s="1128">
        <v>149.08000000000001</v>
      </c>
      <c r="E5313" s="1126"/>
    </row>
    <row r="5314" spans="1:5" x14ac:dyDescent="0.2">
      <c r="A5314" s="1126" t="s">
        <v>5896</v>
      </c>
      <c r="B5314" s="1127">
        <v>166</v>
      </c>
      <c r="C5314" s="1128">
        <v>546.22</v>
      </c>
      <c r="D5314" s="1128">
        <v>660.33</v>
      </c>
      <c r="E5314" s="1126"/>
    </row>
    <row r="5315" spans="1:5" x14ac:dyDescent="0.2">
      <c r="A5315" s="1126" t="s">
        <v>5897</v>
      </c>
      <c r="B5315" s="1127">
        <v>242</v>
      </c>
      <c r="C5315" s="1128">
        <v>600.47</v>
      </c>
      <c r="D5315" s="1128">
        <v>766.81</v>
      </c>
      <c r="E5315" s="1126"/>
    </row>
    <row r="5316" spans="1:5" x14ac:dyDescent="0.2">
      <c r="A5316" s="1126" t="s">
        <v>5898</v>
      </c>
      <c r="B5316" s="1127">
        <v>111</v>
      </c>
      <c r="C5316" s="1128">
        <v>0</v>
      </c>
      <c r="D5316" s="1128">
        <v>24.79</v>
      </c>
      <c r="E5316" s="1126"/>
    </row>
    <row r="5317" spans="1:5" x14ac:dyDescent="0.2">
      <c r="A5317" s="1126" t="s">
        <v>5899</v>
      </c>
      <c r="B5317" s="1127">
        <v>64</v>
      </c>
      <c r="C5317" s="1128">
        <v>0</v>
      </c>
      <c r="D5317" s="1128">
        <v>5.73</v>
      </c>
      <c r="E5317" s="1126"/>
    </row>
    <row r="5318" spans="1:5" x14ac:dyDescent="0.2">
      <c r="A5318" s="1126" t="s">
        <v>5900</v>
      </c>
      <c r="B5318" s="1127">
        <v>319</v>
      </c>
      <c r="C5318" s="1128">
        <v>934.28</v>
      </c>
      <c r="D5318" s="1128">
        <v>1153.55</v>
      </c>
      <c r="E5318" s="1126"/>
    </row>
    <row r="5319" spans="1:5" x14ac:dyDescent="0.2">
      <c r="A5319" s="1126" t="s">
        <v>5901</v>
      </c>
      <c r="B5319" s="1127">
        <v>110</v>
      </c>
      <c r="C5319" s="1128">
        <v>142.38</v>
      </c>
      <c r="D5319" s="1128">
        <v>217.99</v>
      </c>
      <c r="E5319" s="1126"/>
    </row>
    <row r="5320" spans="1:5" x14ac:dyDescent="0.2">
      <c r="A5320" s="1126" t="s">
        <v>5902</v>
      </c>
      <c r="B5320" s="1127">
        <v>202</v>
      </c>
      <c r="C5320" s="1128">
        <v>655.20000000000005</v>
      </c>
      <c r="D5320" s="1128">
        <v>794.04</v>
      </c>
      <c r="E5320" s="1126"/>
    </row>
    <row r="5321" spans="1:5" x14ac:dyDescent="0.2">
      <c r="A5321" s="1126" t="s">
        <v>5903</v>
      </c>
      <c r="B5321" s="1127">
        <v>173</v>
      </c>
      <c r="C5321" s="1128">
        <v>0</v>
      </c>
      <c r="D5321" s="1128">
        <v>60.79</v>
      </c>
      <c r="E5321" s="1126"/>
    </row>
    <row r="5322" spans="1:5" x14ac:dyDescent="0.2">
      <c r="A5322" s="1126" t="s">
        <v>5904</v>
      </c>
      <c r="B5322" s="1127">
        <v>475</v>
      </c>
      <c r="C5322" s="1128">
        <v>1412.86</v>
      </c>
      <c r="D5322" s="1128">
        <v>1739.36</v>
      </c>
      <c r="E5322" s="1126"/>
    </row>
    <row r="5323" spans="1:5" x14ac:dyDescent="0.2">
      <c r="A5323" s="1126" t="s">
        <v>5905</v>
      </c>
      <c r="B5323" s="1127">
        <v>71</v>
      </c>
      <c r="C5323" s="1128">
        <v>270.75</v>
      </c>
      <c r="D5323" s="1128">
        <v>319.55</v>
      </c>
      <c r="E5323" s="1126"/>
    </row>
    <row r="5324" spans="1:5" x14ac:dyDescent="0.2">
      <c r="A5324" s="1126" t="s">
        <v>5906</v>
      </c>
      <c r="B5324" s="1127">
        <v>312</v>
      </c>
      <c r="C5324" s="1128">
        <v>385.89</v>
      </c>
      <c r="D5324" s="1128">
        <v>600.34</v>
      </c>
      <c r="E5324" s="1126"/>
    </row>
    <row r="5325" spans="1:5" x14ac:dyDescent="0.2">
      <c r="A5325" s="1126" t="s">
        <v>5907</v>
      </c>
      <c r="B5325" s="1127">
        <v>78</v>
      </c>
      <c r="C5325" s="1128">
        <v>0</v>
      </c>
      <c r="D5325" s="1128">
        <v>33.090000000000003</v>
      </c>
      <c r="E5325" s="1126"/>
    </row>
    <row r="5326" spans="1:5" x14ac:dyDescent="0.2">
      <c r="A5326" s="1126" t="s">
        <v>5908</v>
      </c>
      <c r="B5326" s="1127">
        <v>43</v>
      </c>
      <c r="C5326" s="1128">
        <v>23.76</v>
      </c>
      <c r="D5326" s="1128">
        <v>53.32</v>
      </c>
      <c r="E5326" s="1126"/>
    </row>
    <row r="5327" spans="1:5" x14ac:dyDescent="0.2">
      <c r="A5327" s="1126" t="s">
        <v>5909</v>
      </c>
      <c r="B5327" s="1127">
        <v>434</v>
      </c>
      <c r="C5327" s="1128">
        <v>0</v>
      </c>
      <c r="D5327" s="1128">
        <v>30.45</v>
      </c>
      <c r="E5327" s="1126"/>
    </row>
    <row r="5328" spans="1:5" x14ac:dyDescent="0.2">
      <c r="A5328" s="1126" t="s">
        <v>5910</v>
      </c>
      <c r="B5328" s="1127">
        <v>216</v>
      </c>
      <c r="C5328" s="1128">
        <v>83.23</v>
      </c>
      <c r="D5328" s="1128">
        <v>231.7</v>
      </c>
      <c r="E5328" s="1126"/>
    </row>
    <row r="5329" spans="1:5" x14ac:dyDescent="0.2">
      <c r="A5329" s="1126" t="s">
        <v>5911</v>
      </c>
      <c r="B5329" s="1127">
        <v>51</v>
      </c>
      <c r="C5329" s="1128">
        <v>0</v>
      </c>
      <c r="D5329" s="1128">
        <v>26.56</v>
      </c>
      <c r="E5329" s="1126"/>
    </row>
    <row r="5330" spans="1:5" x14ac:dyDescent="0.2">
      <c r="A5330" s="1126" t="s">
        <v>5912</v>
      </c>
      <c r="B5330" s="1127">
        <v>507</v>
      </c>
      <c r="C5330" s="1128">
        <v>1506.89</v>
      </c>
      <c r="D5330" s="1128">
        <v>1855.38</v>
      </c>
      <c r="E5330" s="1126"/>
    </row>
    <row r="5331" spans="1:5" x14ac:dyDescent="0.2">
      <c r="A5331" s="1126" t="s">
        <v>5913</v>
      </c>
      <c r="B5331" s="1127">
        <v>335</v>
      </c>
      <c r="C5331" s="1128">
        <v>409.74</v>
      </c>
      <c r="D5331" s="1128">
        <v>640.01</v>
      </c>
      <c r="E5331" s="1126"/>
    </row>
    <row r="5332" spans="1:5" x14ac:dyDescent="0.2">
      <c r="A5332" s="1126" t="s">
        <v>5914</v>
      </c>
      <c r="B5332" s="1127">
        <v>281</v>
      </c>
      <c r="C5332" s="1128">
        <v>143.84</v>
      </c>
      <c r="D5332" s="1128">
        <v>336.99</v>
      </c>
      <c r="E5332" s="1126"/>
    </row>
    <row r="5333" spans="1:5" x14ac:dyDescent="0.2">
      <c r="A5333" s="1126" t="s">
        <v>5915</v>
      </c>
      <c r="B5333" s="1127">
        <v>75</v>
      </c>
      <c r="C5333" s="1128">
        <v>133.12</v>
      </c>
      <c r="D5333" s="1128">
        <v>184.67</v>
      </c>
      <c r="E5333" s="1126"/>
    </row>
    <row r="5334" spans="1:5" x14ac:dyDescent="0.2">
      <c r="A5334" s="1126" t="s">
        <v>5916</v>
      </c>
      <c r="B5334" s="1127">
        <v>170</v>
      </c>
      <c r="C5334" s="1128">
        <v>495.96</v>
      </c>
      <c r="D5334" s="1128">
        <v>612.80999999999995</v>
      </c>
      <c r="E5334" s="1126"/>
    </row>
    <row r="5335" spans="1:5" x14ac:dyDescent="0.2">
      <c r="A5335" s="1126" t="s">
        <v>5917</v>
      </c>
      <c r="B5335" s="1127">
        <v>173</v>
      </c>
      <c r="C5335" s="1128">
        <v>324.20999999999998</v>
      </c>
      <c r="D5335" s="1128">
        <v>443.12</v>
      </c>
      <c r="E5335" s="1126"/>
    </row>
    <row r="5336" spans="1:5" x14ac:dyDescent="0.2">
      <c r="A5336" s="1126" t="s">
        <v>5918</v>
      </c>
      <c r="B5336" s="1127">
        <v>251</v>
      </c>
      <c r="C5336" s="1128">
        <v>0</v>
      </c>
      <c r="D5336" s="1128">
        <v>105.83</v>
      </c>
      <c r="E5336" s="1126"/>
    </row>
    <row r="5337" spans="1:5" x14ac:dyDescent="0.2">
      <c r="A5337" s="1126" t="s">
        <v>5919</v>
      </c>
      <c r="B5337" s="1127">
        <v>224</v>
      </c>
      <c r="C5337" s="1128">
        <v>0</v>
      </c>
      <c r="D5337" s="1128">
        <v>97.36</v>
      </c>
      <c r="E5337" s="1126"/>
    </row>
    <row r="5338" spans="1:5" x14ac:dyDescent="0.2">
      <c r="A5338" s="1126" t="s">
        <v>5920</v>
      </c>
      <c r="B5338" s="1127">
        <v>209</v>
      </c>
      <c r="C5338" s="1128">
        <v>0</v>
      </c>
      <c r="D5338" s="1128">
        <v>76.38</v>
      </c>
      <c r="E5338" s="1126"/>
    </row>
    <row r="5339" spans="1:5" x14ac:dyDescent="0.2">
      <c r="A5339" s="1126" t="s">
        <v>5921</v>
      </c>
      <c r="B5339" s="1127">
        <v>286</v>
      </c>
      <c r="C5339" s="1128">
        <v>0</v>
      </c>
      <c r="D5339" s="1128">
        <v>112.81</v>
      </c>
      <c r="E5339" s="1126"/>
    </row>
    <row r="5340" spans="1:5" x14ac:dyDescent="0.2">
      <c r="A5340" s="1126" t="s">
        <v>5922</v>
      </c>
      <c r="B5340" s="1127">
        <v>35</v>
      </c>
      <c r="C5340" s="1128">
        <v>0</v>
      </c>
      <c r="D5340" s="1128">
        <v>9.2100000000000009</v>
      </c>
      <c r="E5340" s="1126" t="s">
        <v>669</v>
      </c>
    </row>
    <row r="5341" spans="1:5" x14ac:dyDescent="0.2">
      <c r="A5341" s="1126" t="s">
        <v>5923</v>
      </c>
      <c r="B5341" s="1127">
        <v>259</v>
      </c>
      <c r="C5341" s="1128">
        <v>76.16</v>
      </c>
      <c r="D5341" s="1128">
        <v>254.19</v>
      </c>
      <c r="E5341" s="1126"/>
    </row>
    <row r="5342" spans="1:5" x14ac:dyDescent="0.2">
      <c r="A5342" s="1126" t="s">
        <v>5924</v>
      </c>
      <c r="B5342" s="1127">
        <v>325</v>
      </c>
      <c r="C5342" s="1128">
        <v>338.15</v>
      </c>
      <c r="D5342" s="1128">
        <v>561.54</v>
      </c>
      <c r="E5342" s="1126"/>
    </row>
    <row r="5343" spans="1:5" x14ac:dyDescent="0.2">
      <c r="A5343" s="1126" t="s">
        <v>5925</v>
      </c>
      <c r="B5343" s="1127">
        <v>167</v>
      </c>
      <c r="C5343" s="1128">
        <v>0</v>
      </c>
      <c r="D5343" s="1128">
        <v>43.64</v>
      </c>
      <c r="E5343" s="1126"/>
    </row>
    <row r="5344" spans="1:5" x14ac:dyDescent="0.2">
      <c r="A5344" s="1126" t="s">
        <v>5926</v>
      </c>
      <c r="B5344" s="1127">
        <v>147</v>
      </c>
      <c r="C5344" s="1128">
        <v>0</v>
      </c>
      <c r="D5344" s="1128">
        <v>72.45</v>
      </c>
      <c r="E5344" s="1126"/>
    </row>
    <row r="5345" spans="1:5" x14ac:dyDescent="0.2">
      <c r="A5345" s="1126" t="s">
        <v>5927</v>
      </c>
      <c r="B5345" s="1127">
        <v>436</v>
      </c>
      <c r="C5345" s="1128">
        <v>0</v>
      </c>
      <c r="D5345" s="1128">
        <v>75.02</v>
      </c>
      <c r="E5345" s="1126"/>
    </row>
    <row r="5346" spans="1:5" x14ac:dyDescent="0.2">
      <c r="A5346" s="1126" t="s">
        <v>5928</v>
      </c>
      <c r="B5346" s="1127">
        <v>166</v>
      </c>
      <c r="C5346" s="1128">
        <v>301.31</v>
      </c>
      <c r="D5346" s="1128">
        <v>415.41</v>
      </c>
      <c r="E5346" s="1126"/>
    </row>
    <row r="5347" spans="1:5" x14ac:dyDescent="0.2">
      <c r="A5347" s="1126" t="s">
        <v>5929</v>
      </c>
      <c r="B5347" s="1127">
        <v>448</v>
      </c>
      <c r="C5347" s="1128">
        <v>378.8</v>
      </c>
      <c r="D5347" s="1128">
        <v>686.74</v>
      </c>
      <c r="E5347" s="1126"/>
    </row>
    <row r="5348" spans="1:5" x14ac:dyDescent="0.2">
      <c r="A5348" s="1126" t="s">
        <v>5930</v>
      </c>
      <c r="B5348" s="1127">
        <v>214</v>
      </c>
      <c r="C5348" s="1128">
        <v>63.57</v>
      </c>
      <c r="D5348" s="1128">
        <v>210.66</v>
      </c>
      <c r="E5348" s="1126"/>
    </row>
    <row r="5349" spans="1:5" x14ac:dyDescent="0.2">
      <c r="A5349" s="1126" t="s">
        <v>5931</v>
      </c>
      <c r="B5349" s="1127">
        <v>355</v>
      </c>
      <c r="C5349" s="1128">
        <v>791.67</v>
      </c>
      <c r="D5349" s="1128">
        <v>1035.68</v>
      </c>
      <c r="E5349" s="1126"/>
    </row>
    <row r="5350" spans="1:5" x14ac:dyDescent="0.2">
      <c r="A5350" s="1126" t="s">
        <v>5932</v>
      </c>
      <c r="B5350" s="1127">
        <v>233</v>
      </c>
      <c r="C5350" s="1128">
        <v>0</v>
      </c>
      <c r="D5350" s="1128">
        <v>5.72</v>
      </c>
      <c r="E5350" s="1126"/>
    </row>
    <row r="5351" spans="1:5" x14ac:dyDescent="0.2">
      <c r="A5351" s="1126" t="s">
        <v>5933</v>
      </c>
      <c r="B5351" s="1127">
        <v>238</v>
      </c>
      <c r="C5351" s="1128">
        <v>0</v>
      </c>
      <c r="D5351" s="1128">
        <v>62.32</v>
      </c>
      <c r="E5351" s="1126"/>
    </row>
    <row r="5352" spans="1:5" x14ac:dyDescent="0.2">
      <c r="A5352" s="1126" t="s">
        <v>5934</v>
      </c>
      <c r="B5352" s="1127">
        <v>270</v>
      </c>
      <c r="C5352" s="1128">
        <v>964.12</v>
      </c>
      <c r="D5352" s="1128">
        <v>1149.71</v>
      </c>
      <c r="E5352" s="1126"/>
    </row>
    <row r="5353" spans="1:5" x14ac:dyDescent="0.2">
      <c r="A5353" s="1126" t="s">
        <v>5935</v>
      </c>
      <c r="B5353" s="1127">
        <v>101</v>
      </c>
      <c r="C5353" s="1128">
        <v>346.09</v>
      </c>
      <c r="D5353" s="1128">
        <v>415.51</v>
      </c>
      <c r="E5353" s="1126"/>
    </row>
    <row r="5354" spans="1:5" x14ac:dyDescent="0.2">
      <c r="A5354" s="1126" t="s">
        <v>5936</v>
      </c>
      <c r="B5354" s="1127">
        <v>189</v>
      </c>
      <c r="C5354" s="1128">
        <v>563.42999999999995</v>
      </c>
      <c r="D5354" s="1128">
        <v>693.34</v>
      </c>
      <c r="E5354" s="1126"/>
    </row>
    <row r="5355" spans="1:5" x14ac:dyDescent="0.2">
      <c r="A5355" s="1126" t="s">
        <v>5937</v>
      </c>
      <c r="B5355" s="1127">
        <v>140</v>
      </c>
      <c r="C5355" s="1128">
        <v>585.07000000000005</v>
      </c>
      <c r="D5355" s="1128">
        <v>681.3</v>
      </c>
      <c r="E5355" s="1126"/>
    </row>
    <row r="5356" spans="1:5" x14ac:dyDescent="0.2">
      <c r="A5356" s="1126" t="s">
        <v>5938</v>
      </c>
      <c r="B5356" s="1127">
        <v>197</v>
      </c>
      <c r="C5356" s="1128">
        <v>0</v>
      </c>
      <c r="D5356" s="1128">
        <v>61.07</v>
      </c>
      <c r="E5356" s="1126"/>
    </row>
    <row r="5357" spans="1:5" x14ac:dyDescent="0.2">
      <c r="A5357" s="1126" t="s">
        <v>5939</v>
      </c>
      <c r="B5357" s="1127">
        <v>247</v>
      </c>
      <c r="C5357" s="1128">
        <v>701.84</v>
      </c>
      <c r="D5357" s="1128">
        <v>871.62</v>
      </c>
      <c r="E5357" s="1126"/>
    </row>
    <row r="5358" spans="1:5" x14ac:dyDescent="0.2">
      <c r="A5358" s="1126" t="s">
        <v>5940</v>
      </c>
      <c r="B5358" s="1127">
        <v>209</v>
      </c>
      <c r="C5358" s="1128">
        <v>411.76</v>
      </c>
      <c r="D5358" s="1128">
        <v>555.41999999999996</v>
      </c>
      <c r="E5358" s="1126"/>
    </row>
    <row r="5359" spans="1:5" x14ac:dyDescent="0.2">
      <c r="A5359" s="1126" t="s">
        <v>5941</v>
      </c>
      <c r="B5359" s="1127">
        <v>281</v>
      </c>
      <c r="C5359" s="1128">
        <v>119.99</v>
      </c>
      <c r="D5359" s="1128">
        <v>313.14</v>
      </c>
      <c r="E5359" s="1126"/>
    </row>
    <row r="5360" spans="1:5" x14ac:dyDescent="0.2">
      <c r="A5360" s="1126" t="s">
        <v>5942</v>
      </c>
      <c r="B5360" s="1127">
        <v>335</v>
      </c>
      <c r="C5360" s="1128">
        <v>50.96</v>
      </c>
      <c r="D5360" s="1128">
        <v>281.23</v>
      </c>
      <c r="E5360" s="1126"/>
    </row>
    <row r="5361" spans="1:5" x14ac:dyDescent="0.2">
      <c r="A5361" s="1126" t="s">
        <v>5943</v>
      </c>
      <c r="B5361" s="1127">
        <v>132</v>
      </c>
      <c r="C5361" s="1128">
        <v>0</v>
      </c>
      <c r="D5361" s="1128">
        <v>14.99</v>
      </c>
      <c r="E5361" s="1126"/>
    </row>
    <row r="5362" spans="1:5" x14ac:dyDescent="0.2">
      <c r="A5362" s="1126" t="s">
        <v>5944</v>
      </c>
      <c r="B5362" s="1127">
        <v>130</v>
      </c>
      <c r="C5362" s="1128">
        <v>247.89</v>
      </c>
      <c r="D5362" s="1128">
        <v>337.25</v>
      </c>
      <c r="E5362" s="1126"/>
    </row>
    <row r="5363" spans="1:5" x14ac:dyDescent="0.2">
      <c r="A5363" s="1126" t="s">
        <v>5945</v>
      </c>
      <c r="B5363" s="1127">
        <v>264</v>
      </c>
      <c r="C5363" s="1128">
        <v>152.77000000000001</v>
      </c>
      <c r="D5363" s="1128">
        <v>334.23</v>
      </c>
      <c r="E5363" s="1126"/>
    </row>
    <row r="5364" spans="1:5" x14ac:dyDescent="0.2">
      <c r="A5364" s="1126" t="s">
        <v>5946</v>
      </c>
      <c r="B5364" s="1127">
        <v>102</v>
      </c>
      <c r="C5364" s="1128">
        <v>374.78</v>
      </c>
      <c r="D5364" s="1128">
        <v>444.89</v>
      </c>
      <c r="E5364" s="1126"/>
    </row>
    <row r="5365" spans="1:5" x14ac:dyDescent="0.2">
      <c r="A5365" s="1126" t="s">
        <v>5947</v>
      </c>
      <c r="B5365" s="1127">
        <v>173</v>
      </c>
      <c r="C5365" s="1128">
        <v>267.94</v>
      </c>
      <c r="D5365" s="1128">
        <v>386.85</v>
      </c>
      <c r="E5365" s="1126"/>
    </row>
    <row r="5366" spans="1:5" x14ac:dyDescent="0.2">
      <c r="A5366" s="1126" t="s">
        <v>5948</v>
      </c>
      <c r="B5366" s="1127">
        <v>66</v>
      </c>
      <c r="C5366" s="1128">
        <v>0</v>
      </c>
      <c r="D5366" s="1128">
        <v>19.690000000000001</v>
      </c>
      <c r="E5366" s="1126"/>
    </row>
    <row r="5367" spans="1:5" x14ac:dyDescent="0.2">
      <c r="A5367" s="1126" t="s">
        <v>5949</v>
      </c>
      <c r="B5367" s="1127">
        <v>355</v>
      </c>
      <c r="C5367" s="1128">
        <v>439.5</v>
      </c>
      <c r="D5367" s="1128">
        <v>683.52</v>
      </c>
      <c r="E5367" s="1126"/>
    </row>
    <row r="5368" spans="1:5" x14ac:dyDescent="0.2">
      <c r="A5368" s="1126" t="s">
        <v>5950</v>
      </c>
      <c r="B5368" s="1127">
        <v>361</v>
      </c>
      <c r="C5368" s="1128">
        <v>50.31</v>
      </c>
      <c r="D5368" s="1128">
        <v>298.44</v>
      </c>
      <c r="E5368" s="1126"/>
    </row>
    <row r="5369" spans="1:5" x14ac:dyDescent="0.2">
      <c r="A5369" s="1126" t="s">
        <v>5951</v>
      </c>
      <c r="B5369" s="1127">
        <v>109</v>
      </c>
      <c r="C5369" s="1128">
        <v>0</v>
      </c>
      <c r="D5369" s="1128">
        <v>20.68</v>
      </c>
      <c r="E5369" s="1126"/>
    </row>
    <row r="5370" spans="1:5" x14ac:dyDescent="0.2">
      <c r="A5370" s="1126" t="s">
        <v>5952</v>
      </c>
      <c r="B5370" s="1127">
        <v>126</v>
      </c>
      <c r="C5370" s="1128">
        <v>352</v>
      </c>
      <c r="D5370" s="1128">
        <v>438.61</v>
      </c>
      <c r="E5370" s="1126"/>
    </row>
    <row r="5371" spans="1:5" x14ac:dyDescent="0.2">
      <c r="A5371" s="1126" t="s">
        <v>5953</v>
      </c>
      <c r="B5371" s="1127">
        <v>428</v>
      </c>
      <c r="C5371" s="1128">
        <v>0</v>
      </c>
      <c r="D5371" s="1128">
        <v>23.45</v>
      </c>
      <c r="E5371" s="1126"/>
    </row>
    <row r="5372" spans="1:5" x14ac:dyDescent="0.2">
      <c r="A5372" s="1126" t="s">
        <v>5954</v>
      </c>
      <c r="B5372" s="1127">
        <v>105</v>
      </c>
      <c r="C5372" s="1128">
        <v>131.91</v>
      </c>
      <c r="D5372" s="1128">
        <v>204.09</v>
      </c>
      <c r="E5372" s="1126"/>
    </row>
    <row r="5373" spans="1:5" x14ac:dyDescent="0.2">
      <c r="A5373" s="1126" t="s">
        <v>5955</v>
      </c>
      <c r="B5373" s="1127">
        <v>319</v>
      </c>
      <c r="C5373" s="1128">
        <v>0</v>
      </c>
      <c r="D5373" s="1128">
        <v>77.540000000000006</v>
      </c>
      <c r="E5373" s="1126"/>
    </row>
    <row r="5374" spans="1:5" x14ac:dyDescent="0.2">
      <c r="A5374" s="1126" t="s">
        <v>5956</v>
      </c>
      <c r="B5374" s="1127">
        <v>395</v>
      </c>
      <c r="C5374" s="1128">
        <v>0</v>
      </c>
      <c r="D5374" s="1128">
        <v>150.82</v>
      </c>
      <c r="E5374" s="1126"/>
    </row>
    <row r="5375" spans="1:5" x14ac:dyDescent="0.2">
      <c r="A5375" s="1126" t="s">
        <v>5957</v>
      </c>
      <c r="B5375" s="1127">
        <v>58</v>
      </c>
      <c r="C5375" s="1128">
        <v>34.51</v>
      </c>
      <c r="D5375" s="1128">
        <v>74.38</v>
      </c>
      <c r="E5375" s="1126"/>
    </row>
    <row r="5376" spans="1:5" x14ac:dyDescent="0.2">
      <c r="A5376" s="1126" t="s">
        <v>5958</v>
      </c>
      <c r="B5376" s="1127">
        <v>193</v>
      </c>
      <c r="C5376" s="1128">
        <v>478.42</v>
      </c>
      <c r="D5376" s="1128">
        <v>611.08000000000004</v>
      </c>
      <c r="E5376" s="1126"/>
    </row>
    <row r="5377" spans="1:5" x14ac:dyDescent="0.2">
      <c r="A5377" s="1126" t="s">
        <v>5959</v>
      </c>
      <c r="B5377" s="1127">
        <v>97</v>
      </c>
      <c r="C5377" s="1128">
        <v>182.7</v>
      </c>
      <c r="D5377" s="1128">
        <v>249.38</v>
      </c>
      <c r="E5377" s="1126"/>
    </row>
    <row r="5378" spans="1:5" x14ac:dyDescent="0.2">
      <c r="A5378" s="1126" t="s">
        <v>5960</v>
      </c>
      <c r="B5378" s="1127">
        <v>289</v>
      </c>
      <c r="C5378" s="1128">
        <v>202.92</v>
      </c>
      <c r="D5378" s="1128">
        <v>401.57</v>
      </c>
      <c r="E5378" s="1126"/>
    </row>
    <row r="5379" spans="1:5" x14ac:dyDescent="0.2">
      <c r="A5379" s="1126" t="s">
        <v>5961</v>
      </c>
      <c r="B5379" s="1127">
        <v>420</v>
      </c>
      <c r="C5379" s="1128">
        <v>0</v>
      </c>
      <c r="D5379" s="1128">
        <v>109.72</v>
      </c>
      <c r="E5379" s="1126"/>
    </row>
    <row r="5380" spans="1:5" x14ac:dyDescent="0.2">
      <c r="A5380" s="1126" t="s">
        <v>5962</v>
      </c>
      <c r="B5380" s="1127">
        <v>69</v>
      </c>
      <c r="C5380" s="1128">
        <v>46.17</v>
      </c>
      <c r="D5380" s="1128">
        <v>93.6</v>
      </c>
      <c r="E5380" s="1126"/>
    </row>
    <row r="5381" spans="1:5" x14ac:dyDescent="0.2">
      <c r="A5381" s="1126" t="s">
        <v>5963</v>
      </c>
      <c r="B5381" s="1127">
        <v>611</v>
      </c>
      <c r="C5381" s="1128">
        <v>651.24</v>
      </c>
      <c r="D5381" s="1128">
        <v>1071.22</v>
      </c>
      <c r="E5381" s="1126"/>
    </row>
    <row r="5382" spans="1:5" x14ac:dyDescent="0.2">
      <c r="A5382" s="1126" t="s">
        <v>5964</v>
      </c>
      <c r="B5382" s="1127">
        <v>115</v>
      </c>
      <c r="C5382" s="1128">
        <v>206.16</v>
      </c>
      <c r="D5382" s="1128">
        <v>285.20999999999998</v>
      </c>
      <c r="E5382" s="1126"/>
    </row>
    <row r="5383" spans="1:5" x14ac:dyDescent="0.2">
      <c r="A5383" s="1126" t="s">
        <v>5965</v>
      </c>
      <c r="B5383" s="1127">
        <v>133</v>
      </c>
      <c r="C5383" s="1128">
        <v>437.1</v>
      </c>
      <c r="D5383" s="1128">
        <v>528.52</v>
      </c>
      <c r="E5383" s="1126"/>
    </row>
    <row r="5384" spans="1:5" x14ac:dyDescent="0.2">
      <c r="A5384" s="1126" t="s">
        <v>5966</v>
      </c>
      <c r="B5384" s="1127">
        <v>448</v>
      </c>
      <c r="C5384" s="1128">
        <v>0</v>
      </c>
      <c r="D5384" s="1128">
        <v>132.81</v>
      </c>
      <c r="E5384" s="1126"/>
    </row>
    <row r="5385" spans="1:5" x14ac:dyDescent="0.2">
      <c r="A5385" s="1126" t="s">
        <v>5967</v>
      </c>
      <c r="B5385" s="1127">
        <v>125</v>
      </c>
      <c r="C5385" s="1128">
        <v>372.42</v>
      </c>
      <c r="D5385" s="1128">
        <v>458.34</v>
      </c>
      <c r="E5385" s="1126"/>
    </row>
    <row r="5386" spans="1:5" x14ac:dyDescent="0.2">
      <c r="A5386" s="1126" t="s">
        <v>5968</v>
      </c>
      <c r="B5386" s="1127">
        <v>152</v>
      </c>
      <c r="C5386" s="1128">
        <v>116.41</v>
      </c>
      <c r="D5386" s="1128">
        <v>220.89</v>
      </c>
      <c r="E5386" s="1126"/>
    </row>
    <row r="5387" spans="1:5" x14ac:dyDescent="0.2">
      <c r="A5387" s="1126" t="s">
        <v>5969</v>
      </c>
      <c r="B5387" s="1127">
        <v>282</v>
      </c>
      <c r="C5387" s="1128">
        <v>807.25</v>
      </c>
      <c r="D5387" s="1128">
        <v>1001.09</v>
      </c>
      <c r="E5387" s="1126"/>
    </row>
    <row r="5388" spans="1:5" x14ac:dyDescent="0.2">
      <c r="A5388" s="1126" t="s">
        <v>5970</v>
      </c>
      <c r="B5388" s="1127">
        <v>156</v>
      </c>
      <c r="C5388" s="1128">
        <v>118.51</v>
      </c>
      <c r="D5388" s="1128">
        <v>225.74</v>
      </c>
      <c r="E5388" s="1126"/>
    </row>
    <row r="5389" spans="1:5" x14ac:dyDescent="0.2">
      <c r="A5389" s="1126" t="s">
        <v>5971</v>
      </c>
      <c r="B5389" s="1127">
        <v>532</v>
      </c>
      <c r="C5389" s="1128">
        <v>0</v>
      </c>
      <c r="D5389" s="1128">
        <v>25.8</v>
      </c>
      <c r="E5389" s="1126"/>
    </row>
    <row r="5390" spans="1:5" x14ac:dyDescent="0.2">
      <c r="A5390" s="1126" t="s">
        <v>5972</v>
      </c>
      <c r="B5390" s="1127">
        <v>318</v>
      </c>
      <c r="C5390" s="1128">
        <v>0</v>
      </c>
      <c r="D5390" s="1128">
        <v>217.45</v>
      </c>
      <c r="E5390" s="1126"/>
    </row>
    <row r="5391" spans="1:5" x14ac:dyDescent="0.2">
      <c r="A5391" s="1126" t="s">
        <v>5973</v>
      </c>
      <c r="B5391" s="1127">
        <v>415</v>
      </c>
      <c r="C5391" s="1128">
        <v>0</v>
      </c>
      <c r="D5391" s="1128">
        <v>14.48</v>
      </c>
      <c r="E5391" s="1126"/>
    </row>
    <row r="5392" spans="1:5" x14ac:dyDescent="0.2">
      <c r="A5392" s="1126" t="s">
        <v>5974</v>
      </c>
      <c r="B5392" s="1127">
        <v>273</v>
      </c>
      <c r="C5392" s="1128">
        <v>166.01</v>
      </c>
      <c r="D5392" s="1128">
        <v>353.67</v>
      </c>
      <c r="E5392" s="1126"/>
    </row>
    <row r="5393" spans="1:5" x14ac:dyDescent="0.2">
      <c r="A5393" s="1126" t="s">
        <v>5975</v>
      </c>
      <c r="B5393" s="1127">
        <v>124</v>
      </c>
      <c r="C5393" s="1128">
        <v>189.23</v>
      </c>
      <c r="D5393" s="1128">
        <v>274.47000000000003</v>
      </c>
      <c r="E5393" s="1126"/>
    </row>
    <row r="5394" spans="1:5" x14ac:dyDescent="0.2">
      <c r="A5394" s="1126" t="s">
        <v>5976</v>
      </c>
      <c r="B5394" s="1127">
        <v>326</v>
      </c>
      <c r="C5394" s="1128">
        <v>187.96</v>
      </c>
      <c r="D5394" s="1128">
        <v>412.05</v>
      </c>
      <c r="E5394" s="1126"/>
    </row>
    <row r="5395" spans="1:5" x14ac:dyDescent="0.2">
      <c r="A5395" s="1126" t="s">
        <v>5977</v>
      </c>
      <c r="B5395" s="1127">
        <v>212</v>
      </c>
      <c r="C5395" s="1128">
        <v>270.66000000000003</v>
      </c>
      <c r="D5395" s="1128">
        <v>416.38</v>
      </c>
      <c r="E5395" s="1126"/>
    </row>
    <row r="5396" spans="1:5" x14ac:dyDescent="0.2">
      <c r="A5396" s="1126" t="s">
        <v>5978</v>
      </c>
      <c r="B5396" s="1127">
        <v>68</v>
      </c>
      <c r="C5396" s="1128">
        <v>198.5</v>
      </c>
      <c r="D5396" s="1128">
        <v>245.24</v>
      </c>
      <c r="E5396" s="1126"/>
    </row>
    <row r="5397" spans="1:5" x14ac:dyDescent="0.2">
      <c r="A5397" s="1126" t="s">
        <v>5979</v>
      </c>
      <c r="B5397" s="1127">
        <v>249</v>
      </c>
      <c r="C5397" s="1128">
        <v>690.25</v>
      </c>
      <c r="D5397" s="1128">
        <v>861.4</v>
      </c>
      <c r="E5397" s="1126"/>
    </row>
    <row r="5398" spans="1:5" x14ac:dyDescent="0.2">
      <c r="A5398" s="1126" t="s">
        <v>5980</v>
      </c>
      <c r="B5398" s="1127">
        <v>135</v>
      </c>
      <c r="C5398" s="1128">
        <v>275.93</v>
      </c>
      <c r="D5398" s="1128">
        <v>368.72</v>
      </c>
      <c r="E5398" s="1126"/>
    </row>
    <row r="5399" spans="1:5" x14ac:dyDescent="0.2">
      <c r="A5399" s="1126" t="s">
        <v>5981</v>
      </c>
      <c r="B5399" s="1127">
        <v>137</v>
      </c>
      <c r="C5399" s="1128">
        <v>0</v>
      </c>
      <c r="D5399" s="1128">
        <v>74.290000000000006</v>
      </c>
      <c r="E5399" s="1126"/>
    </row>
    <row r="5400" spans="1:5" x14ac:dyDescent="0.2">
      <c r="A5400" s="1126" t="s">
        <v>5982</v>
      </c>
      <c r="B5400" s="1127">
        <v>236</v>
      </c>
      <c r="C5400" s="1128">
        <v>0</v>
      </c>
      <c r="D5400" s="1128">
        <v>20.100000000000001</v>
      </c>
      <c r="E5400" s="1126"/>
    </row>
    <row r="5401" spans="1:5" x14ac:dyDescent="0.2">
      <c r="A5401" s="1126" t="s">
        <v>5983</v>
      </c>
      <c r="B5401" s="1127">
        <v>207</v>
      </c>
      <c r="C5401" s="1128">
        <v>47.56</v>
      </c>
      <c r="D5401" s="1128">
        <v>189.84</v>
      </c>
      <c r="E5401" s="1126"/>
    </row>
    <row r="5402" spans="1:5" x14ac:dyDescent="0.2">
      <c r="A5402" s="1126" t="s">
        <v>5984</v>
      </c>
      <c r="B5402" s="1127">
        <v>41</v>
      </c>
      <c r="C5402" s="1128">
        <v>0</v>
      </c>
      <c r="D5402" s="1128">
        <v>20.04</v>
      </c>
      <c r="E5402" s="1126"/>
    </row>
    <row r="5403" spans="1:5" x14ac:dyDescent="0.2">
      <c r="A5403" s="1126" t="s">
        <v>5985</v>
      </c>
      <c r="B5403" s="1127">
        <v>188</v>
      </c>
      <c r="C5403" s="1128">
        <v>459.45</v>
      </c>
      <c r="D5403" s="1128">
        <v>588.67999999999995</v>
      </c>
      <c r="E5403" s="1126"/>
    </row>
    <row r="5404" spans="1:5" x14ac:dyDescent="0.2">
      <c r="A5404" s="1126" t="s">
        <v>5986</v>
      </c>
      <c r="B5404" s="1127">
        <v>143</v>
      </c>
      <c r="C5404" s="1128">
        <v>0</v>
      </c>
      <c r="D5404" s="1128">
        <v>94.69</v>
      </c>
      <c r="E5404" s="1126"/>
    </row>
    <row r="5405" spans="1:5" x14ac:dyDescent="0.2">
      <c r="A5405" s="1126" t="s">
        <v>5987</v>
      </c>
      <c r="B5405" s="1127">
        <v>92</v>
      </c>
      <c r="C5405" s="1128">
        <v>0</v>
      </c>
      <c r="D5405" s="1128">
        <v>32.03</v>
      </c>
      <c r="E5405" s="1126"/>
    </row>
    <row r="5406" spans="1:5" x14ac:dyDescent="0.2">
      <c r="A5406" s="1126" t="s">
        <v>5988</v>
      </c>
      <c r="B5406" s="1127">
        <v>610</v>
      </c>
      <c r="C5406" s="1128">
        <v>0</v>
      </c>
      <c r="D5406" s="1128">
        <v>329.08</v>
      </c>
      <c r="E5406" s="1126"/>
    </row>
    <row r="5407" spans="1:5" x14ac:dyDescent="0.2">
      <c r="A5407" s="1126" t="s">
        <v>5989</v>
      </c>
      <c r="B5407" s="1127">
        <v>41</v>
      </c>
      <c r="C5407" s="1128">
        <v>0</v>
      </c>
      <c r="D5407" s="1128">
        <v>0</v>
      </c>
      <c r="E5407" s="1126"/>
    </row>
    <row r="5408" spans="1:5" x14ac:dyDescent="0.2">
      <c r="A5408" s="1126" t="s">
        <v>5990</v>
      </c>
      <c r="B5408" s="1127">
        <v>163</v>
      </c>
      <c r="C5408" s="1128">
        <v>29.09</v>
      </c>
      <c r="D5408" s="1128">
        <v>141.13</v>
      </c>
      <c r="E5408" s="1126"/>
    </row>
    <row r="5409" spans="1:5" x14ac:dyDescent="0.2">
      <c r="A5409" s="1126" t="s">
        <v>5991</v>
      </c>
      <c r="B5409" s="1127">
        <v>106</v>
      </c>
      <c r="C5409" s="1128">
        <v>0</v>
      </c>
      <c r="D5409" s="1128">
        <v>62.94</v>
      </c>
      <c r="E5409" s="1126"/>
    </row>
    <row r="5410" spans="1:5" x14ac:dyDescent="0.2">
      <c r="A5410" s="1126" t="s">
        <v>5992</v>
      </c>
      <c r="B5410" s="1127">
        <v>306</v>
      </c>
      <c r="C5410" s="1128">
        <v>84.74</v>
      </c>
      <c r="D5410" s="1128">
        <v>295.07</v>
      </c>
      <c r="E5410" s="1126"/>
    </row>
    <row r="5411" spans="1:5" x14ac:dyDescent="0.2">
      <c r="A5411" s="1126" t="s">
        <v>5993</v>
      </c>
      <c r="B5411" s="1127">
        <v>346</v>
      </c>
      <c r="C5411" s="1128">
        <v>184.6</v>
      </c>
      <c r="D5411" s="1128">
        <v>422.43</v>
      </c>
      <c r="E5411" s="1126"/>
    </row>
    <row r="5412" spans="1:5" x14ac:dyDescent="0.2">
      <c r="A5412" s="1126" t="s">
        <v>5994</v>
      </c>
      <c r="B5412" s="1127">
        <v>233</v>
      </c>
      <c r="C5412" s="1128">
        <v>134.80000000000001</v>
      </c>
      <c r="D5412" s="1128">
        <v>294.95999999999998</v>
      </c>
      <c r="E5412" s="1126"/>
    </row>
    <row r="5413" spans="1:5" x14ac:dyDescent="0.2">
      <c r="A5413" s="1126" t="s">
        <v>5995</v>
      </c>
      <c r="B5413" s="1127">
        <v>64</v>
      </c>
      <c r="C5413" s="1128">
        <v>0</v>
      </c>
      <c r="D5413" s="1128">
        <v>0</v>
      </c>
      <c r="E5413" s="1126"/>
    </row>
    <row r="5414" spans="1:5" x14ac:dyDescent="0.2">
      <c r="A5414" s="1126" t="s">
        <v>5996</v>
      </c>
      <c r="B5414" s="1127">
        <v>452</v>
      </c>
      <c r="C5414" s="1128">
        <v>0</v>
      </c>
      <c r="D5414" s="1128">
        <v>50.69</v>
      </c>
      <c r="E5414" s="1126"/>
    </row>
    <row r="5415" spans="1:5" x14ac:dyDescent="0.2">
      <c r="A5415" s="1126" t="s">
        <v>5997</v>
      </c>
      <c r="B5415" s="1127">
        <v>201</v>
      </c>
      <c r="C5415" s="1128">
        <v>547.99</v>
      </c>
      <c r="D5415" s="1128">
        <v>686.15</v>
      </c>
      <c r="E5415" s="1126"/>
    </row>
    <row r="5416" spans="1:5" x14ac:dyDescent="0.2">
      <c r="A5416" s="1126" t="s">
        <v>5998</v>
      </c>
      <c r="B5416" s="1127">
        <v>332</v>
      </c>
      <c r="C5416" s="1128">
        <v>107.89</v>
      </c>
      <c r="D5416" s="1128">
        <v>336.09</v>
      </c>
      <c r="E5416" s="1126"/>
    </row>
    <row r="5417" spans="1:5" x14ac:dyDescent="0.2">
      <c r="A5417" s="1126" t="s">
        <v>5999</v>
      </c>
      <c r="B5417" s="1127">
        <v>153</v>
      </c>
      <c r="C5417" s="1128">
        <v>216.63</v>
      </c>
      <c r="D5417" s="1128">
        <v>321.79000000000002</v>
      </c>
      <c r="E5417" s="1126"/>
    </row>
    <row r="5418" spans="1:5" x14ac:dyDescent="0.2">
      <c r="A5418" s="1126" t="s">
        <v>6000</v>
      </c>
      <c r="B5418" s="1127">
        <v>91</v>
      </c>
      <c r="C5418" s="1128">
        <v>97.91</v>
      </c>
      <c r="D5418" s="1128">
        <v>160.46</v>
      </c>
      <c r="E5418" s="1126"/>
    </row>
    <row r="5419" spans="1:5" x14ac:dyDescent="0.2">
      <c r="A5419" s="1126" t="s">
        <v>6001</v>
      </c>
      <c r="B5419" s="1127">
        <v>219</v>
      </c>
      <c r="C5419" s="1128">
        <v>0</v>
      </c>
      <c r="D5419" s="1128">
        <v>65.09</v>
      </c>
      <c r="E5419" s="1126"/>
    </row>
    <row r="5420" spans="1:5" x14ac:dyDescent="0.2">
      <c r="A5420" s="1126" t="s">
        <v>6002</v>
      </c>
      <c r="B5420" s="1127">
        <v>327</v>
      </c>
      <c r="C5420" s="1128">
        <v>0</v>
      </c>
      <c r="D5420" s="1128">
        <v>27.4</v>
      </c>
      <c r="E5420" s="1126"/>
    </row>
    <row r="5421" spans="1:5" x14ac:dyDescent="0.2">
      <c r="A5421" s="1126" t="s">
        <v>6003</v>
      </c>
      <c r="B5421" s="1127">
        <v>225</v>
      </c>
      <c r="C5421" s="1128">
        <v>0</v>
      </c>
      <c r="D5421" s="1128">
        <v>20.9</v>
      </c>
      <c r="E5421" s="1126"/>
    </row>
    <row r="5422" spans="1:5" x14ac:dyDescent="0.2">
      <c r="A5422" s="1126" t="s">
        <v>6004</v>
      </c>
      <c r="B5422" s="1127">
        <v>238</v>
      </c>
      <c r="C5422" s="1128">
        <v>225.09</v>
      </c>
      <c r="D5422" s="1128">
        <v>388.68</v>
      </c>
      <c r="E5422" s="1126"/>
    </row>
    <row r="5423" spans="1:5" x14ac:dyDescent="0.2">
      <c r="A5423" s="1126" t="s">
        <v>6005</v>
      </c>
      <c r="B5423" s="1127">
        <v>186</v>
      </c>
      <c r="C5423" s="1128">
        <v>0</v>
      </c>
      <c r="D5423" s="1128">
        <v>64.209999999999994</v>
      </c>
      <c r="E5423" s="1126"/>
    </row>
    <row r="5424" spans="1:5" x14ac:dyDescent="0.2">
      <c r="A5424" s="1126" t="s">
        <v>6006</v>
      </c>
      <c r="B5424" s="1127">
        <v>205</v>
      </c>
      <c r="C5424" s="1128">
        <v>42.16</v>
      </c>
      <c r="D5424" s="1128">
        <v>183.07</v>
      </c>
      <c r="E5424" s="1126"/>
    </row>
    <row r="5425" spans="1:5" x14ac:dyDescent="0.2">
      <c r="A5425" s="1126" t="s">
        <v>6007</v>
      </c>
      <c r="B5425" s="1127">
        <v>413</v>
      </c>
      <c r="C5425" s="1128">
        <v>0</v>
      </c>
      <c r="D5425" s="1128">
        <v>162.22</v>
      </c>
      <c r="E5425" s="1126"/>
    </row>
    <row r="5426" spans="1:5" x14ac:dyDescent="0.2">
      <c r="A5426" s="1126" t="s">
        <v>6008</v>
      </c>
      <c r="B5426" s="1127">
        <v>128</v>
      </c>
      <c r="C5426" s="1128">
        <v>254.54</v>
      </c>
      <c r="D5426" s="1128">
        <v>342.52</v>
      </c>
      <c r="E5426" s="1126"/>
    </row>
    <row r="5427" spans="1:5" x14ac:dyDescent="0.2">
      <c r="A5427" s="1126" t="s">
        <v>6009</v>
      </c>
      <c r="B5427" s="1127">
        <v>225</v>
      </c>
      <c r="C5427" s="1128">
        <v>594.91</v>
      </c>
      <c r="D5427" s="1128">
        <v>749.57</v>
      </c>
      <c r="E5427" s="1126"/>
    </row>
    <row r="5428" spans="1:5" x14ac:dyDescent="0.2">
      <c r="A5428" s="1126" t="s">
        <v>6010</v>
      </c>
      <c r="B5428" s="1127">
        <v>130</v>
      </c>
      <c r="C5428" s="1128">
        <v>289.43</v>
      </c>
      <c r="D5428" s="1128">
        <v>378.79</v>
      </c>
      <c r="E5428" s="1126"/>
    </row>
    <row r="5429" spans="1:5" x14ac:dyDescent="0.2">
      <c r="A5429" s="1126" t="s">
        <v>6011</v>
      </c>
      <c r="B5429" s="1127">
        <v>191</v>
      </c>
      <c r="C5429" s="1128">
        <v>513.5</v>
      </c>
      <c r="D5429" s="1128">
        <v>644.78</v>
      </c>
      <c r="E5429" s="1126"/>
    </row>
    <row r="5430" spans="1:5" x14ac:dyDescent="0.2">
      <c r="A5430" s="1126" t="s">
        <v>6012</v>
      </c>
      <c r="B5430" s="1127">
        <v>637</v>
      </c>
      <c r="C5430" s="1128">
        <v>194.92</v>
      </c>
      <c r="D5430" s="1128">
        <v>632.77</v>
      </c>
      <c r="E5430" s="1126"/>
    </row>
    <row r="5431" spans="1:5" x14ac:dyDescent="0.2">
      <c r="A5431" s="1126" t="s">
        <v>6013</v>
      </c>
      <c r="B5431" s="1127">
        <v>124</v>
      </c>
      <c r="C5431" s="1128">
        <v>312.64</v>
      </c>
      <c r="D5431" s="1128">
        <v>397.87</v>
      </c>
      <c r="E5431" s="1126"/>
    </row>
    <row r="5432" spans="1:5" x14ac:dyDescent="0.2">
      <c r="A5432" s="1126" t="s">
        <v>6014</v>
      </c>
      <c r="B5432" s="1127">
        <v>239</v>
      </c>
      <c r="C5432" s="1128">
        <v>19.079999999999998</v>
      </c>
      <c r="D5432" s="1128">
        <v>183.36</v>
      </c>
      <c r="E5432" s="1126"/>
    </row>
    <row r="5433" spans="1:5" x14ac:dyDescent="0.2">
      <c r="A5433" s="1126" t="s">
        <v>6015</v>
      </c>
      <c r="B5433" s="1127">
        <v>148</v>
      </c>
      <c r="C5433" s="1128">
        <v>209.05</v>
      </c>
      <c r="D5433" s="1128">
        <v>310.77999999999997</v>
      </c>
      <c r="E5433" s="1126"/>
    </row>
    <row r="5434" spans="1:5" x14ac:dyDescent="0.2">
      <c r="A5434" s="1126" t="s">
        <v>6016</v>
      </c>
      <c r="B5434" s="1127">
        <v>193</v>
      </c>
      <c r="C5434" s="1128">
        <v>555.79999999999995</v>
      </c>
      <c r="D5434" s="1128">
        <v>688.46</v>
      </c>
      <c r="E5434" s="1126"/>
    </row>
    <row r="5435" spans="1:5" x14ac:dyDescent="0.2">
      <c r="A5435" s="1126" t="s">
        <v>6017</v>
      </c>
      <c r="B5435" s="1127">
        <v>832</v>
      </c>
      <c r="C5435" s="1128">
        <v>211.17</v>
      </c>
      <c r="D5435" s="1128">
        <v>783.06</v>
      </c>
      <c r="E5435" s="1126"/>
    </row>
    <row r="5436" spans="1:5" x14ac:dyDescent="0.2">
      <c r="A5436" s="1126" t="s">
        <v>6018</v>
      </c>
      <c r="B5436" s="1127">
        <v>433</v>
      </c>
      <c r="C5436" s="1128">
        <v>0</v>
      </c>
      <c r="D5436" s="1128">
        <v>161.81</v>
      </c>
      <c r="E5436" s="1126"/>
    </row>
    <row r="5437" spans="1:5" x14ac:dyDescent="0.2">
      <c r="A5437" s="1126" t="s">
        <v>6019</v>
      </c>
      <c r="B5437" s="1127">
        <v>279</v>
      </c>
      <c r="C5437" s="1128">
        <v>859.7</v>
      </c>
      <c r="D5437" s="1128">
        <v>1051.48</v>
      </c>
      <c r="E5437" s="1126"/>
    </row>
    <row r="5438" spans="1:5" x14ac:dyDescent="0.2">
      <c r="A5438" s="1126" t="s">
        <v>6020</v>
      </c>
      <c r="B5438" s="1127">
        <v>130</v>
      </c>
      <c r="C5438" s="1128">
        <v>74.42</v>
      </c>
      <c r="D5438" s="1128">
        <v>163.78</v>
      </c>
      <c r="E5438" s="1126"/>
    </row>
    <row r="5439" spans="1:5" x14ac:dyDescent="0.2">
      <c r="A5439" s="1126" t="s">
        <v>6021</v>
      </c>
      <c r="B5439" s="1127">
        <v>222</v>
      </c>
      <c r="C5439" s="1128">
        <v>0</v>
      </c>
      <c r="D5439" s="1128">
        <v>122.38</v>
      </c>
      <c r="E5439" s="1126"/>
    </row>
    <row r="5440" spans="1:5" x14ac:dyDescent="0.2">
      <c r="A5440" s="1126" t="s">
        <v>6022</v>
      </c>
      <c r="B5440" s="1127">
        <v>90</v>
      </c>
      <c r="C5440" s="1128">
        <v>0</v>
      </c>
      <c r="D5440" s="1128">
        <v>9.5399999999999991</v>
      </c>
      <c r="E5440" s="1126"/>
    </row>
    <row r="5441" spans="1:5" x14ac:dyDescent="0.2">
      <c r="A5441" s="1126" t="s">
        <v>6023</v>
      </c>
      <c r="B5441" s="1127">
        <v>247</v>
      </c>
      <c r="C5441" s="1128">
        <v>0</v>
      </c>
      <c r="D5441" s="1128">
        <v>18.149999999999999</v>
      </c>
      <c r="E5441" s="1126"/>
    </row>
    <row r="5442" spans="1:5" x14ac:dyDescent="0.2">
      <c r="A5442" s="1126" t="s">
        <v>6024</v>
      </c>
      <c r="B5442" s="1127">
        <v>324</v>
      </c>
      <c r="C5442" s="1128">
        <v>0</v>
      </c>
      <c r="D5442" s="1128">
        <v>20.53</v>
      </c>
      <c r="E5442" s="1126"/>
    </row>
    <row r="5443" spans="1:5" x14ac:dyDescent="0.2">
      <c r="A5443" s="1126" t="s">
        <v>6025</v>
      </c>
      <c r="B5443" s="1127">
        <v>153</v>
      </c>
      <c r="C5443" s="1128">
        <v>226.69</v>
      </c>
      <c r="D5443" s="1128">
        <v>331.86</v>
      </c>
      <c r="E5443" s="1126"/>
    </row>
    <row r="5444" spans="1:5" x14ac:dyDescent="0.2">
      <c r="A5444" s="1126" t="s">
        <v>6026</v>
      </c>
      <c r="B5444" s="1127">
        <v>178</v>
      </c>
      <c r="C5444" s="1128">
        <v>419.36</v>
      </c>
      <c r="D5444" s="1128">
        <v>541.71</v>
      </c>
      <c r="E5444" s="1126"/>
    </row>
    <row r="5445" spans="1:5" x14ac:dyDescent="0.2">
      <c r="A5445" s="1126" t="s">
        <v>6027</v>
      </c>
      <c r="B5445" s="1127">
        <v>310</v>
      </c>
      <c r="C5445" s="1128">
        <v>0</v>
      </c>
      <c r="D5445" s="1128">
        <v>17.18</v>
      </c>
      <c r="E5445" s="1126"/>
    </row>
    <row r="5446" spans="1:5" x14ac:dyDescent="0.2">
      <c r="A5446" s="1126" t="s">
        <v>6028</v>
      </c>
      <c r="B5446" s="1127">
        <v>117</v>
      </c>
      <c r="C5446" s="1128">
        <v>129.09</v>
      </c>
      <c r="D5446" s="1128">
        <v>209.51</v>
      </c>
      <c r="E5446" s="1126"/>
    </row>
    <row r="5447" spans="1:5" x14ac:dyDescent="0.2">
      <c r="A5447" s="1126" t="s">
        <v>6029</v>
      </c>
      <c r="B5447" s="1127">
        <v>220</v>
      </c>
      <c r="C5447" s="1128">
        <v>297.93</v>
      </c>
      <c r="D5447" s="1128">
        <v>449.15</v>
      </c>
      <c r="E5447" s="1126"/>
    </row>
    <row r="5448" spans="1:5" x14ac:dyDescent="0.2">
      <c r="A5448" s="1126" t="s">
        <v>6030</v>
      </c>
      <c r="B5448" s="1127">
        <v>570</v>
      </c>
      <c r="C5448" s="1128">
        <v>234.94</v>
      </c>
      <c r="D5448" s="1128">
        <v>626.74</v>
      </c>
      <c r="E5448" s="1126"/>
    </row>
    <row r="5449" spans="1:5" x14ac:dyDescent="0.2">
      <c r="A5449" s="1126" t="s">
        <v>6031</v>
      </c>
      <c r="B5449" s="1127">
        <v>403</v>
      </c>
      <c r="C5449" s="1128">
        <v>1376.25</v>
      </c>
      <c r="D5449" s="1128">
        <v>1653.26</v>
      </c>
      <c r="E5449" s="1126"/>
    </row>
    <row r="5450" spans="1:5" x14ac:dyDescent="0.2">
      <c r="A5450" s="1126" t="s">
        <v>6032</v>
      </c>
      <c r="B5450" s="1127">
        <v>395</v>
      </c>
      <c r="C5450" s="1128">
        <v>0</v>
      </c>
      <c r="D5450" s="1128">
        <v>147.44999999999999</v>
      </c>
      <c r="E5450" s="1126"/>
    </row>
    <row r="5451" spans="1:5" x14ac:dyDescent="0.2">
      <c r="A5451" s="1126" t="s">
        <v>6033</v>
      </c>
      <c r="B5451" s="1127">
        <v>287</v>
      </c>
      <c r="C5451" s="1128">
        <v>1107.3399999999999</v>
      </c>
      <c r="D5451" s="1128">
        <v>1304.6099999999999</v>
      </c>
      <c r="E5451" s="1126"/>
    </row>
    <row r="5452" spans="1:5" x14ac:dyDescent="0.2">
      <c r="A5452" s="1126" t="s">
        <v>6034</v>
      </c>
      <c r="B5452" s="1127">
        <v>203</v>
      </c>
      <c r="C5452" s="1128">
        <v>186.69</v>
      </c>
      <c r="D5452" s="1128">
        <v>326.23</v>
      </c>
      <c r="E5452" s="1126"/>
    </row>
    <row r="5453" spans="1:5" x14ac:dyDescent="0.2">
      <c r="A5453" s="1126" t="s">
        <v>6035</v>
      </c>
      <c r="B5453" s="1127">
        <v>348</v>
      </c>
      <c r="C5453" s="1128">
        <v>1084.5999999999999</v>
      </c>
      <c r="D5453" s="1128">
        <v>1323.81</v>
      </c>
      <c r="E5453" s="1126"/>
    </row>
    <row r="5454" spans="1:5" x14ac:dyDescent="0.2">
      <c r="A5454" s="1126" t="s">
        <v>6036</v>
      </c>
      <c r="B5454" s="1127">
        <v>419</v>
      </c>
      <c r="C5454" s="1128">
        <v>0</v>
      </c>
      <c r="D5454" s="1128">
        <v>166.94</v>
      </c>
      <c r="E5454" s="1126"/>
    </row>
    <row r="5455" spans="1:5" x14ac:dyDescent="0.2">
      <c r="A5455" s="1126" t="s">
        <v>6037</v>
      </c>
      <c r="B5455" s="1127">
        <v>130</v>
      </c>
      <c r="C5455" s="1128">
        <v>94.24</v>
      </c>
      <c r="D5455" s="1128">
        <v>183.59</v>
      </c>
      <c r="E5455" s="1126"/>
    </row>
    <row r="5456" spans="1:5" x14ac:dyDescent="0.2">
      <c r="A5456" s="1126" t="s">
        <v>6038</v>
      </c>
      <c r="B5456" s="1127">
        <v>162</v>
      </c>
      <c r="C5456" s="1128">
        <v>421.63</v>
      </c>
      <c r="D5456" s="1128">
        <v>532.98</v>
      </c>
      <c r="E5456" s="1126"/>
    </row>
    <row r="5457" spans="1:5" x14ac:dyDescent="0.2">
      <c r="A5457" s="1126" t="s">
        <v>6039</v>
      </c>
      <c r="B5457" s="1127">
        <v>463</v>
      </c>
      <c r="C5457" s="1128">
        <v>1362.83</v>
      </c>
      <c r="D5457" s="1128">
        <v>1681.08</v>
      </c>
      <c r="E5457" s="1126"/>
    </row>
    <row r="5458" spans="1:5" x14ac:dyDescent="0.2">
      <c r="A5458" s="1126" t="s">
        <v>6040</v>
      </c>
      <c r="B5458" s="1127">
        <v>368</v>
      </c>
      <c r="C5458" s="1128">
        <v>1073.9100000000001</v>
      </c>
      <c r="D5458" s="1128">
        <v>1326.86</v>
      </c>
      <c r="E5458" s="1126"/>
    </row>
    <row r="5459" spans="1:5" x14ac:dyDescent="0.2">
      <c r="A5459" s="1126" t="s">
        <v>6041</v>
      </c>
      <c r="B5459" s="1127">
        <v>219</v>
      </c>
      <c r="C5459" s="1128">
        <v>508.7</v>
      </c>
      <c r="D5459" s="1128">
        <v>659.23</v>
      </c>
      <c r="E5459" s="1126"/>
    </row>
    <row r="5460" spans="1:5" x14ac:dyDescent="0.2">
      <c r="A5460" s="1126" t="s">
        <v>6042</v>
      </c>
      <c r="B5460" s="1127">
        <v>323</v>
      </c>
      <c r="C5460" s="1128">
        <v>868.35</v>
      </c>
      <c r="D5460" s="1128">
        <v>1090.3699999999999</v>
      </c>
      <c r="E5460" s="1126"/>
    </row>
    <row r="5461" spans="1:5" x14ac:dyDescent="0.2">
      <c r="A5461" s="1126" t="s">
        <v>6043</v>
      </c>
      <c r="B5461" s="1127">
        <v>186</v>
      </c>
      <c r="C5461" s="1128">
        <v>725.32</v>
      </c>
      <c r="D5461" s="1128">
        <v>853.16</v>
      </c>
      <c r="E5461" s="1126"/>
    </row>
    <row r="5462" spans="1:5" x14ac:dyDescent="0.2">
      <c r="A5462" s="1126" t="s">
        <v>6044</v>
      </c>
      <c r="B5462" s="1127">
        <v>182</v>
      </c>
      <c r="C5462" s="1128">
        <v>58.32</v>
      </c>
      <c r="D5462" s="1128">
        <v>183.42</v>
      </c>
      <c r="E5462" s="1126"/>
    </row>
    <row r="5463" spans="1:5" x14ac:dyDescent="0.2">
      <c r="A5463" s="1126" t="s">
        <v>6045</v>
      </c>
      <c r="B5463" s="1127">
        <v>314</v>
      </c>
      <c r="C5463" s="1128">
        <v>0</v>
      </c>
      <c r="D5463" s="1128">
        <v>38.67</v>
      </c>
      <c r="E5463" s="1126"/>
    </row>
    <row r="5464" spans="1:5" x14ac:dyDescent="0.2">
      <c r="A5464" s="1126" t="s">
        <v>6046</v>
      </c>
      <c r="B5464" s="1127">
        <v>224</v>
      </c>
      <c r="C5464" s="1128">
        <v>76.010000000000005</v>
      </c>
      <c r="D5464" s="1128">
        <v>229.98</v>
      </c>
      <c r="E5464" s="1126"/>
    </row>
    <row r="5465" spans="1:5" x14ac:dyDescent="0.2">
      <c r="A5465" s="1126" t="s">
        <v>6047</v>
      </c>
      <c r="B5465" s="1127">
        <v>247</v>
      </c>
      <c r="C5465" s="1128">
        <v>73.83</v>
      </c>
      <c r="D5465" s="1128">
        <v>243.61</v>
      </c>
      <c r="E5465" s="1126"/>
    </row>
    <row r="5466" spans="1:5" x14ac:dyDescent="0.2">
      <c r="A5466" s="1126" t="s">
        <v>6048</v>
      </c>
      <c r="B5466" s="1127">
        <v>303</v>
      </c>
      <c r="C5466" s="1128">
        <v>0</v>
      </c>
      <c r="D5466" s="1128">
        <v>72.77</v>
      </c>
      <c r="E5466" s="1126"/>
    </row>
    <row r="5467" spans="1:5" x14ac:dyDescent="0.2">
      <c r="A5467" s="1126" t="s">
        <v>6049</v>
      </c>
      <c r="B5467" s="1127">
        <v>237</v>
      </c>
      <c r="C5467" s="1128">
        <v>0</v>
      </c>
      <c r="D5467" s="1128">
        <v>50.55</v>
      </c>
      <c r="E5467" s="1126"/>
    </row>
    <row r="5468" spans="1:5" x14ac:dyDescent="0.2">
      <c r="A5468" s="1126" t="s">
        <v>6050</v>
      </c>
      <c r="B5468" s="1127">
        <v>198</v>
      </c>
      <c r="C5468" s="1128">
        <v>458.04</v>
      </c>
      <c r="D5468" s="1128">
        <v>594.13</v>
      </c>
      <c r="E5468" s="1126"/>
    </row>
    <row r="5469" spans="1:5" x14ac:dyDescent="0.2">
      <c r="A5469" s="1126" t="s">
        <v>6051</v>
      </c>
      <c r="B5469" s="1127">
        <v>377</v>
      </c>
      <c r="C5469" s="1128">
        <v>164.14</v>
      </c>
      <c r="D5469" s="1128">
        <v>423.27</v>
      </c>
      <c r="E5469" s="1126"/>
    </row>
    <row r="5470" spans="1:5" x14ac:dyDescent="0.2">
      <c r="A5470" s="1126" t="s">
        <v>6052</v>
      </c>
      <c r="B5470" s="1127">
        <v>323</v>
      </c>
      <c r="C5470" s="1128">
        <v>0</v>
      </c>
      <c r="D5470" s="1128">
        <v>151.6</v>
      </c>
      <c r="E5470" s="1126"/>
    </row>
    <row r="5471" spans="1:5" x14ac:dyDescent="0.2">
      <c r="A5471" s="1126" t="s">
        <v>6053</v>
      </c>
      <c r="B5471" s="1127">
        <v>185</v>
      </c>
      <c r="C5471" s="1128">
        <v>186.74</v>
      </c>
      <c r="D5471" s="1128">
        <v>313.91000000000003</v>
      </c>
      <c r="E5471" s="1126"/>
    </row>
    <row r="5472" spans="1:5" x14ac:dyDescent="0.2">
      <c r="A5472" s="1126" t="s">
        <v>6054</v>
      </c>
      <c r="B5472" s="1127">
        <v>261</v>
      </c>
      <c r="C5472" s="1128">
        <v>0</v>
      </c>
      <c r="D5472" s="1128">
        <v>140.46</v>
      </c>
      <c r="E5472" s="1126"/>
    </row>
    <row r="5473" spans="1:5" x14ac:dyDescent="0.2">
      <c r="A5473" s="1126" t="s">
        <v>6055</v>
      </c>
      <c r="B5473" s="1127">
        <v>229</v>
      </c>
      <c r="C5473" s="1128">
        <v>0</v>
      </c>
      <c r="D5473" s="1128">
        <v>140.54</v>
      </c>
      <c r="E5473" s="1126"/>
    </row>
    <row r="5474" spans="1:5" x14ac:dyDescent="0.2">
      <c r="A5474" s="1126" t="s">
        <v>6056</v>
      </c>
      <c r="B5474" s="1127">
        <v>190</v>
      </c>
      <c r="C5474" s="1128">
        <v>181.49</v>
      </c>
      <c r="D5474" s="1128">
        <v>312.08999999999997</v>
      </c>
      <c r="E5474" s="1126"/>
    </row>
    <row r="5475" spans="1:5" x14ac:dyDescent="0.2">
      <c r="A5475" s="1126" t="s">
        <v>6057</v>
      </c>
      <c r="B5475" s="1127">
        <v>269</v>
      </c>
      <c r="C5475" s="1128">
        <v>0</v>
      </c>
      <c r="D5475" s="1128">
        <v>21.19</v>
      </c>
      <c r="E5475" s="1126"/>
    </row>
    <row r="5476" spans="1:5" x14ac:dyDescent="0.2">
      <c r="A5476" s="1126" t="s">
        <v>6058</v>
      </c>
      <c r="B5476" s="1127">
        <v>544</v>
      </c>
      <c r="C5476" s="1128">
        <v>0</v>
      </c>
      <c r="D5476" s="1128">
        <v>248.79</v>
      </c>
      <c r="E5476" s="1126"/>
    </row>
    <row r="5477" spans="1:5" x14ac:dyDescent="0.2">
      <c r="A5477" s="1126" t="s">
        <v>6059</v>
      </c>
      <c r="B5477" s="1127">
        <v>123</v>
      </c>
      <c r="C5477" s="1128">
        <v>397.22</v>
      </c>
      <c r="D5477" s="1128">
        <v>481.77</v>
      </c>
      <c r="E5477" s="1126"/>
    </row>
    <row r="5478" spans="1:5" x14ac:dyDescent="0.2">
      <c r="A5478" s="1126" t="s">
        <v>6060</v>
      </c>
      <c r="B5478" s="1127">
        <v>529</v>
      </c>
      <c r="C5478" s="1128">
        <v>0</v>
      </c>
      <c r="D5478" s="1128">
        <v>162.72999999999999</v>
      </c>
      <c r="E5478" s="1126"/>
    </row>
    <row r="5479" spans="1:5" x14ac:dyDescent="0.2">
      <c r="A5479" s="1126" t="s">
        <v>6061</v>
      </c>
      <c r="B5479" s="1127">
        <v>247</v>
      </c>
      <c r="C5479" s="1128">
        <v>0</v>
      </c>
      <c r="D5479" s="1128">
        <v>74.03</v>
      </c>
      <c r="E5479" s="1126"/>
    </row>
    <row r="5480" spans="1:5" x14ac:dyDescent="0.2">
      <c r="A5480" s="1126" t="s">
        <v>6062</v>
      </c>
      <c r="B5480" s="1127">
        <v>500</v>
      </c>
      <c r="C5480" s="1128">
        <v>0</v>
      </c>
      <c r="D5480" s="1128">
        <v>96.39</v>
      </c>
      <c r="E5480" s="1126"/>
    </row>
    <row r="5481" spans="1:5" x14ac:dyDescent="0.2">
      <c r="A5481" s="1126" t="s">
        <v>6063</v>
      </c>
      <c r="B5481" s="1127">
        <v>233</v>
      </c>
      <c r="C5481" s="1128">
        <v>0</v>
      </c>
      <c r="D5481" s="1128">
        <v>44.13</v>
      </c>
      <c r="E5481" s="1126"/>
    </row>
    <row r="5482" spans="1:5" x14ac:dyDescent="0.2">
      <c r="A5482" s="1126" t="s">
        <v>6064</v>
      </c>
      <c r="B5482" s="1127">
        <v>157</v>
      </c>
      <c r="C5482" s="1128">
        <v>0</v>
      </c>
      <c r="D5482" s="1128">
        <v>14.39</v>
      </c>
      <c r="E5482" s="1126"/>
    </row>
    <row r="5483" spans="1:5" x14ac:dyDescent="0.2">
      <c r="A5483" s="1126" t="s">
        <v>6065</v>
      </c>
      <c r="B5483" s="1127">
        <v>238</v>
      </c>
      <c r="C5483" s="1128">
        <v>0</v>
      </c>
      <c r="D5483" s="1128">
        <v>0</v>
      </c>
      <c r="E5483" s="1126"/>
    </row>
    <row r="5484" spans="1:5" x14ac:dyDescent="0.2">
      <c r="A5484" s="1126" t="s">
        <v>6066</v>
      </c>
      <c r="B5484" s="1127">
        <v>226</v>
      </c>
      <c r="C5484" s="1128">
        <v>888.83</v>
      </c>
      <c r="D5484" s="1128">
        <v>1044.17</v>
      </c>
      <c r="E5484" s="1126"/>
    </row>
    <row r="5485" spans="1:5" x14ac:dyDescent="0.2">
      <c r="A5485" s="1126" t="s">
        <v>6067</v>
      </c>
      <c r="B5485" s="1127">
        <v>603</v>
      </c>
      <c r="C5485" s="1128">
        <v>1826.67</v>
      </c>
      <c r="D5485" s="1128">
        <v>2241.15</v>
      </c>
      <c r="E5485" s="1126"/>
    </row>
    <row r="5486" spans="1:5" x14ac:dyDescent="0.2">
      <c r="A5486" s="1126" t="s">
        <v>6068</v>
      </c>
      <c r="B5486" s="1127">
        <v>299</v>
      </c>
      <c r="C5486" s="1128">
        <v>0</v>
      </c>
      <c r="D5486" s="1128">
        <v>36.770000000000003</v>
      </c>
      <c r="E5486" s="1126"/>
    </row>
    <row r="5487" spans="1:5" x14ac:dyDescent="0.2">
      <c r="A5487" s="1126" t="s">
        <v>6069</v>
      </c>
      <c r="B5487" s="1127">
        <v>231</v>
      </c>
      <c r="C5487" s="1128">
        <v>0</v>
      </c>
      <c r="D5487" s="1128">
        <v>85.09</v>
      </c>
      <c r="E5487" s="1126"/>
    </row>
    <row r="5488" spans="1:5" x14ac:dyDescent="0.2">
      <c r="A5488" s="1126" t="s">
        <v>6070</v>
      </c>
      <c r="B5488" s="1127">
        <v>385</v>
      </c>
      <c r="C5488" s="1128">
        <v>0</v>
      </c>
      <c r="D5488" s="1128">
        <v>55.88</v>
      </c>
      <c r="E5488" s="1126"/>
    </row>
    <row r="5489" spans="1:5" x14ac:dyDescent="0.2">
      <c r="A5489" s="1126" t="s">
        <v>6071</v>
      </c>
      <c r="B5489" s="1127">
        <v>391</v>
      </c>
      <c r="C5489" s="1128">
        <v>1255.2</v>
      </c>
      <c r="D5489" s="1128">
        <v>1523.96</v>
      </c>
      <c r="E5489" s="1126"/>
    </row>
    <row r="5490" spans="1:5" x14ac:dyDescent="0.2">
      <c r="A5490" s="1126" t="s">
        <v>6072</v>
      </c>
      <c r="B5490" s="1127">
        <v>478</v>
      </c>
      <c r="C5490" s="1128">
        <v>454.98</v>
      </c>
      <c r="D5490" s="1128">
        <v>783.54</v>
      </c>
      <c r="E5490" s="1126"/>
    </row>
    <row r="5491" spans="1:5" x14ac:dyDescent="0.2">
      <c r="A5491" s="1126" t="s">
        <v>6073</v>
      </c>
      <c r="B5491" s="1127">
        <v>221</v>
      </c>
      <c r="C5491" s="1128">
        <v>0</v>
      </c>
      <c r="D5491" s="1128">
        <v>54.1</v>
      </c>
      <c r="E5491" s="1126"/>
    </row>
    <row r="5492" spans="1:5" x14ac:dyDescent="0.2">
      <c r="A5492" s="1126" t="s">
        <v>6074</v>
      </c>
      <c r="B5492" s="1127">
        <v>195</v>
      </c>
      <c r="C5492" s="1128">
        <v>328.49</v>
      </c>
      <c r="D5492" s="1128">
        <v>462.52</v>
      </c>
      <c r="E5492" s="1126"/>
    </row>
    <row r="5493" spans="1:5" x14ac:dyDescent="0.2">
      <c r="A5493" s="1126" t="s">
        <v>6075</v>
      </c>
      <c r="B5493" s="1127">
        <v>241</v>
      </c>
      <c r="C5493" s="1128">
        <v>0</v>
      </c>
      <c r="D5493" s="1128">
        <v>0</v>
      </c>
      <c r="E5493" s="1126"/>
    </row>
    <row r="5494" spans="1:5" x14ac:dyDescent="0.2">
      <c r="A5494" s="1126" t="s">
        <v>6076</v>
      </c>
      <c r="B5494" s="1127">
        <v>179</v>
      </c>
      <c r="C5494" s="1128">
        <v>128.16999999999999</v>
      </c>
      <c r="D5494" s="1128">
        <v>251.2</v>
      </c>
      <c r="E5494" s="1126"/>
    </row>
    <row r="5495" spans="1:5" x14ac:dyDescent="0.2">
      <c r="A5495" s="1126" t="s">
        <v>6077</v>
      </c>
      <c r="B5495" s="1127">
        <v>200</v>
      </c>
      <c r="C5495" s="1128">
        <v>0</v>
      </c>
      <c r="D5495" s="1128">
        <v>99.89</v>
      </c>
      <c r="E5495" s="1126"/>
    </row>
    <row r="5496" spans="1:5" x14ac:dyDescent="0.2">
      <c r="A5496" s="1126" t="s">
        <v>6078</v>
      </c>
      <c r="B5496" s="1127">
        <v>212</v>
      </c>
      <c r="C5496" s="1128">
        <v>451.39</v>
      </c>
      <c r="D5496" s="1128">
        <v>597.11</v>
      </c>
      <c r="E5496" s="1126"/>
    </row>
    <row r="5497" spans="1:5" x14ac:dyDescent="0.2">
      <c r="A5497" s="1126" t="s">
        <v>6079</v>
      </c>
      <c r="B5497" s="1127">
        <v>229</v>
      </c>
      <c r="C5497" s="1128">
        <v>77.900000000000006</v>
      </c>
      <c r="D5497" s="1128">
        <v>235.3</v>
      </c>
      <c r="E5497" s="1126"/>
    </row>
    <row r="5498" spans="1:5" x14ac:dyDescent="0.2">
      <c r="A5498" s="1126" t="s">
        <v>6080</v>
      </c>
      <c r="B5498" s="1127">
        <v>242</v>
      </c>
      <c r="C5498" s="1128">
        <v>0</v>
      </c>
      <c r="D5498" s="1128">
        <v>108.86</v>
      </c>
      <c r="E5498" s="1126"/>
    </row>
    <row r="5499" spans="1:5" x14ac:dyDescent="0.2">
      <c r="A5499" s="1126" t="s">
        <v>6081</v>
      </c>
      <c r="B5499" s="1127">
        <v>104</v>
      </c>
      <c r="C5499" s="1128">
        <v>298.79000000000002</v>
      </c>
      <c r="D5499" s="1128">
        <v>370.28</v>
      </c>
      <c r="E5499" s="1126"/>
    </row>
    <row r="5500" spans="1:5" x14ac:dyDescent="0.2">
      <c r="A5500" s="1126" t="s">
        <v>6082</v>
      </c>
      <c r="B5500" s="1127">
        <v>292</v>
      </c>
      <c r="C5500" s="1128">
        <v>102.62</v>
      </c>
      <c r="D5500" s="1128">
        <v>303.33</v>
      </c>
      <c r="E5500" s="1126"/>
    </row>
    <row r="5501" spans="1:5" x14ac:dyDescent="0.2">
      <c r="A5501" s="1126" t="s">
        <v>6083</v>
      </c>
      <c r="B5501" s="1127">
        <v>233</v>
      </c>
      <c r="C5501" s="1128">
        <v>157.18</v>
      </c>
      <c r="D5501" s="1128">
        <v>317.33999999999997</v>
      </c>
      <c r="E5501" s="1126"/>
    </row>
    <row r="5502" spans="1:5" x14ac:dyDescent="0.2">
      <c r="A5502" s="1126" t="s">
        <v>6084</v>
      </c>
      <c r="B5502" s="1127">
        <v>263</v>
      </c>
      <c r="C5502" s="1128">
        <v>1085.1199999999999</v>
      </c>
      <c r="D5502" s="1128">
        <v>1265.9000000000001</v>
      </c>
      <c r="E5502" s="1126"/>
    </row>
    <row r="5503" spans="1:5" x14ac:dyDescent="0.2">
      <c r="A5503" s="1126" t="s">
        <v>6085</v>
      </c>
      <c r="B5503" s="1127">
        <v>172</v>
      </c>
      <c r="C5503" s="1128">
        <v>324.02</v>
      </c>
      <c r="D5503" s="1128">
        <v>442.25</v>
      </c>
      <c r="E5503" s="1126"/>
    </row>
    <row r="5504" spans="1:5" x14ac:dyDescent="0.2">
      <c r="A5504" s="1126" t="s">
        <v>6086</v>
      </c>
      <c r="B5504" s="1127">
        <v>619</v>
      </c>
      <c r="C5504" s="1128">
        <v>0</v>
      </c>
      <c r="D5504" s="1128">
        <v>173.32</v>
      </c>
      <c r="E5504" s="1126"/>
    </row>
    <row r="5505" spans="1:5" x14ac:dyDescent="0.2">
      <c r="A5505" s="1126" t="s">
        <v>6087</v>
      </c>
      <c r="B5505" s="1127">
        <v>284</v>
      </c>
      <c r="C5505" s="1128">
        <v>1272.52</v>
      </c>
      <c r="D5505" s="1128">
        <v>1467.73</v>
      </c>
      <c r="E5505" s="1126"/>
    </row>
    <row r="5506" spans="1:5" x14ac:dyDescent="0.2">
      <c r="A5506" s="1126" t="s">
        <v>6088</v>
      </c>
      <c r="B5506" s="1127">
        <v>354</v>
      </c>
      <c r="C5506" s="1128">
        <v>534.07000000000005</v>
      </c>
      <c r="D5506" s="1128">
        <v>777.4</v>
      </c>
      <c r="E5506" s="1126"/>
    </row>
    <row r="5507" spans="1:5" x14ac:dyDescent="0.2">
      <c r="A5507" s="1126" t="s">
        <v>6089</v>
      </c>
      <c r="B5507" s="1127">
        <v>237</v>
      </c>
      <c r="C5507" s="1128">
        <v>161.49</v>
      </c>
      <c r="D5507" s="1128">
        <v>324.39</v>
      </c>
      <c r="E5507" s="1126"/>
    </row>
    <row r="5508" spans="1:5" x14ac:dyDescent="0.2">
      <c r="A5508" s="1126" t="s">
        <v>6090</v>
      </c>
      <c r="B5508" s="1127">
        <v>228</v>
      </c>
      <c r="C5508" s="1128">
        <v>469.99</v>
      </c>
      <c r="D5508" s="1128">
        <v>626.71</v>
      </c>
      <c r="E5508" s="1126"/>
    </row>
    <row r="5509" spans="1:5" x14ac:dyDescent="0.2">
      <c r="A5509" s="1126" t="s">
        <v>6091</v>
      </c>
      <c r="B5509" s="1127">
        <v>272</v>
      </c>
      <c r="C5509" s="1128">
        <v>272.18</v>
      </c>
      <c r="D5509" s="1128">
        <v>459.14</v>
      </c>
      <c r="E5509" s="1126"/>
    </row>
    <row r="5510" spans="1:5" x14ac:dyDescent="0.2">
      <c r="A5510" s="1126" t="s">
        <v>6092</v>
      </c>
      <c r="B5510" s="1127">
        <v>88</v>
      </c>
      <c r="C5510" s="1128">
        <v>60.99</v>
      </c>
      <c r="D5510" s="1128">
        <v>121.47</v>
      </c>
      <c r="E5510" s="1126"/>
    </row>
    <row r="5511" spans="1:5" x14ac:dyDescent="0.2">
      <c r="A5511" s="1126" t="s">
        <v>6093</v>
      </c>
      <c r="B5511" s="1127">
        <v>310</v>
      </c>
      <c r="C5511" s="1128">
        <v>1197.75</v>
      </c>
      <c r="D5511" s="1128">
        <v>1410.84</v>
      </c>
      <c r="E5511" s="1126"/>
    </row>
    <row r="5512" spans="1:5" x14ac:dyDescent="0.2">
      <c r="A5512" s="1126" t="s">
        <v>6094</v>
      </c>
      <c r="B5512" s="1127">
        <v>266</v>
      </c>
      <c r="C5512" s="1128">
        <v>606.6</v>
      </c>
      <c r="D5512" s="1128">
        <v>789.44</v>
      </c>
      <c r="E5512" s="1126"/>
    </row>
    <row r="5513" spans="1:5" x14ac:dyDescent="0.2">
      <c r="A5513" s="1126" t="s">
        <v>6095</v>
      </c>
      <c r="B5513" s="1127">
        <v>179</v>
      </c>
      <c r="C5513" s="1128">
        <v>0</v>
      </c>
      <c r="D5513" s="1128">
        <v>111.01</v>
      </c>
      <c r="E5513" s="1126"/>
    </row>
    <row r="5514" spans="1:5" x14ac:dyDescent="0.2">
      <c r="A5514" s="1126" t="s">
        <v>6096</v>
      </c>
      <c r="B5514" s="1127">
        <v>191</v>
      </c>
      <c r="C5514" s="1128">
        <v>738.21</v>
      </c>
      <c r="D5514" s="1128">
        <v>869.5</v>
      </c>
      <c r="E5514" s="1126"/>
    </row>
    <row r="5515" spans="1:5" x14ac:dyDescent="0.2">
      <c r="A5515" s="1126" t="s">
        <v>6097</v>
      </c>
      <c r="B5515" s="1127">
        <v>76</v>
      </c>
      <c r="C5515" s="1128">
        <v>178.65</v>
      </c>
      <c r="D5515" s="1128">
        <v>230.89</v>
      </c>
      <c r="E5515" s="1126"/>
    </row>
    <row r="5516" spans="1:5" x14ac:dyDescent="0.2">
      <c r="A5516" s="1126" t="s">
        <v>6098</v>
      </c>
      <c r="B5516" s="1127">
        <v>467</v>
      </c>
      <c r="C5516" s="1128">
        <v>47.71</v>
      </c>
      <c r="D5516" s="1128">
        <v>368.71</v>
      </c>
      <c r="E5516" s="1126"/>
    </row>
    <row r="5517" spans="1:5" x14ac:dyDescent="0.2">
      <c r="A5517" s="1126" t="s">
        <v>6099</v>
      </c>
      <c r="B5517" s="1127">
        <v>419</v>
      </c>
      <c r="C5517" s="1128">
        <v>0</v>
      </c>
      <c r="D5517" s="1128">
        <v>146.32</v>
      </c>
      <c r="E5517" s="1126"/>
    </row>
    <row r="5518" spans="1:5" x14ac:dyDescent="0.2">
      <c r="A5518" s="1126" t="s">
        <v>6100</v>
      </c>
      <c r="B5518" s="1127">
        <v>187</v>
      </c>
      <c r="C5518" s="1128">
        <v>50.28</v>
      </c>
      <c r="D5518" s="1128">
        <v>178.82</v>
      </c>
      <c r="E5518" s="1126"/>
    </row>
    <row r="5519" spans="1:5" x14ac:dyDescent="0.2">
      <c r="A5519" s="1126" t="s">
        <v>6101</v>
      </c>
      <c r="B5519" s="1127">
        <v>320</v>
      </c>
      <c r="C5519" s="1128">
        <v>0</v>
      </c>
      <c r="D5519" s="1128">
        <v>148.81</v>
      </c>
      <c r="E5519" s="1126"/>
    </row>
    <row r="5520" spans="1:5" x14ac:dyDescent="0.2">
      <c r="A5520" s="1126" t="s">
        <v>6102</v>
      </c>
      <c r="B5520" s="1127">
        <v>268</v>
      </c>
      <c r="C5520" s="1128">
        <v>199.81</v>
      </c>
      <c r="D5520" s="1128">
        <v>384.03</v>
      </c>
      <c r="E5520" s="1126"/>
    </row>
    <row r="5521" spans="1:5" x14ac:dyDescent="0.2">
      <c r="A5521" s="1126" t="s">
        <v>6103</v>
      </c>
      <c r="B5521" s="1127">
        <v>303</v>
      </c>
      <c r="C5521" s="1128">
        <v>0</v>
      </c>
      <c r="D5521" s="1128">
        <v>122.05</v>
      </c>
      <c r="E5521" s="1126"/>
    </row>
    <row r="5522" spans="1:5" x14ac:dyDescent="0.2">
      <c r="A5522" s="1126" t="s">
        <v>6104</v>
      </c>
      <c r="B5522" s="1127">
        <v>437</v>
      </c>
      <c r="C5522" s="1128">
        <v>0</v>
      </c>
      <c r="D5522" s="1128">
        <v>183.76</v>
      </c>
      <c r="E5522" s="1126"/>
    </row>
    <row r="5523" spans="1:5" x14ac:dyDescent="0.2">
      <c r="A5523" s="1126" t="s">
        <v>6105</v>
      </c>
      <c r="B5523" s="1127">
        <v>258</v>
      </c>
      <c r="C5523" s="1128">
        <v>951.53</v>
      </c>
      <c r="D5523" s="1128">
        <v>1128.8699999999999</v>
      </c>
      <c r="E5523" s="1126"/>
    </row>
    <row r="5524" spans="1:5" x14ac:dyDescent="0.2">
      <c r="A5524" s="1126" t="s">
        <v>6106</v>
      </c>
      <c r="B5524" s="1127">
        <v>124</v>
      </c>
      <c r="C5524" s="1128">
        <v>24.45</v>
      </c>
      <c r="D5524" s="1128">
        <v>109.68</v>
      </c>
      <c r="E5524" s="1126"/>
    </row>
    <row r="5525" spans="1:5" x14ac:dyDescent="0.2">
      <c r="A5525" s="1126" t="s">
        <v>6107</v>
      </c>
      <c r="B5525" s="1127">
        <v>138</v>
      </c>
      <c r="C5525" s="1128">
        <v>0</v>
      </c>
      <c r="D5525" s="1128">
        <v>75.36</v>
      </c>
      <c r="E5525" s="1126"/>
    </row>
    <row r="5526" spans="1:5" x14ac:dyDescent="0.2">
      <c r="A5526" s="1126" t="s">
        <v>6108</v>
      </c>
      <c r="B5526" s="1127">
        <v>138</v>
      </c>
      <c r="C5526" s="1128">
        <v>143.53</v>
      </c>
      <c r="D5526" s="1128">
        <v>238.39</v>
      </c>
      <c r="E5526" s="1126"/>
    </row>
    <row r="5527" spans="1:5" x14ac:dyDescent="0.2">
      <c r="A5527" s="1126" t="s">
        <v>6109</v>
      </c>
      <c r="B5527" s="1127">
        <v>162</v>
      </c>
      <c r="C5527" s="1128">
        <v>410.42</v>
      </c>
      <c r="D5527" s="1128">
        <v>521.77</v>
      </c>
      <c r="E5527" s="1126"/>
    </row>
    <row r="5528" spans="1:5" x14ac:dyDescent="0.2">
      <c r="A5528" s="1126" t="s">
        <v>6110</v>
      </c>
      <c r="B5528" s="1127">
        <v>172</v>
      </c>
      <c r="C5528" s="1128">
        <v>4.1100000000000003</v>
      </c>
      <c r="D5528" s="1128">
        <v>122.34</v>
      </c>
      <c r="E5528" s="1126"/>
    </row>
    <row r="5529" spans="1:5" x14ac:dyDescent="0.2">
      <c r="A5529" s="1126" t="s">
        <v>6111</v>
      </c>
      <c r="B5529" s="1127">
        <v>424</v>
      </c>
      <c r="C5529" s="1128">
        <v>0</v>
      </c>
      <c r="D5529" s="1128">
        <v>102.35</v>
      </c>
      <c r="E5529" s="1126"/>
    </row>
    <row r="5530" spans="1:5" x14ac:dyDescent="0.2">
      <c r="A5530" s="1126" t="s">
        <v>6112</v>
      </c>
      <c r="B5530" s="1127">
        <v>165</v>
      </c>
      <c r="C5530" s="1128">
        <v>147.76</v>
      </c>
      <c r="D5530" s="1128">
        <v>261.18</v>
      </c>
      <c r="E5530" s="1126"/>
    </row>
    <row r="5531" spans="1:5" x14ac:dyDescent="0.2">
      <c r="A5531" s="1126" t="s">
        <v>6113</v>
      </c>
      <c r="B5531" s="1127">
        <v>115</v>
      </c>
      <c r="C5531" s="1128">
        <v>407.17</v>
      </c>
      <c r="D5531" s="1128">
        <v>486.22</v>
      </c>
      <c r="E5531" s="1126"/>
    </row>
    <row r="5532" spans="1:5" x14ac:dyDescent="0.2">
      <c r="A5532" s="1126" t="s">
        <v>6114</v>
      </c>
      <c r="B5532" s="1127">
        <v>267</v>
      </c>
      <c r="C5532" s="1128">
        <v>95.04</v>
      </c>
      <c r="D5532" s="1128">
        <v>278.56</v>
      </c>
      <c r="E5532" s="1126"/>
    </row>
    <row r="5533" spans="1:5" x14ac:dyDescent="0.2">
      <c r="A5533" s="1126" t="s">
        <v>6115</v>
      </c>
      <c r="B5533" s="1127">
        <v>214</v>
      </c>
      <c r="C5533" s="1128">
        <v>0</v>
      </c>
      <c r="D5533" s="1128">
        <v>92.44</v>
      </c>
      <c r="E5533" s="1126"/>
    </row>
    <row r="5534" spans="1:5" x14ac:dyDescent="0.2">
      <c r="A5534" s="1126" t="s">
        <v>6116</v>
      </c>
      <c r="B5534" s="1127">
        <v>211</v>
      </c>
      <c r="C5534" s="1128">
        <v>389.22</v>
      </c>
      <c r="D5534" s="1128">
        <v>534.26</v>
      </c>
      <c r="E5534" s="1126"/>
    </row>
    <row r="5535" spans="1:5" x14ac:dyDescent="0.2">
      <c r="A5535" s="1126" t="s">
        <v>6117</v>
      </c>
      <c r="B5535" s="1127">
        <v>226</v>
      </c>
      <c r="C5535" s="1128">
        <v>0</v>
      </c>
      <c r="D5535" s="1128">
        <v>121.4</v>
      </c>
      <c r="E5535" s="1126"/>
    </row>
    <row r="5536" spans="1:5" x14ac:dyDescent="0.2">
      <c r="A5536" s="1126" t="s">
        <v>6118</v>
      </c>
      <c r="B5536" s="1127">
        <v>157</v>
      </c>
      <c r="C5536" s="1128">
        <v>0</v>
      </c>
      <c r="D5536" s="1128">
        <v>27.56</v>
      </c>
      <c r="E5536" s="1126"/>
    </row>
    <row r="5537" spans="1:5" x14ac:dyDescent="0.2">
      <c r="A5537" s="1126" t="s">
        <v>6119</v>
      </c>
      <c r="B5537" s="1127">
        <v>169</v>
      </c>
      <c r="C5537" s="1128">
        <v>192.98</v>
      </c>
      <c r="D5537" s="1128">
        <v>309.14999999999998</v>
      </c>
      <c r="E5537" s="1126"/>
    </row>
    <row r="5538" spans="1:5" x14ac:dyDescent="0.2">
      <c r="A5538" s="1126" t="s">
        <v>6120</v>
      </c>
      <c r="B5538" s="1127">
        <v>130</v>
      </c>
      <c r="C5538" s="1128">
        <v>309.74</v>
      </c>
      <c r="D5538" s="1128">
        <v>399.1</v>
      </c>
      <c r="E5538" s="1126"/>
    </row>
    <row r="5539" spans="1:5" x14ac:dyDescent="0.2">
      <c r="A5539" s="1126" t="s">
        <v>6121</v>
      </c>
      <c r="B5539" s="1127">
        <v>253</v>
      </c>
      <c r="C5539" s="1128">
        <v>0</v>
      </c>
      <c r="D5539" s="1128">
        <v>14.06</v>
      </c>
      <c r="E5539" s="1126"/>
    </row>
    <row r="5540" spans="1:5" x14ac:dyDescent="0.2">
      <c r="A5540" s="1126" t="s">
        <v>6122</v>
      </c>
      <c r="B5540" s="1127">
        <v>519</v>
      </c>
      <c r="C5540" s="1128">
        <v>0</v>
      </c>
      <c r="D5540" s="1128">
        <v>351.52</v>
      </c>
      <c r="E5540" s="1126"/>
    </row>
    <row r="5541" spans="1:5" x14ac:dyDescent="0.2">
      <c r="A5541" s="1126" t="s">
        <v>6123</v>
      </c>
      <c r="B5541" s="1127">
        <v>225</v>
      </c>
      <c r="C5541" s="1128">
        <v>0</v>
      </c>
      <c r="D5541" s="1128">
        <v>82.17</v>
      </c>
      <c r="E5541" s="1126"/>
    </row>
    <row r="5542" spans="1:5" x14ac:dyDescent="0.2">
      <c r="A5542" s="1126" t="s">
        <v>6124</v>
      </c>
      <c r="B5542" s="1127">
        <v>213</v>
      </c>
      <c r="C5542" s="1128">
        <v>201.44</v>
      </c>
      <c r="D5542" s="1128">
        <v>347.84</v>
      </c>
      <c r="E5542" s="1126"/>
    </row>
    <row r="5543" spans="1:5" x14ac:dyDescent="0.2">
      <c r="A5543" s="1126" t="s">
        <v>6125</v>
      </c>
      <c r="B5543" s="1127">
        <v>197</v>
      </c>
      <c r="C5543" s="1128">
        <v>0</v>
      </c>
      <c r="D5543" s="1128">
        <v>86.48</v>
      </c>
      <c r="E5543" s="1126"/>
    </row>
    <row r="5544" spans="1:5" x14ac:dyDescent="0.2">
      <c r="A5544" s="1126" t="s">
        <v>6126</v>
      </c>
      <c r="B5544" s="1127">
        <v>230</v>
      </c>
      <c r="C5544" s="1128">
        <v>0</v>
      </c>
      <c r="D5544" s="1128">
        <v>128.29</v>
      </c>
      <c r="E5544" s="1126"/>
    </row>
    <row r="5545" spans="1:5" x14ac:dyDescent="0.2">
      <c r="A5545" s="1126" t="s">
        <v>6127</v>
      </c>
      <c r="B5545" s="1127">
        <v>246</v>
      </c>
      <c r="C5545" s="1128">
        <v>0</v>
      </c>
      <c r="D5545" s="1128">
        <v>37</v>
      </c>
      <c r="E5545" s="1126"/>
    </row>
    <row r="5546" spans="1:5" x14ac:dyDescent="0.2">
      <c r="A5546" s="1126" t="s">
        <v>6128</v>
      </c>
      <c r="B5546" s="1127">
        <v>156</v>
      </c>
      <c r="C5546" s="1128">
        <v>80.81</v>
      </c>
      <c r="D5546" s="1128">
        <v>188.03</v>
      </c>
      <c r="E5546" s="1126"/>
    </row>
    <row r="5547" spans="1:5" x14ac:dyDescent="0.2">
      <c r="A5547" s="1126" t="s">
        <v>6129</v>
      </c>
      <c r="B5547" s="1127">
        <v>303</v>
      </c>
      <c r="C5547" s="1128">
        <v>131.79</v>
      </c>
      <c r="D5547" s="1128">
        <v>340.07</v>
      </c>
      <c r="E5547" s="1126"/>
    </row>
    <row r="5548" spans="1:5" x14ac:dyDescent="0.2">
      <c r="A5548" s="1126" t="s">
        <v>6130</v>
      </c>
      <c r="B5548" s="1127">
        <v>297</v>
      </c>
      <c r="C5548" s="1128">
        <v>498.13</v>
      </c>
      <c r="D5548" s="1128">
        <v>702.28</v>
      </c>
      <c r="E5548" s="1126"/>
    </row>
    <row r="5549" spans="1:5" x14ac:dyDescent="0.2">
      <c r="A5549" s="1126" t="s">
        <v>6131</v>
      </c>
      <c r="B5549" s="1127">
        <v>100</v>
      </c>
      <c r="C5549" s="1128">
        <v>283.62</v>
      </c>
      <c r="D5549" s="1128">
        <v>352.36</v>
      </c>
      <c r="E5549" s="1126"/>
    </row>
    <row r="5550" spans="1:5" x14ac:dyDescent="0.2">
      <c r="A5550" s="1126" t="s">
        <v>6132</v>
      </c>
      <c r="B5550" s="1127">
        <v>418</v>
      </c>
      <c r="C5550" s="1128">
        <v>59.87</v>
      </c>
      <c r="D5550" s="1128">
        <v>347.18</v>
      </c>
      <c r="E5550" s="1126"/>
    </row>
    <row r="5551" spans="1:5" x14ac:dyDescent="0.2">
      <c r="A5551" s="1126" t="s">
        <v>6133</v>
      </c>
      <c r="B5551" s="1127">
        <v>406</v>
      </c>
      <c r="C5551" s="1128">
        <v>392.03</v>
      </c>
      <c r="D5551" s="1128">
        <v>671.1</v>
      </c>
      <c r="E5551" s="1126"/>
    </row>
    <row r="5552" spans="1:5" x14ac:dyDescent="0.2">
      <c r="A5552" s="1126" t="s">
        <v>6134</v>
      </c>
      <c r="B5552" s="1127">
        <v>241</v>
      </c>
      <c r="C5552" s="1128">
        <v>0</v>
      </c>
      <c r="D5552" s="1128">
        <v>164.77</v>
      </c>
      <c r="E5552" s="1126"/>
    </row>
    <row r="5553" spans="1:5" x14ac:dyDescent="0.2">
      <c r="A5553" s="1126" t="s">
        <v>6135</v>
      </c>
      <c r="B5553" s="1127">
        <v>315</v>
      </c>
      <c r="C5553" s="1128">
        <v>0</v>
      </c>
      <c r="D5553" s="1128">
        <v>191.17</v>
      </c>
      <c r="E5553" s="1126"/>
    </row>
    <row r="5554" spans="1:5" x14ac:dyDescent="0.2">
      <c r="A5554" s="1126" t="s">
        <v>6136</v>
      </c>
      <c r="B5554" s="1127">
        <v>192</v>
      </c>
      <c r="C5554" s="1128">
        <v>614.28</v>
      </c>
      <c r="D5554" s="1128">
        <v>746.25</v>
      </c>
      <c r="E5554" s="1126"/>
    </row>
    <row r="5555" spans="1:5" x14ac:dyDescent="0.2">
      <c r="A5555" s="1126" t="s">
        <v>6137</v>
      </c>
      <c r="B5555" s="1127">
        <v>249</v>
      </c>
      <c r="C5555" s="1128">
        <v>842.95</v>
      </c>
      <c r="D5555" s="1128">
        <v>1014.11</v>
      </c>
      <c r="E5555" s="1126"/>
    </row>
    <row r="5556" spans="1:5" x14ac:dyDescent="0.2">
      <c r="A5556" s="1126" t="s">
        <v>6138</v>
      </c>
      <c r="B5556" s="1127">
        <v>371</v>
      </c>
      <c r="C5556" s="1128">
        <v>155.04</v>
      </c>
      <c r="D5556" s="1128">
        <v>410.05</v>
      </c>
      <c r="E5556" s="1126"/>
    </row>
    <row r="5557" spans="1:5" x14ac:dyDescent="0.2">
      <c r="A5557" s="1126" t="s">
        <v>6139</v>
      </c>
      <c r="B5557" s="1127">
        <v>162</v>
      </c>
      <c r="C5557" s="1128">
        <v>400.56</v>
      </c>
      <c r="D5557" s="1128">
        <v>511.92</v>
      </c>
      <c r="E5557" s="1126"/>
    </row>
    <row r="5558" spans="1:5" x14ac:dyDescent="0.2">
      <c r="A5558" s="1126" t="s">
        <v>6140</v>
      </c>
      <c r="B5558" s="1127">
        <v>123</v>
      </c>
      <c r="C5558" s="1128">
        <v>263.77</v>
      </c>
      <c r="D5558" s="1128">
        <v>348.32</v>
      </c>
      <c r="E5558" s="1126"/>
    </row>
    <row r="5559" spans="1:5" x14ac:dyDescent="0.2">
      <c r="A5559" s="1126" t="s">
        <v>6141</v>
      </c>
      <c r="B5559" s="1127">
        <v>217</v>
      </c>
      <c r="C5559" s="1128">
        <v>592.64</v>
      </c>
      <c r="D5559" s="1128">
        <v>741.79</v>
      </c>
      <c r="E5559" s="1126"/>
    </row>
    <row r="5560" spans="1:5" x14ac:dyDescent="0.2">
      <c r="A5560" s="1126" t="s">
        <v>6142</v>
      </c>
      <c r="B5560" s="1127">
        <v>225</v>
      </c>
      <c r="C5560" s="1128">
        <v>633.96</v>
      </c>
      <c r="D5560" s="1128">
        <v>788.62</v>
      </c>
      <c r="E5560" s="1126"/>
    </row>
    <row r="5561" spans="1:5" x14ac:dyDescent="0.2">
      <c r="A5561" s="1126" t="s">
        <v>6143</v>
      </c>
      <c r="B5561" s="1127">
        <v>407</v>
      </c>
      <c r="C5561" s="1128">
        <v>29.28</v>
      </c>
      <c r="D5561" s="1128">
        <v>309.04000000000002</v>
      </c>
      <c r="E5561" s="1126"/>
    </row>
    <row r="5562" spans="1:5" x14ac:dyDescent="0.2">
      <c r="A5562" s="1126" t="s">
        <v>6144</v>
      </c>
      <c r="B5562" s="1127">
        <v>293</v>
      </c>
      <c r="C5562" s="1128">
        <v>187.76</v>
      </c>
      <c r="D5562" s="1128">
        <v>389.15</v>
      </c>
      <c r="E5562" s="1126"/>
    </row>
    <row r="5563" spans="1:5" x14ac:dyDescent="0.2">
      <c r="A5563" s="1126" t="s">
        <v>6145</v>
      </c>
      <c r="B5563" s="1127">
        <v>223</v>
      </c>
      <c r="C5563" s="1128">
        <v>0</v>
      </c>
      <c r="D5563" s="1128">
        <v>125.28</v>
      </c>
      <c r="E5563" s="1126"/>
    </row>
    <row r="5564" spans="1:5" x14ac:dyDescent="0.2">
      <c r="A5564" s="1126" t="s">
        <v>6146</v>
      </c>
      <c r="B5564" s="1127">
        <v>122</v>
      </c>
      <c r="C5564" s="1128">
        <v>287.8</v>
      </c>
      <c r="D5564" s="1128">
        <v>371.65</v>
      </c>
      <c r="E5564" s="1126"/>
    </row>
    <row r="5565" spans="1:5" x14ac:dyDescent="0.2">
      <c r="A5565" s="1126" t="s">
        <v>6147</v>
      </c>
      <c r="B5565" s="1127">
        <v>276</v>
      </c>
      <c r="C5565" s="1128">
        <v>205.14</v>
      </c>
      <c r="D5565" s="1128">
        <v>394.85</v>
      </c>
      <c r="E5565" s="1126"/>
    </row>
    <row r="5566" spans="1:5" x14ac:dyDescent="0.2">
      <c r="A5566" s="1126" t="s">
        <v>6148</v>
      </c>
      <c r="B5566" s="1127">
        <v>186</v>
      </c>
      <c r="C5566" s="1128">
        <v>176.88</v>
      </c>
      <c r="D5566" s="1128">
        <v>304.73</v>
      </c>
      <c r="E5566" s="1126"/>
    </row>
    <row r="5567" spans="1:5" x14ac:dyDescent="0.2">
      <c r="A5567" s="1126" t="s">
        <v>6149</v>
      </c>
      <c r="B5567" s="1127">
        <v>270</v>
      </c>
      <c r="C5567" s="1128">
        <v>0</v>
      </c>
      <c r="D5567" s="1128">
        <v>0</v>
      </c>
      <c r="E5567" s="1126"/>
    </row>
    <row r="5568" spans="1:5" x14ac:dyDescent="0.2">
      <c r="A5568" s="1126" t="s">
        <v>6150</v>
      </c>
      <c r="B5568" s="1127">
        <v>372</v>
      </c>
      <c r="C5568" s="1128">
        <v>0</v>
      </c>
      <c r="D5568" s="1128">
        <v>124.07</v>
      </c>
      <c r="E5568" s="1126"/>
    </row>
    <row r="5569" spans="1:5" x14ac:dyDescent="0.2">
      <c r="A5569" s="1126" t="s">
        <v>6151</v>
      </c>
      <c r="B5569" s="1127">
        <v>387</v>
      </c>
      <c r="C5569" s="1128">
        <v>0</v>
      </c>
      <c r="D5569" s="1128">
        <v>69.94</v>
      </c>
      <c r="E5569" s="1126"/>
    </row>
    <row r="5570" spans="1:5" x14ac:dyDescent="0.2">
      <c r="A5570" s="1126" t="s">
        <v>6152</v>
      </c>
      <c r="B5570" s="1127">
        <v>598</v>
      </c>
      <c r="C5570" s="1128">
        <v>0</v>
      </c>
      <c r="D5570" s="1128">
        <v>101.91</v>
      </c>
      <c r="E5570" s="1126"/>
    </row>
    <row r="5571" spans="1:5" x14ac:dyDescent="0.2">
      <c r="A5571" s="1126" t="s">
        <v>6153</v>
      </c>
      <c r="B5571" s="1127">
        <v>345</v>
      </c>
      <c r="C5571" s="1128">
        <v>0</v>
      </c>
      <c r="D5571" s="1128">
        <v>52.8</v>
      </c>
      <c r="E5571" s="1126"/>
    </row>
    <row r="5572" spans="1:5" x14ac:dyDescent="0.2">
      <c r="A5572" s="1126" t="s">
        <v>6154</v>
      </c>
      <c r="B5572" s="1127">
        <v>265</v>
      </c>
      <c r="C5572" s="1128">
        <v>0</v>
      </c>
      <c r="D5572" s="1128">
        <v>152.47</v>
      </c>
      <c r="E5572" s="1126"/>
    </row>
    <row r="5573" spans="1:5" x14ac:dyDescent="0.2">
      <c r="A5573" s="1126" t="s">
        <v>6155</v>
      </c>
      <c r="B5573" s="1127">
        <v>228</v>
      </c>
      <c r="C5573" s="1128">
        <v>8.07</v>
      </c>
      <c r="D5573" s="1128">
        <v>164.79</v>
      </c>
      <c r="E5573" s="1126"/>
    </row>
    <row r="5574" spans="1:5" x14ac:dyDescent="0.2">
      <c r="A5574" s="1126" t="s">
        <v>6156</v>
      </c>
      <c r="B5574" s="1127">
        <v>172</v>
      </c>
      <c r="C5574" s="1128">
        <v>628.82000000000005</v>
      </c>
      <c r="D5574" s="1128">
        <v>747.05</v>
      </c>
      <c r="E5574" s="1126"/>
    </row>
    <row r="5575" spans="1:5" x14ac:dyDescent="0.2">
      <c r="A5575" s="1126" t="s">
        <v>6157</v>
      </c>
      <c r="B5575" s="1127">
        <v>497</v>
      </c>
      <c r="C5575" s="1128">
        <v>0</v>
      </c>
      <c r="D5575" s="1128">
        <v>327.97</v>
      </c>
      <c r="E5575" s="1126"/>
    </row>
    <row r="5576" spans="1:5" x14ac:dyDescent="0.2">
      <c r="A5576" s="1126" t="s">
        <v>6158</v>
      </c>
      <c r="B5576" s="1127">
        <v>252</v>
      </c>
      <c r="C5576" s="1128">
        <v>0</v>
      </c>
      <c r="D5576" s="1128">
        <v>99.08</v>
      </c>
      <c r="E5576" s="1126"/>
    </row>
    <row r="5577" spans="1:5" x14ac:dyDescent="0.2">
      <c r="A5577" s="1126" t="s">
        <v>6159</v>
      </c>
      <c r="B5577" s="1127">
        <v>291</v>
      </c>
      <c r="C5577" s="1128">
        <v>0</v>
      </c>
      <c r="D5577" s="1128">
        <v>190.34</v>
      </c>
      <c r="E5577" s="1126"/>
    </row>
    <row r="5578" spans="1:5" x14ac:dyDescent="0.2">
      <c r="A5578" s="1126" t="s">
        <v>6160</v>
      </c>
      <c r="B5578" s="1127">
        <v>292</v>
      </c>
      <c r="C5578" s="1128">
        <v>0</v>
      </c>
      <c r="D5578" s="1128">
        <v>107.09</v>
      </c>
      <c r="E5578" s="1126"/>
    </row>
    <row r="5579" spans="1:5" x14ac:dyDescent="0.2">
      <c r="A5579" s="1126" t="s">
        <v>6161</v>
      </c>
      <c r="B5579" s="1127">
        <v>425</v>
      </c>
      <c r="C5579" s="1128">
        <v>0</v>
      </c>
      <c r="D5579" s="1128">
        <v>49.99</v>
      </c>
      <c r="E5579" s="1126"/>
    </row>
    <row r="5580" spans="1:5" x14ac:dyDescent="0.2">
      <c r="A5580" s="1126" t="s">
        <v>6162</v>
      </c>
      <c r="B5580" s="1127">
        <v>811</v>
      </c>
      <c r="C5580" s="1128">
        <v>0</v>
      </c>
      <c r="D5580" s="1128">
        <v>86.36</v>
      </c>
      <c r="E5580" s="1126"/>
    </row>
    <row r="5581" spans="1:5" x14ac:dyDescent="0.2">
      <c r="A5581" s="1126" t="s">
        <v>6163</v>
      </c>
      <c r="B5581" s="1127">
        <v>148</v>
      </c>
      <c r="C5581" s="1128">
        <v>318.93</v>
      </c>
      <c r="D5581" s="1128">
        <v>420.66</v>
      </c>
      <c r="E5581" s="1126"/>
    </row>
    <row r="5582" spans="1:5" x14ac:dyDescent="0.2">
      <c r="A5582" s="1126" t="s">
        <v>6164</v>
      </c>
      <c r="B5582" s="1127">
        <v>116</v>
      </c>
      <c r="C5582" s="1128">
        <v>195.48</v>
      </c>
      <c r="D5582" s="1128">
        <v>275.20999999999998</v>
      </c>
      <c r="E5582" s="1126"/>
    </row>
    <row r="5583" spans="1:5" x14ac:dyDescent="0.2">
      <c r="A5583" s="1126" t="s">
        <v>6165</v>
      </c>
      <c r="B5583" s="1127">
        <v>186</v>
      </c>
      <c r="C5583" s="1128">
        <v>471.88</v>
      </c>
      <c r="D5583" s="1128">
        <v>599.73</v>
      </c>
      <c r="E5583" s="1126"/>
    </row>
    <row r="5584" spans="1:5" x14ac:dyDescent="0.2">
      <c r="A5584" s="1126" t="s">
        <v>6166</v>
      </c>
      <c r="B5584" s="1127">
        <v>175</v>
      </c>
      <c r="C5584" s="1128">
        <v>389.22</v>
      </c>
      <c r="D5584" s="1128">
        <v>509.51</v>
      </c>
      <c r="E5584" s="1126"/>
    </row>
    <row r="5585" spans="1:5" x14ac:dyDescent="0.2">
      <c r="A5585" s="1126" t="s">
        <v>6167</v>
      </c>
      <c r="B5585" s="1127">
        <v>335</v>
      </c>
      <c r="C5585" s="1128">
        <v>365.5</v>
      </c>
      <c r="D5585" s="1128">
        <v>595.77</v>
      </c>
      <c r="E5585" s="1126"/>
    </row>
    <row r="5586" spans="1:5" x14ac:dyDescent="0.2">
      <c r="A5586" s="1126" t="s">
        <v>6168</v>
      </c>
      <c r="B5586" s="1127">
        <v>386</v>
      </c>
      <c r="C5586" s="1128">
        <v>0</v>
      </c>
      <c r="D5586" s="1128">
        <v>32.21</v>
      </c>
      <c r="E5586" s="1126"/>
    </row>
    <row r="5587" spans="1:5" x14ac:dyDescent="0.2">
      <c r="A5587" s="1126" t="s">
        <v>6169</v>
      </c>
      <c r="B5587" s="1127">
        <v>331</v>
      </c>
      <c r="C5587" s="1128">
        <v>0</v>
      </c>
      <c r="D5587" s="1128">
        <v>179.73</v>
      </c>
      <c r="E5587" s="1126"/>
    </row>
    <row r="5588" spans="1:5" x14ac:dyDescent="0.2">
      <c r="A5588" s="1126" t="s">
        <v>6170</v>
      </c>
      <c r="B5588" s="1127">
        <v>666</v>
      </c>
      <c r="C5588" s="1128">
        <v>1205.6500000000001</v>
      </c>
      <c r="D5588" s="1128">
        <v>1663.43</v>
      </c>
      <c r="E5588" s="1126"/>
    </row>
    <row r="5589" spans="1:5" x14ac:dyDescent="0.2">
      <c r="A5589" s="1126" t="s">
        <v>6171</v>
      </c>
      <c r="B5589" s="1127">
        <v>508</v>
      </c>
      <c r="C5589" s="1128">
        <v>0</v>
      </c>
      <c r="D5589" s="1128">
        <v>164.55</v>
      </c>
      <c r="E5589" s="1126"/>
    </row>
    <row r="5590" spans="1:5" x14ac:dyDescent="0.2">
      <c r="A5590" s="1126" t="s">
        <v>6172</v>
      </c>
      <c r="B5590" s="1127">
        <v>192</v>
      </c>
      <c r="C5590" s="1128">
        <v>0</v>
      </c>
      <c r="D5590" s="1128">
        <v>99.58</v>
      </c>
      <c r="E5590" s="1126"/>
    </row>
    <row r="5591" spans="1:5" x14ac:dyDescent="0.2">
      <c r="A5591" s="1126" t="s">
        <v>6173</v>
      </c>
      <c r="B5591" s="1127">
        <v>278</v>
      </c>
      <c r="C5591" s="1128">
        <v>0</v>
      </c>
      <c r="D5591" s="1128">
        <v>138.11000000000001</v>
      </c>
      <c r="E5591" s="1126"/>
    </row>
    <row r="5592" spans="1:5" x14ac:dyDescent="0.2">
      <c r="A5592" s="1126" t="s">
        <v>6174</v>
      </c>
      <c r="B5592" s="1127">
        <v>299</v>
      </c>
      <c r="C5592" s="1128">
        <v>475.99</v>
      </c>
      <c r="D5592" s="1128">
        <v>681.51</v>
      </c>
      <c r="E5592" s="1126"/>
    </row>
    <row r="5593" spans="1:5" x14ac:dyDescent="0.2">
      <c r="A5593" s="1126" t="s">
        <v>6175</v>
      </c>
      <c r="B5593" s="1127">
        <v>316</v>
      </c>
      <c r="C5593" s="1128">
        <v>0</v>
      </c>
      <c r="D5593" s="1128">
        <v>184.68</v>
      </c>
      <c r="E5593" s="1126"/>
    </row>
    <row r="5594" spans="1:5" x14ac:dyDescent="0.2">
      <c r="A5594" s="1126" t="s">
        <v>6176</v>
      </c>
      <c r="B5594" s="1127">
        <v>279</v>
      </c>
      <c r="C5594" s="1128">
        <v>0</v>
      </c>
      <c r="D5594" s="1128">
        <v>128.19999999999999</v>
      </c>
      <c r="E5594" s="1126"/>
    </row>
    <row r="5595" spans="1:5" x14ac:dyDescent="0.2">
      <c r="A5595" s="1126" t="s">
        <v>6177</v>
      </c>
      <c r="B5595" s="1127">
        <v>154</v>
      </c>
      <c r="C5595" s="1128">
        <v>248.71</v>
      </c>
      <c r="D5595" s="1128">
        <v>354.56</v>
      </c>
      <c r="E5595" s="1126"/>
    </row>
    <row r="5596" spans="1:5" x14ac:dyDescent="0.2">
      <c r="A5596" s="1126" t="s">
        <v>6178</v>
      </c>
      <c r="B5596" s="1127">
        <v>294</v>
      </c>
      <c r="C5596" s="1128">
        <v>809.25</v>
      </c>
      <c r="D5596" s="1128">
        <v>1011.33</v>
      </c>
      <c r="E5596" s="1126"/>
    </row>
    <row r="5597" spans="1:5" x14ac:dyDescent="0.2">
      <c r="A5597" s="1126" t="s">
        <v>6179</v>
      </c>
      <c r="B5597" s="1127">
        <v>295</v>
      </c>
      <c r="C5597" s="1128">
        <v>812.29</v>
      </c>
      <c r="D5597" s="1128">
        <v>1015.07</v>
      </c>
      <c r="E5597" s="1126"/>
    </row>
    <row r="5598" spans="1:5" x14ac:dyDescent="0.2">
      <c r="A5598" s="1126" t="s">
        <v>6180</v>
      </c>
      <c r="B5598" s="1127">
        <v>217</v>
      </c>
      <c r="C5598" s="1128">
        <v>167.32</v>
      </c>
      <c r="D5598" s="1128">
        <v>316.47000000000003</v>
      </c>
      <c r="E5598" s="1126"/>
    </row>
    <row r="5599" spans="1:5" x14ac:dyDescent="0.2">
      <c r="A5599" s="1126" t="s">
        <v>6181</v>
      </c>
      <c r="B5599" s="1127">
        <v>308</v>
      </c>
      <c r="C5599" s="1128">
        <v>148.81</v>
      </c>
      <c r="D5599" s="1128">
        <v>360.52</v>
      </c>
      <c r="E5599" s="1126"/>
    </row>
    <row r="5600" spans="1:5" x14ac:dyDescent="0.2">
      <c r="A5600" s="1126" t="s">
        <v>6182</v>
      </c>
      <c r="B5600" s="1127">
        <v>208</v>
      </c>
      <c r="C5600" s="1128">
        <v>0</v>
      </c>
      <c r="D5600" s="1128">
        <v>5.66</v>
      </c>
      <c r="E5600" s="1126"/>
    </row>
    <row r="5601" spans="1:5" x14ac:dyDescent="0.2">
      <c r="A5601" s="1126" t="s">
        <v>6183</v>
      </c>
      <c r="B5601" s="1127">
        <v>445</v>
      </c>
      <c r="C5601" s="1128">
        <v>843.92</v>
      </c>
      <c r="D5601" s="1128">
        <v>1149.8</v>
      </c>
      <c r="E5601" s="1126"/>
    </row>
    <row r="5602" spans="1:5" x14ac:dyDescent="0.2">
      <c r="A5602" s="1126" t="s">
        <v>6184</v>
      </c>
      <c r="B5602" s="1127">
        <v>496</v>
      </c>
      <c r="C5602" s="1128">
        <v>0</v>
      </c>
      <c r="D5602" s="1128">
        <v>82.05</v>
      </c>
      <c r="E5602" s="1126"/>
    </row>
    <row r="5603" spans="1:5" x14ac:dyDescent="0.2">
      <c r="A5603" s="1126" t="s">
        <v>6185</v>
      </c>
      <c r="B5603" s="1127">
        <v>392</v>
      </c>
      <c r="C5603" s="1128">
        <v>1086.1400000000001</v>
      </c>
      <c r="D5603" s="1128">
        <v>1355.59</v>
      </c>
      <c r="E5603" s="1126"/>
    </row>
    <row r="5604" spans="1:5" x14ac:dyDescent="0.2">
      <c r="A5604" s="1126" t="s">
        <v>6186</v>
      </c>
      <c r="B5604" s="1127">
        <v>485</v>
      </c>
      <c r="C5604" s="1128">
        <v>0</v>
      </c>
      <c r="D5604" s="1128">
        <v>168.6</v>
      </c>
      <c r="E5604" s="1126"/>
    </row>
    <row r="5605" spans="1:5" x14ac:dyDescent="0.2">
      <c r="A5605" s="1126" t="s">
        <v>6187</v>
      </c>
      <c r="B5605" s="1127">
        <v>252</v>
      </c>
      <c r="C5605" s="1128">
        <v>551.5</v>
      </c>
      <c r="D5605" s="1128">
        <v>724.72</v>
      </c>
      <c r="E5605" s="1126"/>
    </row>
    <row r="5606" spans="1:5" x14ac:dyDescent="0.2">
      <c r="A5606" s="1126" t="s">
        <v>6188</v>
      </c>
      <c r="B5606" s="1127">
        <v>220</v>
      </c>
      <c r="C5606" s="1128">
        <v>159.88</v>
      </c>
      <c r="D5606" s="1128">
        <v>311.10000000000002</v>
      </c>
      <c r="E5606" s="1126"/>
    </row>
    <row r="5607" spans="1:5" x14ac:dyDescent="0.2">
      <c r="A5607" s="1126" t="s">
        <v>6189</v>
      </c>
      <c r="B5607" s="1127">
        <v>309</v>
      </c>
      <c r="C5607" s="1128">
        <v>847.63</v>
      </c>
      <c r="D5607" s="1128">
        <v>1060.02</v>
      </c>
      <c r="E5607" s="1126"/>
    </row>
    <row r="5608" spans="1:5" x14ac:dyDescent="0.2">
      <c r="A5608" s="1126" t="s">
        <v>6190</v>
      </c>
      <c r="B5608" s="1127">
        <v>364</v>
      </c>
      <c r="C5608" s="1128">
        <v>838.08</v>
      </c>
      <c r="D5608" s="1128">
        <v>1088.28</v>
      </c>
      <c r="E5608" s="1126"/>
    </row>
    <row r="5609" spans="1:5" x14ac:dyDescent="0.2">
      <c r="A5609" s="1126" t="s">
        <v>6191</v>
      </c>
      <c r="B5609" s="1127">
        <v>411</v>
      </c>
      <c r="C5609" s="1128">
        <v>490.11</v>
      </c>
      <c r="D5609" s="1128">
        <v>772.61</v>
      </c>
      <c r="E5609" s="1126"/>
    </row>
    <row r="5610" spans="1:5" x14ac:dyDescent="0.2">
      <c r="A5610" s="1126" t="s">
        <v>6192</v>
      </c>
      <c r="B5610" s="1127">
        <v>614</v>
      </c>
      <c r="C5610" s="1128">
        <v>10.69</v>
      </c>
      <c r="D5610" s="1128">
        <v>432.73</v>
      </c>
      <c r="E5610" s="1126"/>
    </row>
    <row r="5611" spans="1:5" x14ac:dyDescent="0.2">
      <c r="A5611" s="1126" t="s">
        <v>6193</v>
      </c>
      <c r="B5611" s="1127">
        <v>113</v>
      </c>
      <c r="C5611" s="1128">
        <v>255.8</v>
      </c>
      <c r="D5611" s="1128">
        <v>333.47</v>
      </c>
      <c r="E5611" s="1126"/>
    </row>
    <row r="5612" spans="1:5" x14ac:dyDescent="0.2">
      <c r="A5612" s="1126" t="s">
        <v>6194</v>
      </c>
      <c r="B5612" s="1127">
        <v>202</v>
      </c>
      <c r="C5612" s="1128">
        <v>695.16</v>
      </c>
      <c r="D5612" s="1128">
        <v>834</v>
      </c>
      <c r="E5612" s="1126"/>
    </row>
    <row r="5613" spans="1:5" x14ac:dyDescent="0.2">
      <c r="A5613" s="1126" t="s">
        <v>6195</v>
      </c>
      <c r="B5613" s="1127">
        <v>520</v>
      </c>
      <c r="C5613" s="1128">
        <v>12.3</v>
      </c>
      <c r="D5613" s="1128">
        <v>369.73</v>
      </c>
      <c r="E5613" s="1126"/>
    </row>
    <row r="5614" spans="1:5" x14ac:dyDescent="0.2">
      <c r="A5614" s="1126" t="s">
        <v>6196</v>
      </c>
      <c r="B5614" s="1127">
        <v>139</v>
      </c>
      <c r="C5614" s="1128">
        <v>428.32</v>
      </c>
      <c r="D5614" s="1128">
        <v>523.86</v>
      </c>
      <c r="E5614" s="1126"/>
    </row>
    <row r="5615" spans="1:5" x14ac:dyDescent="0.2">
      <c r="A5615" s="1126" t="s">
        <v>6197</v>
      </c>
      <c r="B5615" s="1127">
        <v>103</v>
      </c>
      <c r="C5615" s="1128">
        <v>309.57</v>
      </c>
      <c r="D5615" s="1128">
        <v>380.37</v>
      </c>
      <c r="E5615" s="1126"/>
    </row>
    <row r="5616" spans="1:5" x14ac:dyDescent="0.2">
      <c r="A5616" s="1126" t="s">
        <v>6198</v>
      </c>
      <c r="B5616" s="1127">
        <v>425</v>
      </c>
      <c r="C5616" s="1128">
        <v>759.21</v>
      </c>
      <c r="D5616" s="1128">
        <v>1051.3399999999999</v>
      </c>
      <c r="E5616" s="1126"/>
    </row>
    <row r="5617" spans="1:5" x14ac:dyDescent="0.2">
      <c r="A5617" s="1126" t="s">
        <v>6199</v>
      </c>
      <c r="B5617" s="1127">
        <v>284</v>
      </c>
      <c r="C5617" s="1128">
        <v>346.69</v>
      </c>
      <c r="D5617" s="1128">
        <v>541.9</v>
      </c>
      <c r="E5617" s="1126"/>
    </row>
    <row r="5618" spans="1:5" x14ac:dyDescent="0.2">
      <c r="A5618" s="1126" t="s">
        <v>6200</v>
      </c>
      <c r="B5618" s="1127">
        <v>307</v>
      </c>
      <c r="C5618" s="1128">
        <v>788.89</v>
      </c>
      <c r="D5618" s="1128">
        <v>999.92</v>
      </c>
      <c r="E5618" s="1126"/>
    </row>
    <row r="5619" spans="1:5" x14ac:dyDescent="0.2">
      <c r="A5619" s="1126" t="s">
        <v>6201</v>
      </c>
      <c r="B5619" s="1127">
        <v>290</v>
      </c>
      <c r="C5619" s="1128">
        <v>836.84</v>
      </c>
      <c r="D5619" s="1128">
        <v>1036.17</v>
      </c>
      <c r="E5619" s="1126"/>
    </row>
    <row r="5620" spans="1:5" x14ac:dyDescent="0.2">
      <c r="A5620" s="1126" t="s">
        <v>6202</v>
      </c>
      <c r="B5620" s="1127">
        <v>209</v>
      </c>
      <c r="C5620" s="1128">
        <v>522.02</v>
      </c>
      <c r="D5620" s="1128">
        <v>665.68</v>
      </c>
      <c r="E5620" s="1126"/>
    </row>
    <row r="5621" spans="1:5" x14ac:dyDescent="0.2">
      <c r="A5621" s="1126" t="s">
        <v>6203</v>
      </c>
      <c r="B5621" s="1127">
        <v>102</v>
      </c>
      <c r="C5621" s="1128">
        <v>0</v>
      </c>
      <c r="D5621" s="1128">
        <v>50.16</v>
      </c>
      <c r="E5621" s="1126"/>
    </row>
    <row r="5622" spans="1:5" x14ac:dyDescent="0.2">
      <c r="A5622" s="1126" t="s">
        <v>6204</v>
      </c>
      <c r="B5622" s="1127">
        <v>196</v>
      </c>
      <c r="C5622" s="1128">
        <v>554.16999999999996</v>
      </c>
      <c r="D5622" s="1128">
        <v>688.89</v>
      </c>
      <c r="E5622" s="1126"/>
    </row>
    <row r="5623" spans="1:5" x14ac:dyDescent="0.2">
      <c r="A5623" s="1126" t="s">
        <v>6205</v>
      </c>
      <c r="B5623" s="1127">
        <v>313</v>
      </c>
      <c r="C5623" s="1128">
        <v>92.68</v>
      </c>
      <c r="D5623" s="1128">
        <v>307.82</v>
      </c>
      <c r="E5623" s="1126"/>
    </row>
    <row r="5624" spans="1:5" x14ac:dyDescent="0.2">
      <c r="A5624" s="1126" t="s">
        <v>6206</v>
      </c>
      <c r="B5624" s="1127">
        <v>152</v>
      </c>
      <c r="C5624" s="1128">
        <v>0</v>
      </c>
      <c r="D5624" s="1128">
        <v>43.24</v>
      </c>
      <c r="E5624" s="1126"/>
    </row>
    <row r="5625" spans="1:5" x14ac:dyDescent="0.2">
      <c r="A5625" s="1126" t="s">
        <v>6207</v>
      </c>
      <c r="B5625" s="1127">
        <v>138</v>
      </c>
      <c r="C5625" s="1128">
        <v>0</v>
      </c>
      <c r="D5625" s="1128">
        <v>14.3</v>
      </c>
      <c r="E5625" s="1126"/>
    </row>
    <row r="5626" spans="1:5" x14ac:dyDescent="0.2">
      <c r="A5626" s="1126" t="s">
        <v>6208</v>
      </c>
      <c r="B5626" s="1127">
        <v>44</v>
      </c>
      <c r="C5626" s="1128">
        <v>34.590000000000003</v>
      </c>
      <c r="D5626" s="1128">
        <v>64.83</v>
      </c>
      <c r="E5626" s="1126"/>
    </row>
    <row r="5627" spans="1:5" x14ac:dyDescent="0.2">
      <c r="A5627" s="1126" t="s">
        <v>6209</v>
      </c>
      <c r="B5627" s="1127">
        <v>182</v>
      </c>
      <c r="C5627" s="1128">
        <v>182.02</v>
      </c>
      <c r="D5627" s="1128">
        <v>307.12</v>
      </c>
      <c r="E5627" s="1126"/>
    </row>
    <row r="5628" spans="1:5" x14ac:dyDescent="0.2">
      <c r="A5628" s="1126" t="s">
        <v>6210</v>
      </c>
      <c r="B5628" s="1127">
        <v>228</v>
      </c>
      <c r="C5628" s="1128">
        <v>249.05</v>
      </c>
      <c r="D5628" s="1128">
        <v>405.77</v>
      </c>
      <c r="E5628" s="1126"/>
    </row>
    <row r="5629" spans="1:5" x14ac:dyDescent="0.2">
      <c r="A5629" s="1126" t="s">
        <v>6211</v>
      </c>
      <c r="B5629" s="1127">
        <v>210</v>
      </c>
      <c r="C5629" s="1128">
        <v>250.82</v>
      </c>
      <c r="D5629" s="1128">
        <v>395.16</v>
      </c>
      <c r="E5629" s="1126"/>
    </row>
    <row r="5630" spans="1:5" x14ac:dyDescent="0.2">
      <c r="A5630" s="1126" t="s">
        <v>6212</v>
      </c>
      <c r="B5630" s="1127">
        <v>264</v>
      </c>
      <c r="C5630" s="1128">
        <v>243.26</v>
      </c>
      <c r="D5630" s="1128">
        <v>424.73</v>
      </c>
      <c r="E5630" s="1126"/>
    </row>
    <row r="5631" spans="1:5" x14ac:dyDescent="0.2">
      <c r="A5631" s="1126" t="s">
        <v>6213</v>
      </c>
      <c r="B5631" s="1127">
        <v>216</v>
      </c>
      <c r="C5631" s="1128">
        <v>0</v>
      </c>
      <c r="D5631" s="1128">
        <v>119.41</v>
      </c>
      <c r="E5631" s="1126"/>
    </row>
    <row r="5632" spans="1:5" x14ac:dyDescent="0.2">
      <c r="A5632" s="1126" t="s">
        <v>6214</v>
      </c>
      <c r="B5632" s="1127">
        <v>166</v>
      </c>
      <c r="C5632" s="1128">
        <v>0</v>
      </c>
      <c r="D5632" s="1128">
        <v>92.04</v>
      </c>
      <c r="E5632" s="1126"/>
    </row>
    <row r="5633" spans="1:5" x14ac:dyDescent="0.2">
      <c r="A5633" s="1126" t="s">
        <v>6215</v>
      </c>
      <c r="B5633" s="1127">
        <v>374</v>
      </c>
      <c r="C5633" s="1128">
        <v>0</v>
      </c>
      <c r="D5633" s="1128">
        <v>72.819999999999993</v>
      </c>
      <c r="E5633" s="1126"/>
    </row>
    <row r="5634" spans="1:5" x14ac:dyDescent="0.2">
      <c r="A5634" s="1126" t="s">
        <v>6216</v>
      </c>
      <c r="B5634" s="1127">
        <v>314</v>
      </c>
      <c r="C5634" s="1128">
        <v>0</v>
      </c>
      <c r="D5634" s="1128">
        <v>161.07</v>
      </c>
      <c r="E5634" s="1126"/>
    </row>
    <row r="5635" spans="1:5" x14ac:dyDescent="0.2">
      <c r="A5635" s="1126" t="s">
        <v>6217</v>
      </c>
      <c r="B5635" s="1127">
        <v>196</v>
      </c>
      <c r="C5635" s="1128">
        <v>60.73</v>
      </c>
      <c r="D5635" s="1128">
        <v>195.45</v>
      </c>
      <c r="E5635" s="1126"/>
    </row>
    <row r="5636" spans="1:5" x14ac:dyDescent="0.2">
      <c r="A5636" s="1126" t="s">
        <v>6218</v>
      </c>
      <c r="B5636" s="1127">
        <v>131</v>
      </c>
      <c r="C5636" s="1128">
        <v>36.78</v>
      </c>
      <c r="D5636" s="1128">
        <v>126.82</v>
      </c>
      <c r="E5636" s="1126"/>
    </row>
    <row r="5637" spans="1:5" x14ac:dyDescent="0.2">
      <c r="A5637" s="1126" t="s">
        <v>6219</v>
      </c>
      <c r="B5637" s="1127">
        <v>284</v>
      </c>
      <c r="C5637" s="1128">
        <v>259.55</v>
      </c>
      <c r="D5637" s="1128">
        <v>454.76</v>
      </c>
      <c r="E5637" s="1126"/>
    </row>
    <row r="5638" spans="1:5" x14ac:dyDescent="0.2">
      <c r="A5638" s="1126" t="s">
        <v>6220</v>
      </c>
      <c r="B5638" s="1127">
        <v>258</v>
      </c>
      <c r="C5638" s="1128">
        <v>0</v>
      </c>
      <c r="D5638" s="1128">
        <v>118.02</v>
      </c>
      <c r="E5638" s="1126"/>
    </row>
    <row r="5639" spans="1:5" x14ac:dyDescent="0.2">
      <c r="A5639" s="1126" t="s">
        <v>6221</v>
      </c>
      <c r="B5639" s="1127">
        <v>344</v>
      </c>
      <c r="C5639" s="1128">
        <v>0</v>
      </c>
      <c r="D5639" s="1128">
        <v>220.22</v>
      </c>
      <c r="E5639" s="1126"/>
    </row>
    <row r="5640" spans="1:5" x14ac:dyDescent="0.2">
      <c r="A5640" s="1126" t="s">
        <v>6222</v>
      </c>
      <c r="B5640" s="1127">
        <v>535</v>
      </c>
      <c r="C5640" s="1128">
        <v>0</v>
      </c>
      <c r="D5640" s="1128">
        <v>217.11</v>
      </c>
      <c r="E5640" s="1126"/>
    </row>
    <row r="5641" spans="1:5" x14ac:dyDescent="0.2">
      <c r="A5641" s="1126" t="s">
        <v>6223</v>
      </c>
      <c r="B5641" s="1127">
        <v>166</v>
      </c>
      <c r="C5641" s="1128">
        <v>3.11</v>
      </c>
      <c r="D5641" s="1128">
        <v>117.21</v>
      </c>
      <c r="E5641" s="1126"/>
    </row>
    <row r="5642" spans="1:5" x14ac:dyDescent="0.2">
      <c r="A5642" s="1126" t="s">
        <v>6224</v>
      </c>
      <c r="B5642" s="1127">
        <v>233</v>
      </c>
      <c r="C5642" s="1128">
        <v>0</v>
      </c>
      <c r="D5642" s="1128">
        <v>13.77</v>
      </c>
      <c r="E5642" s="1126"/>
    </row>
    <row r="5643" spans="1:5" x14ac:dyDescent="0.2">
      <c r="A5643" s="1126" t="s">
        <v>6225</v>
      </c>
      <c r="B5643" s="1127">
        <v>227</v>
      </c>
      <c r="C5643" s="1128">
        <v>226.02</v>
      </c>
      <c r="D5643" s="1128">
        <v>382.05</v>
      </c>
      <c r="E5643" s="1126"/>
    </row>
    <row r="5644" spans="1:5" x14ac:dyDescent="0.2">
      <c r="A5644" s="1126" t="s">
        <v>6226</v>
      </c>
      <c r="B5644" s="1127">
        <v>144</v>
      </c>
      <c r="C5644" s="1128">
        <v>0</v>
      </c>
      <c r="D5644" s="1128">
        <v>48.19</v>
      </c>
      <c r="E5644" s="1126"/>
    </row>
    <row r="5645" spans="1:5" x14ac:dyDescent="0.2">
      <c r="A5645" s="1126" t="s">
        <v>6227</v>
      </c>
      <c r="B5645" s="1127">
        <v>105</v>
      </c>
      <c r="C5645" s="1128">
        <v>100.01</v>
      </c>
      <c r="D5645" s="1128">
        <v>172.19</v>
      </c>
      <c r="E5645" s="1126"/>
    </row>
    <row r="5646" spans="1:5" x14ac:dyDescent="0.2">
      <c r="A5646" s="1126" t="s">
        <v>6228</v>
      </c>
      <c r="B5646" s="1127">
        <v>161</v>
      </c>
      <c r="C5646" s="1128">
        <v>39.130000000000003</v>
      </c>
      <c r="D5646" s="1128">
        <v>149.80000000000001</v>
      </c>
      <c r="E5646" s="1126"/>
    </row>
    <row r="5647" spans="1:5" x14ac:dyDescent="0.2">
      <c r="A5647" s="1126" t="s">
        <v>6229</v>
      </c>
      <c r="B5647" s="1127">
        <v>95</v>
      </c>
      <c r="C5647" s="1128">
        <v>0</v>
      </c>
      <c r="D5647" s="1128">
        <v>29.13</v>
      </c>
      <c r="E5647" s="1126"/>
    </row>
    <row r="5648" spans="1:5" x14ac:dyDescent="0.2">
      <c r="A5648" s="1126" t="s">
        <v>6230</v>
      </c>
      <c r="B5648" s="1127">
        <v>285</v>
      </c>
      <c r="C5648" s="1128">
        <v>0</v>
      </c>
      <c r="D5648" s="1128">
        <v>124.65</v>
      </c>
      <c r="E5648" s="1126"/>
    </row>
    <row r="5649" spans="1:5" x14ac:dyDescent="0.2">
      <c r="A5649" s="1126" t="s">
        <v>6231</v>
      </c>
      <c r="B5649" s="1127">
        <v>122</v>
      </c>
      <c r="C5649" s="1128">
        <v>0</v>
      </c>
      <c r="D5649" s="1128">
        <v>60.78</v>
      </c>
      <c r="E5649" s="1126"/>
    </row>
    <row r="5650" spans="1:5" x14ac:dyDescent="0.2">
      <c r="A5650" s="1126" t="s">
        <v>6232</v>
      </c>
      <c r="B5650" s="1127">
        <v>222</v>
      </c>
      <c r="C5650" s="1128">
        <v>0</v>
      </c>
      <c r="D5650" s="1128">
        <v>19.37</v>
      </c>
      <c r="E5650" s="1126"/>
    </row>
    <row r="5651" spans="1:5" x14ac:dyDescent="0.2">
      <c r="A5651" s="1126" t="s">
        <v>6233</v>
      </c>
      <c r="B5651" s="1127">
        <v>187</v>
      </c>
      <c r="C5651" s="1128">
        <v>0</v>
      </c>
      <c r="D5651" s="1128">
        <v>20.49</v>
      </c>
      <c r="E5651" s="1126"/>
    </row>
    <row r="5652" spans="1:5" x14ac:dyDescent="0.2">
      <c r="A5652" s="1126" t="s">
        <v>6234</v>
      </c>
      <c r="B5652" s="1127">
        <v>101</v>
      </c>
      <c r="C5652" s="1128">
        <v>80.16</v>
      </c>
      <c r="D5652" s="1128">
        <v>149.58000000000001</v>
      </c>
      <c r="E5652" s="1126"/>
    </row>
    <row r="5653" spans="1:5" x14ac:dyDescent="0.2">
      <c r="A5653" s="1126" t="s">
        <v>6235</v>
      </c>
      <c r="B5653" s="1127">
        <v>256</v>
      </c>
      <c r="C5653" s="1128">
        <v>0</v>
      </c>
      <c r="D5653" s="1128">
        <v>62.6</v>
      </c>
      <c r="E5653" s="1126"/>
    </row>
    <row r="5654" spans="1:5" x14ac:dyDescent="0.2">
      <c r="A5654" s="1126" t="s">
        <v>6236</v>
      </c>
      <c r="B5654" s="1127">
        <v>184</v>
      </c>
      <c r="C5654" s="1128">
        <v>0</v>
      </c>
      <c r="D5654" s="1128">
        <v>47.79</v>
      </c>
      <c r="E5654" s="1126"/>
    </row>
    <row r="5655" spans="1:5" x14ac:dyDescent="0.2">
      <c r="A5655" s="1126" t="s">
        <v>6237</v>
      </c>
      <c r="B5655" s="1127">
        <v>143</v>
      </c>
      <c r="C5655" s="1128">
        <v>0</v>
      </c>
      <c r="D5655" s="1128">
        <v>5.73</v>
      </c>
      <c r="E5655" s="1126"/>
    </row>
    <row r="5656" spans="1:5" x14ac:dyDescent="0.2">
      <c r="A5656" s="1126" t="s">
        <v>6238</v>
      </c>
      <c r="B5656" s="1127">
        <v>156</v>
      </c>
      <c r="C5656" s="1128">
        <v>0</v>
      </c>
      <c r="D5656" s="1128">
        <v>51.07</v>
      </c>
      <c r="E5656" s="1126"/>
    </row>
    <row r="5657" spans="1:5" x14ac:dyDescent="0.2">
      <c r="A5657" s="1126" t="s">
        <v>6239</v>
      </c>
      <c r="B5657" s="1127">
        <v>326</v>
      </c>
      <c r="C5657" s="1128">
        <v>0</v>
      </c>
      <c r="D5657" s="1128">
        <v>10.119999999999999</v>
      </c>
      <c r="E5657" s="1126"/>
    </row>
    <row r="5658" spans="1:5" x14ac:dyDescent="0.2">
      <c r="A5658" s="1126" t="s">
        <v>6240</v>
      </c>
      <c r="B5658" s="1127">
        <v>135</v>
      </c>
      <c r="C5658" s="1128">
        <v>0</v>
      </c>
      <c r="D5658" s="1128">
        <v>56.73</v>
      </c>
      <c r="E5658" s="1126"/>
    </row>
    <row r="5659" spans="1:5" x14ac:dyDescent="0.2">
      <c r="A5659" s="1126" t="s">
        <v>6241</v>
      </c>
      <c r="B5659" s="1127">
        <v>178</v>
      </c>
      <c r="C5659" s="1128">
        <v>0</v>
      </c>
      <c r="D5659" s="1128">
        <v>119.73</v>
      </c>
      <c r="E5659" s="1126"/>
    </row>
    <row r="5660" spans="1:5" x14ac:dyDescent="0.2">
      <c r="A5660" s="1126" t="s">
        <v>6242</v>
      </c>
      <c r="B5660" s="1127">
        <v>232</v>
      </c>
      <c r="C5660" s="1128">
        <v>8.4700000000000006</v>
      </c>
      <c r="D5660" s="1128">
        <v>167.94</v>
      </c>
      <c r="E5660" s="1126"/>
    </row>
    <row r="5661" spans="1:5" x14ac:dyDescent="0.2">
      <c r="A5661" s="1126" t="s">
        <v>6243</v>
      </c>
      <c r="B5661" s="1127">
        <v>406</v>
      </c>
      <c r="C5661" s="1128">
        <v>0</v>
      </c>
      <c r="D5661" s="1128">
        <v>149.37</v>
      </c>
      <c r="E5661" s="1126"/>
    </row>
    <row r="5662" spans="1:5" x14ac:dyDescent="0.2">
      <c r="A5662" s="1126" t="s">
        <v>6244</v>
      </c>
      <c r="B5662" s="1127">
        <v>165</v>
      </c>
      <c r="C5662" s="1128">
        <v>0</v>
      </c>
      <c r="D5662" s="1128">
        <v>52.82</v>
      </c>
      <c r="E5662" s="1126"/>
    </row>
    <row r="5663" spans="1:5" x14ac:dyDescent="0.2">
      <c r="A5663" s="1126" t="s">
        <v>6245</v>
      </c>
      <c r="B5663" s="1127">
        <v>72</v>
      </c>
      <c r="C5663" s="1128">
        <v>37.409999999999997</v>
      </c>
      <c r="D5663" s="1128">
        <v>86.9</v>
      </c>
      <c r="E5663" s="1126"/>
    </row>
    <row r="5664" spans="1:5" x14ac:dyDescent="0.2">
      <c r="A5664" s="1126" t="s">
        <v>6246</v>
      </c>
      <c r="B5664" s="1127">
        <v>312</v>
      </c>
      <c r="C5664" s="1128">
        <v>36.56</v>
      </c>
      <c r="D5664" s="1128">
        <v>251.01</v>
      </c>
      <c r="E5664" s="1126"/>
    </row>
    <row r="5665" spans="1:5" x14ac:dyDescent="0.2">
      <c r="A5665" s="1126" t="s">
        <v>6247</v>
      </c>
      <c r="B5665" s="1127">
        <v>302</v>
      </c>
      <c r="C5665" s="1128">
        <v>34.03</v>
      </c>
      <c r="D5665" s="1128">
        <v>241.61</v>
      </c>
      <c r="E5665" s="1126"/>
    </row>
    <row r="5666" spans="1:5" x14ac:dyDescent="0.2">
      <c r="A5666" s="1126" t="s">
        <v>6248</v>
      </c>
      <c r="B5666" s="1127">
        <v>282</v>
      </c>
      <c r="C5666" s="1128">
        <v>0</v>
      </c>
      <c r="D5666" s="1128">
        <v>152.27000000000001</v>
      </c>
      <c r="E5666" s="1126"/>
    </row>
    <row r="5667" spans="1:5" x14ac:dyDescent="0.2">
      <c r="A5667" s="1126" t="s">
        <v>6249</v>
      </c>
      <c r="B5667" s="1127">
        <v>288</v>
      </c>
      <c r="C5667" s="1128">
        <v>0</v>
      </c>
      <c r="D5667" s="1128">
        <v>112.08</v>
      </c>
      <c r="E5667" s="1126"/>
    </row>
    <row r="5668" spans="1:5" x14ac:dyDescent="0.2">
      <c r="A5668" s="1126" t="s">
        <v>6250</v>
      </c>
      <c r="B5668" s="1127">
        <v>90</v>
      </c>
      <c r="C5668" s="1128">
        <v>0</v>
      </c>
      <c r="D5668" s="1128">
        <v>0</v>
      </c>
      <c r="E5668" s="1126"/>
    </row>
    <row r="5669" spans="1:5" x14ac:dyDescent="0.2">
      <c r="A5669" s="1126" t="s">
        <v>6251</v>
      </c>
      <c r="B5669" s="1127">
        <v>151</v>
      </c>
      <c r="C5669" s="1128">
        <v>0</v>
      </c>
      <c r="D5669" s="1128">
        <v>92.67</v>
      </c>
      <c r="E5669" s="1126"/>
    </row>
    <row r="5670" spans="1:5" x14ac:dyDescent="0.2">
      <c r="A5670" s="1126" t="s">
        <v>6252</v>
      </c>
      <c r="B5670" s="1127">
        <v>192</v>
      </c>
      <c r="C5670" s="1128">
        <v>93.88</v>
      </c>
      <c r="D5670" s="1128">
        <v>225.85</v>
      </c>
      <c r="E5670" s="1126"/>
    </row>
    <row r="5671" spans="1:5" x14ac:dyDescent="0.2">
      <c r="A5671" s="1126" t="s">
        <v>6253</v>
      </c>
      <c r="B5671" s="1127">
        <v>464</v>
      </c>
      <c r="C5671" s="1128">
        <v>0</v>
      </c>
      <c r="D5671" s="1128">
        <v>119.49</v>
      </c>
      <c r="E5671" s="1126"/>
    </row>
    <row r="5672" spans="1:5" x14ac:dyDescent="0.2">
      <c r="A5672" s="1126" t="s">
        <v>6254</v>
      </c>
      <c r="B5672" s="1127">
        <v>203</v>
      </c>
      <c r="C5672" s="1128">
        <v>0</v>
      </c>
      <c r="D5672" s="1128">
        <v>61.64</v>
      </c>
      <c r="E5672" s="1126"/>
    </row>
    <row r="5673" spans="1:5" x14ac:dyDescent="0.2">
      <c r="A5673" s="1126" t="s">
        <v>6255</v>
      </c>
      <c r="B5673" s="1127">
        <v>162</v>
      </c>
      <c r="C5673" s="1128">
        <v>0</v>
      </c>
      <c r="D5673" s="1128">
        <v>74.900000000000006</v>
      </c>
      <c r="E5673" s="1126"/>
    </row>
    <row r="5674" spans="1:5" x14ac:dyDescent="0.2">
      <c r="A5674" s="1126" t="s">
        <v>6256</v>
      </c>
      <c r="B5674" s="1127">
        <v>402</v>
      </c>
      <c r="C5674" s="1128">
        <v>0</v>
      </c>
      <c r="D5674" s="1128">
        <v>9.8000000000000007</v>
      </c>
      <c r="E5674" s="1126"/>
    </row>
    <row r="5675" spans="1:5" x14ac:dyDescent="0.2">
      <c r="A5675" s="1126" t="s">
        <v>6257</v>
      </c>
      <c r="B5675" s="1127">
        <v>151</v>
      </c>
      <c r="C5675" s="1128">
        <v>0</v>
      </c>
      <c r="D5675" s="1128">
        <v>61.54</v>
      </c>
      <c r="E5675" s="1126"/>
    </row>
    <row r="5676" spans="1:5" x14ac:dyDescent="0.2">
      <c r="A5676" s="1126" t="s">
        <v>6258</v>
      </c>
      <c r="B5676" s="1127">
        <v>442</v>
      </c>
      <c r="C5676" s="1128">
        <v>0</v>
      </c>
      <c r="D5676" s="1128">
        <v>125.5</v>
      </c>
      <c r="E5676" s="1126"/>
    </row>
    <row r="5677" spans="1:5" x14ac:dyDescent="0.2">
      <c r="A5677" s="1126" t="s">
        <v>6259</v>
      </c>
      <c r="B5677" s="1127">
        <v>383</v>
      </c>
      <c r="C5677" s="1128">
        <v>217.72</v>
      </c>
      <c r="D5677" s="1128">
        <v>480.98</v>
      </c>
      <c r="E5677" s="1126"/>
    </row>
    <row r="5678" spans="1:5" x14ac:dyDescent="0.2">
      <c r="A5678" s="1126" t="s">
        <v>6260</v>
      </c>
      <c r="B5678" s="1127">
        <v>310</v>
      </c>
      <c r="C5678" s="1128">
        <v>2.42</v>
      </c>
      <c r="D5678" s="1128">
        <v>215.51</v>
      </c>
      <c r="E5678" s="1126"/>
    </row>
    <row r="5679" spans="1:5" x14ac:dyDescent="0.2">
      <c r="A5679" s="1126" t="s">
        <v>6261</v>
      </c>
      <c r="B5679" s="1127">
        <v>99</v>
      </c>
      <c r="C5679" s="1128">
        <v>0</v>
      </c>
      <c r="D5679" s="1128">
        <v>40.31</v>
      </c>
      <c r="E5679" s="1126"/>
    </row>
    <row r="5680" spans="1:5" x14ac:dyDescent="0.2">
      <c r="A5680" s="1126" t="s">
        <v>6262</v>
      </c>
      <c r="B5680" s="1127">
        <v>146</v>
      </c>
      <c r="C5680" s="1128">
        <v>0</v>
      </c>
      <c r="D5680" s="1128">
        <v>88.45</v>
      </c>
      <c r="E5680" s="1126"/>
    </row>
    <row r="5681" spans="1:5" x14ac:dyDescent="0.2">
      <c r="A5681" s="1126" t="s">
        <v>6263</v>
      </c>
      <c r="B5681" s="1127">
        <v>246</v>
      </c>
      <c r="C5681" s="1128">
        <v>0</v>
      </c>
      <c r="D5681" s="1128">
        <v>80.83</v>
      </c>
      <c r="E5681" s="1126"/>
    </row>
    <row r="5682" spans="1:5" x14ac:dyDescent="0.2">
      <c r="A5682" s="1126" t="s">
        <v>6264</v>
      </c>
      <c r="B5682" s="1127">
        <v>181</v>
      </c>
      <c r="C5682" s="1128">
        <v>0</v>
      </c>
      <c r="D5682" s="1128">
        <v>53.06</v>
      </c>
      <c r="E5682" s="1126"/>
    </row>
    <row r="5683" spans="1:5" x14ac:dyDescent="0.2">
      <c r="A5683" s="1126" t="s">
        <v>6265</v>
      </c>
      <c r="B5683" s="1127">
        <v>298</v>
      </c>
      <c r="C5683" s="1128">
        <v>17.72</v>
      </c>
      <c r="D5683" s="1128">
        <v>222.55</v>
      </c>
      <c r="E5683" s="1126"/>
    </row>
    <row r="5684" spans="1:5" x14ac:dyDescent="0.2">
      <c r="A5684" s="1126" t="s">
        <v>6266</v>
      </c>
      <c r="B5684" s="1127">
        <v>144</v>
      </c>
      <c r="C5684" s="1128">
        <v>0</v>
      </c>
      <c r="D5684" s="1128">
        <v>10.99</v>
      </c>
      <c r="E5684" s="1126"/>
    </row>
    <row r="5685" spans="1:5" x14ac:dyDescent="0.2">
      <c r="A5685" s="1126" t="s">
        <v>6267</v>
      </c>
      <c r="B5685" s="1127">
        <v>457</v>
      </c>
      <c r="C5685" s="1128">
        <v>0</v>
      </c>
      <c r="D5685" s="1128">
        <v>133.52000000000001</v>
      </c>
      <c r="E5685" s="1126"/>
    </row>
    <row r="5686" spans="1:5" x14ac:dyDescent="0.2">
      <c r="A5686" s="1126" t="s">
        <v>6268</v>
      </c>
      <c r="B5686" s="1127">
        <v>178</v>
      </c>
      <c r="C5686" s="1128">
        <v>0</v>
      </c>
      <c r="D5686" s="1128">
        <v>70.42</v>
      </c>
      <c r="E5686" s="1126"/>
    </row>
    <row r="5687" spans="1:5" x14ac:dyDescent="0.2">
      <c r="A5687" s="1126" t="s">
        <v>6269</v>
      </c>
      <c r="B5687" s="1127">
        <v>310</v>
      </c>
      <c r="C5687" s="1128">
        <v>0</v>
      </c>
      <c r="D5687" s="1128">
        <v>80.510000000000005</v>
      </c>
      <c r="E5687" s="1126"/>
    </row>
    <row r="5688" spans="1:5" x14ac:dyDescent="0.2">
      <c r="A5688" s="1126" t="s">
        <v>6270</v>
      </c>
      <c r="B5688" s="1127">
        <v>132</v>
      </c>
      <c r="C5688" s="1128">
        <v>0</v>
      </c>
      <c r="D5688" s="1128">
        <v>61.17</v>
      </c>
      <c r="E5688" s="1126"/>
    </row>
    <row r="5689" spans="1:5" x14ac:dyDescent="0.2">
      <c r="A5689" s="1126" t="s">
        <v>6271</v>
      </c>
      <c r="B5689" s="1127">
        <v>205</v>
      </c>
      <c r="C5689" s="1128">
        <v>0</v>
      </c>
      <c r="D5689" s="1128">
        <v>123.72</v>
      </c>
      <c r="E5689" s="1126"/>
    </row>
    <row r="5690" spans="1:5" x14ac:dyDescent="0.2">
      <c r="A5690" s="1126" t="s">
        <v>6272</v>
      </c>
      <c r="B5690" s="1127">
        <v>148</v>
      </c>
      <c r="C5690" s="1128">
        <v>0</v>
      </c>
      <c r="D5690" s="1128">
        <v>96.82</v>
      </c>
      <c r="E5690" s="1126"/>
    </row>
    <row r="5691" spans="1:5" x14ac:dyDescent="0.2">
      <c r="A5691" s="1126" t="s">
        <v>6273</v>
      </c>
      <c r="B5691" s="1127">
        <v>278</v>
      </c>
      <c r="C5691" s="1128">
        <v>0</v>
      </c>
      <c r="D5691" s="1128">
        <v>53.7</v>
      </c>
      <c r="E5691" s="1126"/>
    </row>
    <row r="5692" spans="1:5" x14ac:dyDescent="0.2">
      <c r="A5692" s="1126" t="s">
        <v>6274</v>
      </c>
      <c r="B5692" s="1127">
        <v>172</v>
      </c>
      <c r="C5692" s="1128">
        <v>24.38</v>
      </c>
      <c r="D5692" s="1128">
        <v>142.61000000000001</v>
      </c>
      <c r="E5692" s="1126"/>
    </row>
    <row r="5693" spans="1:5" x14ac:dyDescent="0.2">
      <c r="A5693" s="1126" t="s">
        <v>6275</v>
      </c>
      <c r="B5693" s="1127">
        <v>336</v>
      </c>
      <c r="C5693" s="1128">
        <v>0</v>
      </c>
      <c r="D5693" s="1128">
        <v>5.18</v>
      </c>
      <c r="E5693" s="1126"/>
    </row>
    <row r="5694" spans="1:5" x14ac:dyDescent="0.2">
      <c r="A5694" s="1126" t="s">
        <v>6276</v>
      </c>
      <c r="B5694" s="1127">
        <v>282</v>
      </c>
      <c r="C5694" s="1128">
        <v>0</v>
      </c>
      <c r="D5694" s="1128">
        <v>61.68</v>
      </c>
      <c r="E5694" s="1126"/>
    </row>
    <row r="5695" spans="1:5" x14ac:dyDescent="0.2">
      <c r="A5695" s="1126" t="s">
        <v>6277</v>
      </c>
      <c r="B5695" s="1127">
        <v>128</v>
      </c>
      <c r="C5695" s="1128">
        <v>50.39</v>
      </c>
      <c r="D5695" s="1128">
        <v>138.37</v>
      </c>
      <c r="E5695" s="1126"/>
    </row>
    <row r="5696" spans="1:5" x14ac:dyDescent="0.2">
      <c r="A5696" s="1126" t="s">
        <v>6278</v>
      </c>
      <c r="B5696" s="1127">
        <v>482</v>
      </c>
      <c r="C5696" s="1128">
        <v>149.47999999999999</v>
      </c>
      <c r="D5696" s="1128">
        <v>480.79</v>
      </c>
      <c r="E5696" s="1126"/>
    </row>
    <row r="5697" spans="1:5" x14ac:dyDescent="0.2">
      <c r="A5697" s="1126" t="s">
        <v>6279</v>
      </c>
      <c r="B5697" s="1127">
        <v>303</v>
      </c>
      <c r="C5697" s="1128">
        <v>0</v>
      </c>
      <c r="D5697" s="1128">
        <v>174.95</v>
      </c>
      <c r="E5697" s="1126"/>
    </row>
    <row r="5698" spans="1:5" x14ac:dyDescent="0.2">
      <c r="A5698" s="1126" t="s">
        <v>6280</v>
      </c>
      <c r="B5698" s="1127">
        <v>262</v>
      </c>
      <c r="C5698" s="1128">
        <v>0</v>
      </c>
      <c r="D5698" s="1128">
        <v>128.83000000000001</v>
      </c>
      <c r="E5698" s="1126"/>
    </row>
    <row r="5699" spans="1:5" x14ac:dyDescent="0.2">
      <c r="A5699" s="1126" t="s">
        <v>6281</v>
      </c>
      <c r="B5699" s="1127">
        <v>119</v>
      </c>
      <c r="C5699" s="1128">
        <v>0</v>
      </c>
      <c r="D5699" s="1128">
        <v>76.91</v>
      </c>
      <c r="E5699" s="1126"/>
    </row>
    <row r="5700" spans="1:5" x14ac:dyDescent="0.2">
      <c r="A5700" s="1126" t="s">
        <v>6282</v>
      </c>
      <c r="B5700" s="1127">
        <v>143</v>
      </c>
      <c r="C5700" s="1128">
        <v>0</v>
      </c>
      <c r="D5700" s="1128">
        <v>91.42</v>
      </c>
      <c r="E5700" s="1126"/>
    </row>
    <row r="5701" spans="1:5" x14ac:dyDescent="0.2">
      <c r="A5701" s="1126" t="s">
        <v>6283</v>
      </c>
      <c r="B5701" s="1127">
        <v>81</v>
      </c>
      <c r="C5701" s="1128">
        <v>0</v>
      </c>
      <c r="D5701" s="1128">
        <v>25.35</v>
      </c>
      <c r="E5701" s="1126"/>
    </row>
    <row r="5702" spans="1:5" x14ac:dyDescent="0.2">
      <c r="A5702" s="1126" t="s">
        <v>6284</v>
      </c>
      <c r="B5702" s="1127">
        <v>84</v>
      </c>
      <c r="C5702" s="1128">
        <v>175.95</v>
      </c>
      <c r="D5702" s="1128">
        <v>233.69</v>
      </c>
      <c r="E5702" s="1126"/>
    </row>
    <row r="5703" spans="1:5" x14ac:dyDescent="0.2">
      <c r="A5703" s="1126" t="s">
        <v>6285</v>
      </c>
      <c r="B5703" s="1127">
        <v>555</v>
      </c>
      <c r="C5703" s="1128">
        <v>0</v>
      </c>
      <c r="D5703" s="1128">
        <v>275.16000000000003</v>
      </c>
      <c r="E5703" s="1126"/>
    </row>
    <row r="5704" spans="1:5" x14ac:dyDescent="0.2">
      <c r="A5704" s="1126" t="s">
        <v>6286</v>
      </c>
      <c r="B5704" s="1127">
        <v>216</v>
      </c>
      <c r="C5704" s="1128">
        <v>64.209999999999994</v>
      </c>
      <c r="D5704" s="1128">
        <v>212.68</v>
      </c>
      <c r="E5704" s="1126"/>
    </row>
    <row r="5705" spans="1:5" x14ac:dyDescent="0.2">
      <c r="A5705" s="1126" t="s">
        <v>6287</v>
      </c>
      <c r="B5705" s="1127">
        <v>157</v>
      </c>
      <c r="C5705" s="1128">
        <v>0</v>
      </c>
      <c r="D5705" s="1128">
        <v>65.05</v>
      </c>
      <c r="E5705" s="1126"/>
    </row>
    <row r="5706" spans="1:5" x14ac:dyDescent="0.2">
      <c r="A5706" s="1126" t="s">
        <v>6288</v>
      </c>
      <c r="B5706" s="1127">
        <v>310</v>
      </c>
      <c r="C5706" s="1128">
        <v>0</v>
      </c>
      <c r="D5706" s="1128">
        <v>85.7</v>
      </c>
      <c r="E5706" s="1126"/>
    </row>
    <row r="5707" spans="1:5" x14ac:dyDescent="0.2">
      <c r="A5707" s="1126" t="s">
        <v>6289</v>
      </c>
      <c r="B5707" s="1127">
        <v>124</v>
      </c>
      <c r="C5707" s="1128">
        <v>0</v>
      </c>
      <c r="D5707" s="1128">
        <v>73.930000000000007</v>
      </c>
      <c r="E5707" s="1126"/>
    </row>
    <row r="5708" spans="1:5" x14ac:dyDescent="0.2">
      <c r="A5708" s="1126" t="s">
        <v>6290</v>
      </c>
      <c r="B5708" s="1127">
        <v>200</v>
      </c>
      <c r="C5708" s="1128">
        <v>0</v>
      </c>
      <c r="D5708" s="1128">
        <v>64.88</v>
      </c>
      <c r="E5708" s="1126"/>
    </row>
    <row r="5709" spans="1:5" x14ac:dyDescent="0.2">
      <c r="A5709" s="1126" t="s">
        <v>6291</v>
      </c>
      <c r="B5709" s="1127">
        <v>169</v>
      </c>
      <c r="C5709" s="1128">
        <v>0</v>
      </c>
      <c r="D5709" s="1128">
        <v>83.77</v>
      </c>
      <c r="E5709" s="1126"/>
    </row>
    <row r="5710" spans="1:5" x14ac:dyDescent="0.2">
      <c r="A5710" s="1126" t="s">
        <v>6292</v>
      </c>
      <c r="B5710" s="1127">
        <v>374</v>
      </c>
      <c r="C5710" s="1128">
        <v>0</v>
      </c>
      <c r="D5710" s="1128">
        <v>204.65</v>
      </c>
      <c r="E5710" s="1126"/>
    </row>
    <row r="5711" spans="1:5" x14ac:dyDescent="0.2">
      <c r="A5711" s="1126" t="s">
        <v>6293</v>
      </c>
      <c r="B5711" s="1127">
        <v>268</v>
      </c>
      <c r="C5711" s="1128">
        <v>0</v>
      </c>
      <c r="D5711" s="1128">
        <v>151.38999999999999</v>
      </c>
      <c r="E5711" s="1126"/>
    </row>
    <row r="5712" spans="1:5" x14ac:dyDescent="0.2">
      <c r="A5712" s="1126" t="s">
        <v>6294</v>
      </c>
      <c r="B5712" s="1127">
        <v>304</v>
      </c>
      <c r="C5712" s="1128">
        <v>0</v>
      </c>
      <c r="D5712" s="1128">
        <v>170.51</v>
      </c>
      <c r="E5712" s="1126"/>
    </row>
    <row r="5713" spans="1:5" x14ac:dyDescent="0.2">
      <c r="A5713" s="1126" t="s">
        <v>6295</v>
      </c>
      <c r="B5713" s="1127">
        <v>167</v>
      </c>
      <c r="C5713" s="1128">
        <v>218.55</v>
      </c>
      <c r="D5713" s="1128">
        <v>333.34</v>
      </c>
      <c r="E5713" s="1126"/>
    </row>
    <row r="5714" spans="1:5" x14ac:dyDescent="0.2">
      <c r="A5714" s="1126" t="s">
        <v>6296</v>
      </c>
      <c r="B5714" s="1127">
        <v>319</v>
      </c>
      <c r="C5714" s="1128">
        <v>91.34</v>
      </c>
      <c r="D5714" s="1128">
        <v>310.61</v>
      </c>
      <c r="E5714" s="1126"/>
    </row>
    <row r="5715" spans="1:5" x14ac:dyDescent="0.2">
      <c r="A5715" s="1126" t="s">
        <v>6297</v>
      </c>
      <c r="B5715" s="1127">
        <v>422</v>
      </c>
      <c r="C5715" s="1128">
        <v>0</v>
      </c>
      <c r="D5715" s="1128">
        <v>238.34</v>
      </c>
      <c r="E5715" s="1126"/>
    </row>
    <row r="5716" spans="1:5" x14ac:dyDescent="0.2">
      <c r="A5716" s="1126" t="s">
        <v>6298</v>
      </c>
      <c r="B5716" s="1127">
        <v>233</v>
      </c>
      <c r="C5716" s="1128">
        <v>0</v>
      </c>
      <c r="D5716" s="1128">
        <v>58.17</v>
      </c>
      <c r="E5716" s="1126"/>
    </row>
    <row r="5717" spans="1:5" x14ac:dyDescent="0.2">
      <c r="A5717" s="1126" t="s">
        <v>6299</v>
      </c>
      <c r="B5717" s="1127">
        <v>158</v>
      </c>
      <c r="C5717" s="1128">
        <v>214.84</v>
      </c>
      <c r="D5717" s="1128">
        <v>323.45</v>
      </c>
      <c r="E5717" s="1126"/>
    </row>
    <row r="5718" spans="1:5" x14ac:dyDescent="0.2">
      <c r="A5718" s="1126" t="s">
        <v>6300</v>
      </c>
      <c r="B5718" s="1127">
        <v>70</v>
      </c>
      <c r="C5718" s="1128">
        <v>0</v>
      </c>
      <c r="D5718" s="1128">
        <v>6.3</v>
      </c>
      <c r="E5718" s="1126"/>
    </row>
    <row r="5719" spans="1:5" x14ac:dyDescent="0.2">
      <c r="A5719" s="1126" t="s">
        <v>6301</v>
      </c>
      <c r="B5719" s="1127">
        <v>178</v>
      </c>
      <c r="C5719" s="1128">
        <v>0</v>
      </c>
      <c r="D5719" s="1128">
        <v>56.65</v>
      </c>
      <c r="E5719" s="1126"/>
    </row>
    <row r="5720" spans="1:5" x14ac:dyDescent="0.2">
      <c r="A5720" s="1126" t="s">
        <v>6302</v>
      </c>
      <c r="B5720" s="1127">
        <v>231</v>
      </c>
      <c r="C5720" s="1128">
        <v>0</v>
      </c>
      <c r="D5720" s="1128">
        <v>63.5</v>
      </c>
      <c r="E5720" s="1126"/>
    </row>
    <row r="5721" spans="1:5" x14ac:dyDescent="0.2">
      <c r="A5721" s="1126" t="s">
        <v>6303</v>
      </c>
      <c r="B5721" s="1127">
        <v>87</v>
      </c>
      <c r="C5721" s="1128">
        <v>12</v>
      </c>
      <c r="D5721" s="1128">
        <v>71.8</v>
      </c>
      <c r="E5721" s="1126"/>
    </row>
    <row r="5722" spans="1:5" x14ac:dyDescent="0.2">
      <c r="A5722" s="1126" t="s">
        <v>6304</v>
      </c>
      <c r="B5722" s="1127">
        <v>127</v>
      </c>
      <c r="C5722" s="1128">
        <v>19.54</v>
      </c>
      <c r="D5722" s="1128">
        <v>106.84</v>
      </c>
      <c r="E5722" s="1126"/>
    </row>
    <row r="5723" spans="1:5" x14ac:dyDescent="0.2">
      <c r="A5723" s="1126" t="s">
        <v>6305</v>
      </c>
      <c r="B5723" s="1127">
        <v>173</v>
      </c>
      <c r="C5723" s="1128">
        <v>0</v>
      </c>
      <c r="D5723" s="1128">
        <v>89.99</v>
      </c>
      <c r="E5723" s="1126"/>
    </row>
    <row r="5724" spans="1:5" x14ac:dyDescent="0.2">
      <c r="A5724" s="1126" t="s">
        <v>6306</v>
      </c>
      <c r="B5724" s="1127">
        <v>218</v>
      </c>
      <c r="C5724" s="1128">
        <v>397.83</v>
      </c>
      <c r="D5724" s="1128">
        <v>547.66999999999996</v>
      </c>
      <c r="E5724" s="1126"/>
    </row>
    <row r="5725" spans="1:5" x14ac:dyDescent="0.2">
      <c r="A5725" s="1126" t="s">
        <v>6307</v>
      </c>
      <c r="B5725" s="1127">
        <v>285</v>
      </c>
      <c r="C5725" s="1128">
        <v>146.49</v>
      </c>
      <c r="D5725" s="1128">
        <v>342.38</v>
      </c>
      <c r="E5725" s="1126"/>
    </row>
    <row r="5726" spans="1:5" x14ac:dyDescent="0.2">
      <c r="A5726" s="1126" t="s">
        <v>6308</v>
      </c>
      <c r="B5726" s="1127">
        <v>154</v>
      </c>
      <c r="C5726" s="1128">
        <v>0</v>
      </c>
      <c r="D5726" s="1128">
        <v>68.680000000000007</v>
      </c>
      <c r="E5726" s="1126"/>
    </row>
    <row r="5727" spans="1:5" x14ac:dyDescent="0.2">
      <c r="A5727" s="1126" t="s">
        <v>6309</v>
      </c>
      <c r="B5727" s="1127">
        <v>307</v>
      </c>
      <c r="C5727" s="1128">
        <v>0</v>
      </c>
      <c r="D5727" s="1128">
        <v>208.26</v>
      </c>
      <c r="E5727" s="1126"/>
    </row>
    <row r="5728" spans="1:5" x14ac:dyDescent="0.2">
      <c r="A5728" s="1126" t="s">
        <v>6310</v>
      </c>
      <c r="B5728" s="1127">
        <v>337</v>
      </c>
      <c r="C5728" s="1128">
        <v>30.07</v>
      </c>
      <c r="D5728" s="1128">
        <v>261.70999999999998</v>
      </c>
      <c r="E5728" s="1126"/>
    </row>
    <row r="5729" spans="1:5" x14ac:dyDescent="0.2">
      <c r="A5729" s="1126" t="s">
        <v>6311</v>
      </c>
      <c r="B5729" s="1127">
        <v>194</v>
      </c>
      <c r="C5729" s="1128">
        <v>0</v>
      </c>
      <c r="D5729" s="1128">
        <v>69.260000000000005</v>
      </c>
      <c r="E5729" s="1126"/>
    </row>
    <row r="5730" spans="1:5" x14ac:dyDescent="0.2">
      <c r="A5730" s="1126" t="s">
        <v>6312</v>
      </c>
      <c r="B5730" s="1127">
        <v>317</v>
      </c>
      <c r="C5730" s="1128">
        <v>0</v>
      </c>
      <c r="D5730" s="1128">
        <v>99.78</v>
      </c>
      <c r="E5730" s="1126"/>
    </row>
    <row r="5731" spans="1:5" x14ac:dyDescent="0.2">
      <c r="A5731" s="1126" t="s">
        <v>6313</v>
      </c>
      <c r="B5731" s="1127">
        <v>101</v>
      </c>
      <c r="C5731" s="1128">
        <v>0</v>
      </c>
      <c r="D5731" s="1128">
        <v>64.63</v>
      </c>
      <c r="E5731" s="1126"/>
    </row>
    <row r="5732" spans="1:5" x14ac:dyDescent="0.2">
      <c r="A5732" s="1126" t="s">
        <v>6314</v>
      </c>
      <c r="B5732" s="1127">
        <v>269</v>
      </c>
      <c r="C5732" s="1128">
        <v>51.82</v>
      </c>
      <c r="D5732" s="1128">
        <v>236.72</v>
      </c>
      <c r="E5732" s="1126"/>
    </row>
    <row r="5733" spans="1:5" x14ac:dyDescent="0.2">
      <c r="A5733" s="1126" t="s">
        <v>6315</v>
      </c>
      <c r="B5733" s="1127">
        <v>251</v>
      </c>
      <c r="C5733" s="1128">
        <v>388.71</v>
      </c>
      <c r="D5733" s="1128">
        <v>561.24</v>
      </c>
      <c r="E5733" s="1126"/>
    </row>
    <row r="5734" spans="1:5" x14ac:dyDescent="0.2">
      <c r="A5734" s="1126" t="s">
        <v>6316</v>
      </c>
      <c r="B5734" s="1127">
        <v>356</v>
      </c>
      <c r="C5734" s="1128">
        <v>0</v>
      </c>
      <c r="D5734" s="1128">
        <v>159.5</v>
      </c>
      <c r="E5734" s="1126"/>
    </row>
    <row r="5735" spans="1:5" x14ac:dyDescent="0.2">
      <c r="A5735" s="1126" t="s">
        <v>6317</v>
      </c>
      <c r="B5735" s="1127">
        <v>234</v>
      </c>
      <c r="C5735" s="1128">
        <v>0</v>
      </c>
      <c r="D5735" s="1128">
        <v>79.56</v>
      </c>
      <c r="E5735" s="1126"/>
    </row>
    <row r="5736" spans="1:5" x14ac:dyDescent="0.2">
      <c r="A5736" s="1126" t="s">
        <v>6318</v>
      </c>
      <c r="B5736" s="1127">
        <v>186</v>
      </c>
      <c r="C5736" s="1128">
        <v>0</v>
      </c>
      <c r="D5736" s="1128">
        <v>16.690000000000001</v>
      </c>
      <c r="E5736" s="1126"/>
    </row>
    <row r="5737" spans="1:5" x14ac:dyDescent="0.2">
      <c r="A5737" s="1126" t="s">
        <v>6319</v>
      </c>
      <c r="B5737" s="1127">
        <v>586</v>
      </c>
      <c r="C5737" s="1128">
        <v>0</v>
      </c>
      <c r="D5737" s="1128">
        <v>171.95</v>
      </c>
      <c r="E5737" s="1126"/>
    </row>
    <row r="5738" spans="1:5" x14ac:dyDescent="0.2">
      <c r="A5738" s="1126" t="s">
        <v>6320</v>
      </c>
      <c r="B5738" s="1127">
        <v>83</v>
      </c>
      <c r="C5738" s="1128">
        <v>0</v>
      </c>
      <c r="D5738" s="1128">
        <v>36.21</v>
      </c>
      <c r="E5738" s="1126"/>
    </row>
    <row r="5739" spans="1:5" x14ac:dyDescent="0.2">
      <c r="A5739" s="1126" t="s">
        <v>6321</v>
      </c>
      <c r="B5739" s="1127">
        <v>61</v>
      </c>
      <c r="C5739" s="1128">
        <v>3.82</v>
      </c>
      <c r="D5739" s="1128">
        <v>45.75</v>
      </c>
      <c r="E5739" s="1126"/>
    </row>
    <row r="5740" spans="1:5" x14ac:dyDescent="0.2">
      <c r="A5740" s="1126" t="s">
        <v>6322</v>
      </c>
      <c r="B5740" s="1127">
        <v>212</v>
      </c>
      <c r="C5740" s="1128">
        <v>235.62</v>
      </c>
      <c r="D5740" s="1128">
        <v>381.34</v>
      </c>
      <c r="E5740" s="1126"/>
    </row>
    <row r="5741" spans="1:5" x14ac:dyDescent="0.2">
      <c r="A5741" s="1126" t="s">
        <v>6323</v>
      </c>
      <c r="B5741" s="1127">
        <v>353</v>
      </c>
      <c r="C5741" s="1128">
        <v>0</v>
      </c>
      <c r="D5741" s="1128">
        <v>224.4</v>
      </c>
      <c r="E5741" s="1126"/>
    </row>
    <row r="5742" spans="1:5" x14ac:dyDescent="0.2">
      <c r="A5742" s="1126" t="s">
        <v>6324</v>
      </c>
      <c r="B5742" s="1127">
        <v>190</v>
      </c>
      <c r="C5742" s="1128">
        <v>0</v>
      </c>
      <c r="D5742" s="1128">
        <v>51.25</v>
      </c>
      <c r="E5742" s="1126"/>
    </row>
    <row r="5743" spans="1:5" x14ac:dyDescent="0.2">
      <c r="A5743" s="1126" t="s">
        <v>6325</v>
      </c>
      <c r="B5743" s="1127">
        <v>149</v>
      </c>
      <c r="C5743" s="1128">
        <v>92.32</v>
      </c>
      <c r="D5743" s="1128">
        <v>194.73</v>
      </c>
      <c r="E5743" s="1126"/>
    </row>
    <row r="5744" spans="1:5" x14ac:dyDescent="0.2">
      <c r="A5744" s="1126" t="s">
        <v>6326</v>
      </c>
      <c r="B5744" s="1127">
        <v>285</v>
      </c>
      <c r="C5744" s="1128">
        <v>0</v>
      </c>
      <c r="D5744" s="1128">
        <v>34.200000000000003</v>
      </c>
      <c r="E5744" s="1126"/>
    </row>
    <row r="5745" spans="1:5" x14ac:dyDescent="0.2">
      <c r="A5745" s="1126" t="s">
        <v>6327</v>
      </c>
      <c r="B5745" s="1127">
        <v>431</v>
      </c>
      <c r="C5745" s="1128">
        <v>787.86</v>
      </c>
      <c r="D5745" s="1128">
        <v>1084.1099999999999</v>
      </c>
      <c r="E5745" s="1126"/>
    </row>
    <row r="5746" spans="1:5" x14ac:dyDescent="0.2">
      <c r="A5746" s="1126" t="s">
        <v>6328</v>
      </c>
      <c r="B5746" s="1127">
        <v>536</v>
      </c>
      <c r="C5746" s="1128">
        <v>0</v>
      </c>
      <c r="D5746" s="1128">
        <v>145.46</v>
      </c>
      <c r="E5746" s="1126"/>
    </row>
    <row r="5747" spans="1:5" x14ac:dyDescent="0.2">
      <c r="A5747" s="1126" t="s">
        <v>6329</v>
      </c>
      <c r="B5747" s="1127">
        <v>213</v>
      </c>
      <c r="C5747" s="1128">
        <v>0</v>
      </c>
      <c r="D5747" s="1128">
        <v>56.8</v>
      </c>
      <c r="E5747" s="1126"/>
    </row>
    <row r="5748" spans="1:5" x14ac:dyDescent="0.2">
      <c r="A5748" s="1126" t="s">
        <v>6330</v>
      </c>
      <c r="B5748" s="1127">
        <v>55</v>
      </c>
      <c r="C5748" s="1128">
        <v>0</v>
      </c>
      <c r="D5748" s="1128">
        <v>9.24</v>
      </c>
      <c r="E5748" s="1126"/>
    </row>
    <row r="5749" spans="1:5" x14ac:dyDescent="0.2">
      <c r="A5749" s="1126" t="s">
        <v>6331</v>
      </c>
      <c r="B5749" s="1127">
        <v>296</v>
      </c>
      <c r="C5749" s="1128">
        <v>575.17999999999995</v>
      </c>
      <c r="D5749" s="1128">
        <v>778.64</v>
      </c>
      <c r="E5749" s="1126"/>
    </row>
    <row r="5750" spans="1:5" x14ac:dyDescent="0.2">
      <c r="A5750" s="1126" t="s">
        <v>6332</v>
      </c>
      <c r="B5750" s="1127">
        <v>329</v>
      </c>
      <c r="C5750" s="1128">
        <v>821.85</v>
      </c>
      <c r="D5750" s="1128">
        <v>1048</v>
      </c>
      <c r="E5750" s="1126"/>
    </row>
    <row r="5751" spans="1:5" x14ac:dyDescent="0.2">
      <c r="A5751" s="1126" t="s">
        <v>6333</v>
      </c>
      <c r="B5751" s="1127">
        <v>332</v>
      </c>
      <c r="C5751" s="1128">
        <v>0</v>
      </c>
      <c r="D5751" s="1128">
        <v>92.4</v>
      </c>
      <c r="E5751" s="1126"/>
    </row>
    <row r="5752" spans="1:5" x14ac:dyDescent="0.2">
      <c r="A5752" s="1126" t="s">
        <v>6334</v>
      </c>
      <c r="B5752" s="1127">
        <v>221</v>
      </c>
      <c r="C5752" s="1128">
        <v>0</v>
      </c>
      <c r="D5752" s="1128">
        <v>103.36</v>
      </c>
      <c r="E5752" s="1126"/>
    </row>
    <row r="5753" spans="1:5" x14ac:dyDescent="0.2">
      <c r="A5753" s="1126" t="s">
        <v>6335</v>
      </c>
      <c r="B5753" s="1127">
        <v>336</v>
      </c>
      <c r="C5753" s="1128">
        <v>0</v>
      </c>
      <c r="D5753" s="1128">
        <v>100.9</v>
      </c>
      <c r="E5753" s="1126"/>
    </row>
    <row r="5754" spans="1:5" x14ac:dyDescent="0.2">
      <c r="A5754" s="1126" t="s">
        <v>6336</v>
      </c>
      <c r="B5754" s="1127">
        <v>267</v>
      </c>
      <c r="C5754" s="1128">
        <v>0</v>
      </c>
      <c r="D5754" s="1128">
        <v>78.44</v>
      </c>
      <c r="E5754" s="1126"/>
    </row>
    <row r="5755" spans="1:5" x14ac:dyDescent="0.2">
      <c r="A5755" s="1126" t="s">
        <v>6337</v>
      </c>
      <c r="B5755" s="1127">
        <v>189</v>
      </c>
      <c r="C5755" s="1128">
        <v>0</v>
      </c>
      <c r="D5755" s="1128">
        <v>47.79</v>
      </c>
      <c r="E5755" s="1126"/>
    </row>
    <row r="5756" spans="1:5" x14ac:dyDescent="0.2">
      <c r="A5756" s="1126" t="s">
        <v>6338</v>
      </c>
      <c r="B5756" s="1127">
        <v>205</v>
      </c>
      <c r="C5756" s="1128">
        <v>0</v>
      </c>
      <c r="D5756" s="1128">
        <v>132.06</v>
      </c>
      <c r="E5756" s="1126"/>
    </row>
    <row r="5757" spans="1:5" x14ac:dyDescent="0.2">
      <c r="A5757" s="1126" t="s">
        <v>6339</v>
      </c>
      <c r="B5757" s="1127">
        <v>225</v>
      </c>
      <c r="C5757" s="1128">
        <v>0</v>
      </c>
      <c r="D5757" s="1128">
        <v>10.029999999999999</v>
      </c>
      <c r="E5757" s="1126"/>
    </row>
    <row r="5758" spans="1:5" x14ac:dyDescent="0.2">
      <c r="A5758" s="1126" t="s">
        <v>6340</v>
      </c>
      <c r="B5758" s="1127">
        <v>449</v>
      </c>
      <c r="C5758" s="1128">
        <v>0</v>
      </c>
      <c r="D5758" s="1128">
        <v>84.87</v>
      </c>
      <c r="E5758" s="1126"/>
    </row>
    <row r="5759" spans="1:5" x14ac:dyDescent="0.2">
      <c r="A5759" s="1126" t="s">
        <v>6341</v>
      </c>
      <c r="B5759" s="1127">
        <v>254</v>
      </c>
      <c r="C5759" s="1128">
        <v>0</v>
      </c>
      <c r="D5759" s="1128">
        <v>158.08000000000001</v>
      </c>
      <c r="E5759" s="1126"/>
    </row>
    <row r="5760" spans="1:5" x14ac:dyDescent="0.2">
      <c r="A5760" s="1126" t="s">
        <v>6342</v>
      </c>
      <c r="B5760" s="1127">
        <v>147</v>
      </c>
      <c r="C5760" s="1128">
        <v>0</v>
      </c>
      <c r="D5760" s="1128">
        <v>29.06</v>
      </c>
      <c r="E5760" s="1126"/>
    </row>
    <row r="5761" spans="1:5" x14ac:dyDescent="0.2">
      <c r="A5761" s="1126" t="s">
        <v>6343</v>
      </c>
      <c r="B5761" s="1127">
        <v>222</v>
      </c>
      <c r="C5761" s="1128">
        <v>0</v>
      </c>
      <c r="D5761" s="1128">
        <v>24.44</v>
      </c>
      <c r="E5761" s="1126"/>
    </row>
    <row r="5762" spans="1:5" x14ac:dyDescent="0.2">
      <c r="A5762" s="1126" t="s">
        <v>6344</v>
      </c>
      <c r="B5762" s="1127">
        <v>164</v>
      </c>
      <c r="C5762" s="1128">
        <v>0</v>
      </c>
      <c r="D5762" s="1128">
        <v>98.66</v>
      </c>
      <c r="E5762" s="1126"/>
    </row>
    <row r="5763" spans="1:5" x14ac:dyDescent="0.2">
      <c r="A5763" s="1126" t="s">
        <v>6345</v>
      </c>
      <c r="B5763" s="1127">
        <v>537</v>
      </c>
      <c r="C5763" s="1128">
        <v>0</v>
      </c>
      <c r="D5763" s="1128">
        <v>119.07</v>
      </c>
      <c r="E5763" s="1126"/>
    </row>
    <row r="5764" spans="1:5" x14ac:dyDescent="0.2">
      <c r="A5764" s="1126" t="s">
        <v>6346</v>
      </c>
      <c r="B5764" s="1127">
        <v>194</v>
      </c>
      <c r="C5764" s="1128">
        <v>0</v>
      </c>
      <c r="D5764" s="1128">
        <v>93.39</v>
      </c>
      <c r="E5764" s="1126"/>
    </row>
    <row r="5765" spans="1:5" x14ac:dyDescent="0.2">
      <c r="A5765" s="1126" t="s">
        <v>6347</v>
      </c>
      <c r="B5765" s="1127">
        <v>73</v>
      </c>
      <c r="C5765" s="1128">
        <v>0</v>
      </c>
      <c r="D5765" s="1128">
        <v>20.46</v>
      </c>
      <c r="E5765" s="1126"/>
    </row>
    <row r="5766" spans="1:5" x14ac:dyDescent="0.2">
      <c r="A5766" s="1126" t="s">
        <v>6348</v>
      </c>
      <c r="B5766" s="1127">
        <v>359</v>
      </c>
      <c r="C5766" s="1128">
        <v>0</v>
      </c>
      <c r="D5766" s="1128">
        <v>113.65</v>
      </c>
      <c r="E5766" s="1126"/>
    </row>
    <row r="5767" spans="1:5" x14ac:dyDescent="0.2">
      <c r="A5767" s="1126" t="s">
        <v>6349</v>
      </c>
      <c r="B5767" s="1127">
        <v>316</v>
      </c>
      <c r="C5767" s="1128">
        <v>0</v>
      </c>
      <c r="D5767" s="1128">
        <v>196.51</v>
      </c>
      <c r="E5767" s="1126"/>
    </row>
    <row r="5768" spans="1:5" x14ac:dyDescent="0.2">
      <c r="A5768" s="1126" t="s">
        <v>6350</v>
      </c>
      <c r="B5768" s="1127">
        <v>508</v>
      </c>
      <c r="C5768" s="1128">
        <v>0</v>
      </c>
      <c r="D5768" s="1128">
        <v>233.29</v>
      </c>
      <c r="E5768" s="1126"/>
    </row>
    <row r="5769" spans="1:5" x14ac:dyDescent="0.2">
      <c r="A5769" s="1126" t="s">
        <v>6351</v>
      </c>
      <c r="B5769" s="1127">
        <v>371</v>
      </c>
      <c r="C5769" s="1128">
        <v>0</v>
      </c>
      <c r="D5769" s="1128">
        <v>64</v>
      </c>
      <c r="E5769" s="1126"/>
    </row>
    <row r="5770" spans="1:5" x14ac:dyDescent="0.2">
      <c r="A5770" s="1126" t="s">
        <v>6352</v>
      </c>
      <c r="B5770" s="1127">
        <v>366</v>
      </c>
      <c r="C5770" s="1128">
        <v>0</v>
      </c>
      <c r="D5770" s="1128">
        <v>34.93</v>
      </c>
      <c r="E5770" s="1126"/>
    </row>
    <row r="5771" spans="1:5" x14ac:dyDescent="0.2">
      <c r="A5771" s="1126" t="s">
        <v>6353</v>
      </c>
      <c r="B5771" s="1127">
        <v>214</v>
      </c>
      <c r="C5771" s="1128">
        <v>0</v>
      </c>
      <c r="D5771" s="1128">
        <v>115.29</v>
      </c>
      <c r="E5771" s="1126"/>
    </row>
    <row r="5772" spans="1:5" x14ac:dyDescent="0.2">
      <c r="A5772" s="1126" t="s">
        <v>6354</v>
      </c>
      <c r="B5772" s="1127">
        <v>104</v>
      </c>
      <c r="C5772" s="1128">
        <v>33.979999999999997</v>
      </c>
      <c r="D5772" s="1128">
        <v>105.46</v>
      </c>
      <c r="E5772" s="1126"/>
    </row>
    <row r="5773" spans="1:5" x14ac:dyDescent="0.2">
      <c r="A5773" s="1126" t="s">
        <v>6355</v>
      </c>
      <c r="B5773" s="1127">
        <v>219</v>
      </c>
      <c r="C5773" s="1128">
        <v>0</v>
      </c>
      <c r="D5773" s="1128">
        <v>40.369999999999997</v>
      </c>
      <c r="E5773" s="1126"/>
    </row>
    <row r="5774" spans="1:5" x14ac:dyDescent="0.2">
      <c r="A5774" s="1126" t="s">
        <v>6356</v>
      </c>
      <c r="B5774" s="1127">
        <v>262</v>
      </c>
      <c r="C5774" s="1128">
        <v>38.07</v>
      </c>
      <c r="D5774" s="1128">
        <v>218.16</v>
      </c>
      <c r="E5774" s="1126"/>
    </row>
    <row r="5775" spans="1:5" x14ac:dyDescent="0.2">
      <c r="A5775" s="1126" t="s">
        <v>6357</v>
      </c>
      <c r="B5775" s="1127">
        <v>395</v>
      </c>
      <c r="C5775" s="1128">
        <v>0</v>
      </c>
      <c r="D5775" s="1128">
        <v>251.92</v>
      </c>
      <c r="E5775" s="1126"/>
    </row>
    <row r="5776" spans="1:5" x14ac:dyDescent="0.2">
      <c r="A5776" s="1126" t="s">
        <v>6358</v>
      </c>
      <c r="B5776" s="1127">
        <v>304</v>
      </c>
      <c r="C5776" s="1128">
        <v>0</v>
      </c>
      <c r="D5776" s="1128">
        <v>76.930000000000007</v>
      </c>
      <c r="E5776" s="1126"/>
    </row>
    <row r="5777" spans="1:5" x14ac:dyDescent="0.2">
      <c r="A5777" s="1126" t="s">
        <v>6359</v>
      </c>
      <c r="B5777" s="1127">
        <v>307</v>
      </c>
      <c r="C5777" s="1128">
        <v>0</v>
      </c>
      <c r="D5777" s="1128">
        <v>170</v>
      </c>
      <c r="E5777" s="1126"/>
    </row>
    <row r="5778" spans="1:5" x14ac:dyDescent="0.2">
      <c r="A5778" s="1126" t="s">
        <v>6360</v>
      </c>
      <c r="B5778" s="1127">
        <v>142</v>
      </c>
      <c r="C5778" s="1128">
        <v>285.33</v>
      </c>
      <c r="D5778" s="1128">
        <v>382.93</v>
      </c>
      <c r="E5778" s="1126"/>
    </row>
    <row r="5779" spans="1:5" x14ac:dyDescent="0.2">
      <c r="A5779" s="1126" t="s">
        <v>6361</v>
      </c>
      <c r="B5779" s="1127">
        <v>198</v>
      </c>
      <c r="C5779" s="1128">
        <v>0</v>
      </c>
      <c r="D5779" s="1128">
        <v>30.34</v>
      </c>
      <c r="E5779" s="1126"/>
    </row>
    <row r="5780" spans="1:5" x14ac:dyDescent="0.2">
      <c r="A5780" s="1126" t="s">
        <v>6362</v>
      </c>
      <c r="B5780" s="1127">
        <v>185</v>
      </c>
      <c r="C5780" s="1128">
        <v>0</v>
      </c>
      <c r="D5780" s="1128">
        <v>89.63</v>
      </c>
      <c r="E5780" s="1126"/>
    </row>
    <row r="5781" spans="1:5" x14ac:dyDescent="0.2">
      <c r="A5781" s="1126" t="s">
        <v>6363</v>
      </c>
      <c r="B5781" s="1127">
        <v>176</v>
      </c>
      <c r="C5781" s="1128">
        <v>53.42</v>
      </c>
      <c r="D5781" s="1128">
        <v>174.39</v>
      </c>
      <c r="E5781" s="1126"/>
    </row>
    <row r="5782" spans="1:5" x14ac:dyDescent="0.2">
      <c r="A5782" s="1126" t="s">
        <v>6364</v>
      </c>
      <c r="B5782" s="1127">
        <v>130</v>
      </c>
      <c r="C5782" s="1128">
        <v>0</v>
      </c>
      <c r="D5782" s="1128">
        <v>23.93</v>
      </c>
      <c r="E5782" s="1126"/>
    </row>
    <row r="5783" spans="1:5" x14ac:dyDescent="0.2">
      <c r="A5783" s="1126" t="s">
        <v>6365</v>
      </c>
      <c r="B5783" s="1127">
        <v>236</v>
      </c>
      <c r="C5783" s="1128">
        <v>0</v>
      </c>
      <c r="D5783" s="1128">
        <v>131.99</v>
      </c>
      <c r="E5783" s="1126"/>
    </row>
    <row r="5784" spans="1:5" x14ac:dyDescent="0.2">
      <c r="A5784" s="1126" t="s">
        <v>6366</v>
      </c>
      <c r="B5784" s="1127">
        <v>358</v>
      </c>
      <c r="C5784" s="1128">
        <v>107.19</v>
      </c>
      <c r="D5784" s="1128">
        <v>353.27</v>
      </c>
      <c r="E5784" s="1126"/>
    </row>
    <row r="5785" spans="1:5" x14ac:dyDescent="0.2">
      <c r="A5785" s="1126" t="s">
        <v>6367</v>
      </c>
      <c r="B5785" s="1127">
        <v>276</v>
      </c>
      <c r="C5785" s="1128">
        <v>16.34</v>
      </c>
      <c r="D5785" s="1128">
        <v>206.05</v>
      </c>
      <c r="E5785" s="1126"/>
    </row>
    <row r="5786" spans="1:5" x14ac:dyDescent="0.2">
      <c r="A5786" s="1126" t="s">
        <v>6368</v>
      </c>
      <c r="B5786" s="1127">
        <v>110</v>
      </c>
      <c r="C5786" s="1128">
        <v>12.64</v>
      </c>
      <c r="D5786" s="1128">
        <v>88.25</v>
      </c>
      <c r="E5786" s="1126"/>
    </row>
    <row r="5787" spans="1:5" x14ac:dyDescent="0.2">
      <c r="A5787" s="1126" t="s">
        <v>6369</v>
      </c>
      <c r="B5787" s="1127">
        <v>298</v>
      </c>
      <c r="C5787" s="1128">
        <v>0</v>
      </c>
      <c r="D5787" s="1128">
        <v>191.04</v>
      </c>
      <c r="E5787" s="1126"/>
    </row>
    <row r="5788" spans="1:5" x14ac:dyDescent="0.2">
      <c r="A5788" s="1126" t="s">
        <v>6370</v>
      </c>
      <c r="B5788" s="1127">
        <v>447</v>
      </c>
      <c r="C5788" s="1128">
        <v>0</v>
      </c>
      <c r="D5788" s="1128">
        <v>229.35</v>
      </c>
      <c r="E5788" s="1126"/>
    </row>
    <row r="5789" spans="1:5" x14ac:dyDescent="0.2">
      <c r="A5789" s="1126" t="s">
        <v>6371</v>
      </c>
      <c r="B5789" s="1127">
        <v>370</v>
      </c>
      <c r="C5789" s="1128">
        <v>0</v>
      </c>
      <c r="D5789" s="1128">
        <v>68.48</v>
      </c>
      <c r="E5789" s="1126"/>
    </row>
    <row r="5790" spans="1:5" x14ac:dyDescent="0.2">
      <c r="A5790" s="1126" t="s">
        <v>6372</v>
      </c>
      <c r="B5790" s="1127">
        <v>195</v>
      </c>
      <c r="C5790" s="1128">
        <v>29.94</v>
      </c>
      <c r="D5790" s="1128">
        <v>163.98</v>
      </c>
      <c r="E5790" s="1126"/>
    </row>
    <row r="5791" spans="1:5" x14ac:dyDescent="0.2">
      <c r="A5791" s="1126" t="s">
        <v>6373</v>
      </c>
      <c r="B5791" s="1127">
        <v>70</v>
      </c>
      <c r="C5791" s="1128">
        <v>0</v>
      </c>
      <c r="D5791" s="1128">
        <v>0</v>
      </c>
      <c r="E5791" s="1126"/>
    </row>
    <row r="5792" spans="1:5" x14ac:dyDescent="0.2">
      <c r="A5792" s="1126" t="s">
        <v>6374</v>
      </c>
      <c r="B5792" s="1127">
        <v>126</v>
      </c>
      <c r="C5792" s="1128">
        <v>0</v>
      </c>
      <c r="D5792" s="1128">
        <v>42.73</v>
      </c>
      <c r="E5792" s="1126"/>
    </row>
    <row r="5793" spans="1:5" x14ac:dyDescent="0.2">
      <c r="A5793" s="1126" t="s">
        <v>6375</v>
      </c>
      <c r="B5793" s="1127">
        <v>158</v>
      </c>
      <c r="C5793" s="1128">
        <v>7.59</v>
      </c>
      <c r="D5793" s="1128">
        <v>116.19</v>
      </c>
      <c r="E5793" s="1126"/>
    </row>
    <row r="5794" spans="1:5" x14ac:dyDescent="0.2">
      <c r="A5794" s="1126" t="s">
        <v>6376</v>
      </c>
      <c r="B5794" s="1127">
        <v>163</v>
      </c>
      <c r="C5794" s="1128">
        <v>0</v>
      </c>
      <c r="D5794" s="1128">
        <v>91.1</v>
      </c>
      <c r="E5794" s="1126"/>
    </row>
    <row r="5795" spans="1:5" x14ac:dyDescent="0.2">
      <c r="A5795" s="1126" t="s">
        <v>6377</v>
      </c>
      <c r="B5795" s="1127">
        <v>194</v>
      </c>
      <c r="C5795" s="1128">
        <v>22.72</v>
      </c>
      <c r="D5795" s="1128">
        <v>156.07</v>
      </c>
      <c r="E5795" s="1126"/>
    </row>
    <row r="5796" spans="1:5" x14ac:dyDescent="0.2">
      <c r="A5796" s="1126" t="s">
        <v>6378</v>
      </c>
      <c r="B5796" s="1127">
        <v>339</v>
      </c>
      <c r="C5796" s="1128">
        <v>6.5</v>
      </c>
      <c r="D5796" s="1128">
        <v>239.52</v>
      </c>
      <c r="E5796" s="1126"/>
    </row>
    <row r="5797" spans="1:5" x14ac:dyDescent="0.2">
      <c r="A5797" s="1126" t="s">
        <v>6379</v>
      </c>
      <c r="B5797" s="1127">
        <v>178</v>
      </c>
      <c r="C5797" s="1128">
        <v>0</v>
      </c>
      <c r="D5797" s="1128">
        <v>38.549999999999997</v>
      </c>
      <c r="E5797" s="1126"/>
    </row>
    <row r="5798" spans="1:5" x14ac:dyDescent="0.2">
      <c r="A5798" s="1126" t="s">
        <v>6380</v>
      </c>
      <c r="B5798" s="1127">
        <v>190</v>
      </c>
      <c r="C5798" s="1128">
        <v>81.99</v>
      </c>
      <c r="D5798" s="1128">
        <v>212.59</v>
      </c>
      <c r="E5798" s="1126"/>
    </row>
    <row r="5799" spans="1:5" x14ac:dyDescent="0.2">
      <c r="A5799" s="1126" t="s">
        <v>6381</v>
      </c>
      <c r="B5799" s="1127">
        <v>205</v>
      </c>
      <c r="C5799" s="1128">
        <v>204.1</v>
      </c>
      <c r="D5799" s="1128">
        <v>345</v>
      </c>
      <c r="E5799" s="1126"/>
    </row>
    <row r="5800" spans="1:5" x14ac:dyDescent="0.2">
      <c r="A5800" s="1126" t="s">
        <v>6382</v>
      </c>
      <c r="B5800" s="1127">
        <v>244</v>
      </c>
      <c r="C5800" s="1128">
        <v>0</v>
      </c>
      <c r="D5800" s="1128">
        <v>48.15</v>
      </c>
      <c r="E5800" s="1126"/>
    </row>
    <row r="5801" spans="1:5" x14ac:dyDescent="0.2">
      <c r="A5801" s="1126" t="s">
        <v>6383</v>
      </c>
      <c r="B5801" s="1127">
        <v>393</v>
      </c>
      <c r="C5801" s="1128">
        <v>0</v>
      </c>
      <c r="D5801" s="1128">
        <v>42.39</v>
      </c>
      <c r="E5801" s="1126"/>
    </row>
    <row r="5802" spans="1:5" x14ac:dyDescent="0.2">
      <c r="A5802" s="1126" t="s">
        <v>6384</v>
      </c>
      <c r="B5802" s="1127">
        <v>243</v>
      </c>
      <c r="C5802" s="1128">
        <v>153.88999999999999</v>
      </c>
      <c r="D5802" s="1128">
        <v>320.92</v>
      </c>
      <c r="E5802" s="1126"/>
    </row>
    <row r="5803" spans="1:5" x14ac:dyDescent="0.2">
      <c r="A5803" s="1126" t="s">
        <v>6385</v>
      </c>
      <c r="B5803" s="1127">
        <v>399</v>
      </c>
      <c r="C5803" s="1128">
        <v>0</v>
      </c>
      <c r="D5803" s="1128">
        <v>118.87</v>
      </c>
      <c r="E5803" s="1126"/>
    </row>
    <row r="5804" spans="1:5" x14ac:dyDescent="0.2">
      <c r="A5804" s="1126" t="s">
        <v>6386</v>
      </c>
      <c r="B5804" s="1127">
        <v>323</v>
      </c>
      <c r="C5804" s="1128">
        <v>640.73</v>
      </c>
      <c r="D5804" s="1128">
        <v>862.75</v>
      </c>
      <c r="E5804" s="1126"/>
    </row>
    <row r="5805" spans="1:5" x14ac:dyDescent="0.2">
      <c r="A5805" s="1126" t="s">
        <v>6387</v>
      </c>
      <c r="B5805" s="1127">
        <v>115</v>
      </c>
      <c r="C5805" s="1128">
        <v>165.95</v>
      </c>
      <c r="D5805" s="1128">
        <v>245</v>
      </c>
      <c r="E5805" s="1126"/>
    </row>
    <row r="5806" spans="1:5" x14ac:dyDescent="0.2">
      <c r="A5806" s="1126" t="s">
        <v>6388</v>
      </c>
      <c r="B5806" s="1127">
        <v>81</v>
      </c>
      <c r="C5806" s="1128">
        <v>0</v>
      </c>
      <c r="D5806" s="1128">
        <v>4.78</v>
      </c>
      <c r="E5806" s="1126"/>
    </row>
    <row r="5807" spans="1:5" x14ac:dyDescent="0.2">
      <c r="A5807" s="1126" t="s">
        <v>6389</v>
      </c>
      <c r="B5807" s="1127">
        <v>397</v>
      </c>
      <c r="C5807" s="1128">
        <v>80.86</v>
      </c>
      <c r="D5807" s="1128">
        <v>353.74</v>
      </c>
      <c r="E5807" s="1126"/>
    </row>
    <row r="5808" spans="1:5" x14ac:dyDescent="0.2">
      <c r="A5808" s="1126" t="s">
        <v>6390</v>
      </c>
      <c r="B5808" s="1127">
        <v>235</v>
      </c>
      <c r="C5808" s="1128">
        <v>0</v>
      </c>
      <c r="D5808" s="1128">
        <v>138.87</v>
      </c>
      <c r="E5808" s="1126"/>
    </row>
    <row r="5809" spans="1:5" x14ac:dyDescent="0.2">
      <c r="A5809" s="1126" t="s">
        <v>6391</v>
      </c>
      <c r="B5809" s="1127">
        <v>183</v>
      </c>
      <c r="C5809" s="1128">
        <v>0</v>
      </c>
      <c r="D5809" s="1128">
        <v>82.72</v>
      </c>
      <c r="E5809" s="1126"/>
    </row>
    <row r="5810" spans="1:5" x14ac:dyDescent="0.2">
      <c r="A5810" s="1126" t="s">
        <v>6392</v>
      </c>
      <c r="B5810" s="1127">
        <v>55</v>
      </c>
      <c r="C5810" s="1128">
        <v>0</v>
      </c>
      <c r="D5810" s="1128">
        <v>27.54</v>
      </c>
      <c r="E5810" s="1126"/>
    </row>
    <row r="5811" spans="1:5" x14ac:dyDescent="0.2">
      <c r="A5811" s="1126" t="s">
        <v>6393</v>
      </c>
      <c r="B5811" s="1127">
        <v>980</v>
      </c>
      <c r="C5811" s="1128">
        <v>2616.75</v>
      </c>
      <c r="D5811" s="1128">
        <v>3290.36</v>
      </c>
      <c r="E5811" s="1126"/>
    </row>
    <row r="5812" spans="1:5" x14ac:dyDescent="0.2">
      <c r="A5812" s="1126" t="s">
        <v>6394</v>
      </c>
      <c r="B5812" s="1127">
        <v>286</v>
      </c>
      <c r="C5812" s="1128">
        <v>754.66</v>
      </c>
      <c r="D5812" s="1128">
        <v>951.24</v>
      </c>
      <c r="E5812" s="1126"/>
    </row>
    <row r="5813" spans="1:5" x14ac:dyDescent="0.2">
      <c r="A5813" s="1126" t="s">
        <v>6395</v>
      </c>
      <c r="B5813" s="1127">
        <v>100</v>
      </c>
      <c r="C5813" s="1128">
        <v>0</v>
      </c>
      <c r="D5813" s="1128">
        <v>12.09</v>
      </c>
      <c r="E5813" s="1126"/>
    </row>
    <row r="5814" spans="1:5" x14ac:dyDescent="0.2">
      <c r="A5814" s="1126" t="s">
        <v>6396</v>
      </c>
      <c r="B5814" s="1127">
        <v>168</v>
      </c>
      <c r="C5814" s="1128">
        <v>0</v>
      </c>
      <c r="D5814" s="1128">
        <v>100.17</v>
      </c>
      <c r="E5814" s="1126"/>
    </row>
    <row r="5815" spans="1:5" x14ac:dyDescent="0.2">
      <c r="A5815" s="1126" t="s">
        <v>6397</v>
      </c>
      <c r="B5815" s="1127">
        <v>497</v>
      </c>
      <c r="C5815" s="1128">
        <v>916.03</v>
      </c>
      <c r="D5815" s="1128">
        <v>1257.6500000000001</v>
      </c>
      <c r="E5815" s="1126"/>
    </row>
    <row r="5816" spans="1:5" x14ac:dyDescent="0.2">
      <c r="A5816" s="1126" t="s">
        <v>6398</v>
      </c>
      <c r="B5816" s="1127">
        <v>213</v>
      </c>
      <c r="C5816" s="1128">
        <v>0</v>
      </c>
      <c r="D5816" s="1128">
        <v>80.81</v>
      </c>
      <c r="E5816" s="1126"/>
    </row>
    <row r="5817" spans="1:5" x14ac:dyDescent="0.2">
      <c r="A5817" s="1126" t="s">
        <v>6399</v>
      </c>
      <c r="B5817" s="1127">
        <v>196</v>
      </c>
      <c r="C5817" s="1128">
        <v>82.78</v>
      </c>
      <c r="D5817" s="1128">
        <v>217.5</v>
      </c>
      <c r="E5817" s="1126"/>
    </row>
    <row r="5818" spans="1:5" x14ac:dyDescent="0.2">
      <c r="A5818" s="1126" t="s">
        <v>6400</v>
      </c>
      <c r="B5818" s="1127">
        <v>630</v>
      </c>
      <c r="C5818" s="1128">
        <v>0</v>
      </c>
      <c r="D5818" s="1128">
        <v>113.86</v>
      </c>
      <c r="E5818" s="1126"/>
    </row>
    <row r="5819" spans="1:5" x14ac:dyDescent="0.2">
      <c r="A5819" s="1126" t="s">
        <v>6401</v>
      </c>
      <c r="B5819" s="1127">
        <v>424</v>
      </c>
      <c r="C5819" s="1128">
        <v>0</v>
      </c>
      <c r="D5819" s="1128">
        <v>138.75</v>
      </c>
      <c r="E5819" s="1126"/>
    </row>
    <row r="5820" spans="1:5" x14ac:dyDescent="0.2">
      <c r="A5820" s="1126" t="s">
        <v>6402</v>
      </c>
      <c r="B5820" s="1127">
        <v>190</v>
      </c>
      <c r="C5820" s="1128">
        <v>0</v>
      </c>
      <c r="D5820" s="1128">
        <v>35.25</v>
      </c>
      <c r="E5820" s="1126"/>
    </row>
    <row r="5821" spans="1:5" x14ac:dyDescent="0.2">
      <c r="A5821" s="1126" t="s">
        <v>6403</v>
      </c>
      <c r="B5821" s="1127">
        <v>234</v>
      </c>
      <c r="C5821" s="1128">
        <v>0</v>
      </c>
      <c r="D5821" s="1128">
        <v>160.22999999999999</v>
      </c>
      <c r="E5821" s="1126"/>
    </row>
    <row r="5822" spans="1:5" x14ac:dyDescent="0.2">
      <c r="A5822" s="1126" t="s">
        <v>6404</v>
      </c>
      <c r="B5822" s="1127">
        <v>195</v>
      </c>
      <c r="C5822" s="1128">
        <v>0</v>
      </c>
      <c r="D5822" s="1128">
        <v>29.99</v>
      </c>
      <c r="E5822" s="1126"/>
    </row>
    <row r="5823" spans="1:5" x14ac:dyDescent="0.2">
      <c r="A5823" s="1126" t="s">
        <v>6405</v>
      </c>
      <c r="B5823" s="1127">
        <v>708</v>
      </c>
      <c r="C5823" s="1128">
        <v>0</v>
      </c>
      <c r="D5823" s="1128">
        <v>163.12</v>
      </c>
      <c r="E5823" s="1126"/>
    </row>
    <row r="5824" spans="1:5" x14ac:dyDescent="0.2">
      <c r="A5824" s="1126" t="s">
        <v>6406</v>
      </c>
      <c r="B5824" s="1127">
        <v>176</v>
      </c>
      <c r="C5824" s="1128">
        <v>0</v>
      </c>
      <c r="D5824" s="1128">
        <v>55.48</v>
      </c>
      <c r="E5824" s="1126"/>
    </row>
    <row r="5825" spans="1:5" x14ac:dyDescent="0.2">
      <c r="A5825" s="1126" t="s">
        <v>6407</v>
      </c>
      <c r="B5825" s="1127">
        <v>217</v>
      </c>
      <c r="C5825" s="1128">
        <v>0</v>
      </c>
      <c r="D5825" s="1128">
        <v>118.49</v>
      </c>
      <c r="E5825" s="1126"/>
    </row>
    <row r="5826" spans="1:5" x14ac:dyDescent="0.2">
      <c r="A5826" s="1126" t="s">
        <v>6408</v>
      </c>
      <c r="B5826" s="1127">
        <v>279</v>
      </c>
      <c r="C5826" s="1128">
        <v>0</v>
      </c>
      <c r="D5826" s="1128">
        <v>84.3</v>
      </c>
      <c r="E5826" s="1126"/>
    </row>
    <row r="5827" spans="1:5" x14ac:dyDescent="0.2">
      <c r="A5827" s="1126" t="s">
        <v>6409</v>
      </c>
      <c r="B5827" s="1127">
        <v>315</v>
      </c>
      <c r="C5827" s="1128">
        <v>0</v>
      </c>
      <c r="D5827" s="1128">
        <v>71.540000000000006</v>
      </c>
      <c r="E5827" s="1126"/>
    </row>
    <row r="5828" spans="1:5" x14ac:dyDescent="0.2">
      <c r="A5828" s="1126" t="s">
        <v>6410</v>
      </c>
      <c r="B5828" s="1127">
        <v>176</v>
      </c>
      <c r="C5828" s="1128">
        <v>0</v>
      </c>
      <c r="D5828" s="1128">
        <v>27.61</v>
      </c>
      <c r="E5828" s="1126"/>
    </row>
    <row r="5829" spans="1:5" x14ac:dyDescent="0.2">
      <c r="A5829" s="1126" t="s">
        <v>6411</v>
      </c>
      <c r="B5829" s="1127">
        <v>199</v>
      </c>
      <c r="C5829" s="1128">
        <v>155.05000000000001</v>
      </c>
      <c r="D5829" s="1128">
        <v>291.83999999999997</v>
      </c>
      <c r="E5829" s="1126"/>
    </row>
    <row r="5830" spans="1:5" x14ac:dyDescent="0.2">
      <c r="A5830" s="1126" t="s">
        <v>6412</v>
      </c>
      <c r="B5830" s="1127">
        <v>367</v>
      </c>
      <c r="C5830" s="1128">
        <v>0</v>
      </c>
      <c r="D5830" s="1128">
        <v>181.7</v>
      </c>
      <c r="E5830" s="1126"/>
    </row>
    <row r="5831" spans="1:5" x14ac:dyDescent="0.2">
      <c r="A5831" s="1126" t="s">
        <v>6413</v>
      </c>
      <c r="B5831" s="1127">
        <v>270</v>
      </c>
      <c r="C5831" s="1128">
        <v>0</v>
      </c>
      <c r="D5831" s="1128">
        <v>12.56</v>
      </c>
      <c r="E5831" s="1126"/>
    </row>
    <row r="5832" spans="1:5" x14ac:dyDescent="0.2">
      <c r="A5832" s="1126" t="s">
        <v>6414</v>
      </c>
      <c r="B5832" s="1127">
        <v>254</v>
      </c>
      <c r="C5832" s="1128">
        <v>7.38</v>
      </c>
      <c r="D5832" s="1128">
        <v>181.97</v>
      </c>
      <c r="E5832" s="1126"/>
    </row>
    <row r="5833" spans="1:5" x14ac:dyDescent="0.2">
      <c r="A5833" s="1126" t="s">
        <v>6415</v>
      </c>
      <c r="B5833" s="1127">
        <v>378</v>
      </c>
      <c r="C5833" s="1128">
        <v>0</v>
      </c>
      <c r="D5833" s="1128">
        <v>136.19</v>
      </c>
      <c r="E5833" s="1126"/>
    </row>
    <row r="5834" spans="1:5" x14ac:dyDescent="0.2">
      <c r="A5834" s="1126" t="s">
        <v>6416</v>
      </c>
      <c r="B5834" s="1127">
        <v>245</v>
      </c>
      <c r="C5834" s="1128">
        <v>0</v>
      </c>
      <c r="D5834" s="1128">
        <v>31.76</v>
      </c>
      <c r="E5834" s="1126"/>
    </row>
    <row r="5835" spans="1:5" x14ac:dyDescent="0.2">
      <c r="A5835" s="1126" t="s">
        <v>6417</v>
      </c>
      <c r="B5835" s="1127">
        <v>282</v>
      </c>
      <c r="C5835" s="1128">
        <v>0</v>
      </c>
      <c r="D5835" s="1128">
        <v>121.5</v>
      </c>
      <c r="E5835" s="1126"/>
    </row>
    <row r="5836" spans="1:5" x14ac:dyDescent="0.2">
      <c r="A5836" s="1126" t="s">
        <v>6418</v>
      </c>
      <c r="B5836" s="1127">
        <v>322</v>
      </c>
      <c r="C5836" s="1128">
        <v>0</v>
      </c>
      <c r="D5836" s="1128">
        <v>80.38</v>
      </c>
      <c r="E5836" s="1126"/>
    </row>
    <row r="5837" spans="1:5" x14ac:dyDescent="0.2">
      <c r="A5837" s="1126" t="s">
        <v>6419</v>
      </c>
      <c r="B5837" s="1127">
        <v>170</v>
      </c>
      <c r="C5837" s="1128">
        <v>0</v>
      </c>
      <c r="D5837" s="1128">
        <v>52.95</v>
      </c>
      <c r="E5837" s="1126"/>
    </row>
    <row r="5838" spans="1:5" x14ac:dyDescent="0.2">
      <c r="A5838" s="1126" t="s">
        <v>6420</v>
      </c>
      <c r="B5838" s="1127">
        <v>512</v>
      </c>
      <c r="C5838" s="1128">
        <v>0</v>
      </c>
      <c r="D5838" s="1128">
        <v>197.14</v>
      </c>
      <c r="E5838" s="1126"/>
    </row>
    <row r="5839" spans="1:5" x14ac:dyDescent="0.2">
      <c r="A5839" s="1126" t="s">
        <v>6421</v>
      </c>
      <c r="B5839" s="1127">
        <v>301</v>
      </c>
      <c r="C5839" s="1128">
        <v>9.61</v>
      </c>
      <c r="D5839" s="1128">
        <v>216.51</v>
      </c>
      <c r="E5839" s="1126"/>
    </row>
    <row r="5840" spans="1:5" x14ac:dyDescent="0.2">
      <c r="A5840" s="1126" t="s">
        <v>6422</v>
      </c>
      <c r="B5840" s="1127">
        <v>69</v>
      </c>
      <c r="C5840" s="1128">
        <v>0</v>
      </c>
      <c r="D5840" s="1128">
        <v>7.42</v>
      </c>
      <c r="E5840" s="1126"/>
    </row>
    <row r="5841" spans="1:5" x14ac:dyDescent="0.2">
      <c r="A5841" s="1126" t="s">
        <v>6423</v>
      </c>
      <c r="B5841" s="1127">
        <v>439</v>
      </c>
      <c r="C5841" s="1128">
        <v>0</v>
      </c>
      <c r="D5841" s="1128">
        <v>80.47</v>
      </c>
      <c r="E5841" s="1126"/>
    </row>
    <row r="5842" spans="1:5" x14ac:dyDescent="0.2">
      <c r="A5842" s="1126" t="s">
        <v>6424</v>
      </c>
      <c r="B5842" s="1127">
        <v>95</v>
      </c>
      <c r="C5842" s="1128">
        <v>100.87</v>
      </c>
      <c r="D5842" s="1128">
        <v>166.17</v>
      </c>
      <c r="E5842" s="1126"/>
    </row>
    <row r="5843" spans="1:5" x14ac:dyDescent="0.2">
      <c r="A5843" s="1126" t="s">
        <v>6425</v>
      </c>
      <c r="B5843" s="1127">
        <v>200</v>
      </c>
      <c r="C5843" s="1128">
        <v>704.97</v>
      </c>
      <c r="D5843" s="1128">
        <v>842.44</v>
      </c>
      <c r="E5843" s="1126"/>
    </row>
    <row r="5844" spans="1:5" x14ac:dyDescent="0.2">
      <c r="A5844" s="1126" t="s">
        <v>6426</v>
      </c>
      <c r="B5844" s="1127">
        <v>540</v>
      </c>
      <c r="C5844" s="1128">
        <v>20.28</v>
      </c>
      <c r="D5844" s="1128">
        <v>391.45</v>
      </c>
      <c r="E5844" s="1126"/>
    </row>
    <row r="5845" spans="1:5" x14ac:dyDescent="0.2">
      <c r="A5845" s="1126" t="s">
        <v>6427</v>
      </c>
      <c r="B5845" s="1127">
        <v>144</v>
      </c>
      <c r="C5845" s="1128">
        <v>0</v>
      </c>
      <c r="D5845" s="1128">
        <v>39.44</v>
      </c>
      <c r="E5845" s="1126"/>
    </row>
    <row r="5846" spans="1:5" x14ac:dyDescent="0.2">
      <c r="A5846" s="1126" t="s">
        <v>6428</v>
      </c>
      <c r="B5846" s="1127">
        <v>90</v>
      </c>
      <c r="C5846" s="1128">
        <v>55.25</v>
      </c>
      <c r="D5846" s="1128">
        <v>117.12</v>
      </c>
      <c r="E5846" s="1126"/>
    </row>
    <row r="5847" spans="1:5" x14ac:dyDescent="0.2">
      <c r="A5847" s="1126" t="s">
        <v>6429</v>
      </c>
      <c r="B5847" s="1127">
        <v>293</v>
      </c>
      <c r="C5847" s="1128">
        <v>0</v>
      </c>
      <c r="D5847" s="1128">
        <v>20.9</v>
      </c>
      <c r="E5847" s="1126"/>
    </row>
    <row r="5848" spans="1:5" x14ac:dyDescent="0.2">
      <c r="A5848" s="1126" t="s">
        <v>6430</v>
      </c>
      <c r="B5848" s="1127">
        <v>264</v>
      </c>
      <c r="C5848" s="1128">
        <v>0</v>
      </c>
      <c r="D5848" s="1128">
        <v>159.30000000000001</v>
      </c>
      <c r="E5848" s="1126"/>
    </row>
    <row r="5849" spans="1:5" x14ac:dyDescent="0.2">
      <c r="A5849" s="1126" t="s">
        <v>6431</v>
      </c>
      <c r="B5849" s="1127">
        <v>272</v>
      </c>
      <c r="C5849" s="1128">
        <v>220.59</v>
      </c>
      <c r="D5849" s="1128">
        <v>407.55</v>
      </c>
      <c r="E5849" s="1126"/>
    </row>
    <row r="5850" spans="1:5" x14ac:dyDescent="0.2">
      <c r="A5850" s="1126" t="s">
        <v>6432</v>
      </c>
      <c r="B5850" s="1127">
        <v>230</v>
      </c>
      <c r="C5850" s="1128">
        <v>0</v>
      </c>
      <c r="D5850" s="1128">
        <v>40.29</v>
      </c>
      <c r="E5850" s="1126"/>
    </row>
    <row r="5851" spans="1:5" x14ac:dyDescent="0.2">
      <c r="A5851" s="1126" t="s">
        <v>6433</v>
      </c>
      <c r="B5851" s="1127">
        <v>90</v>
      </c>
      <c r="C5851" s="1128">
        <v>0</v>
      </c>
      <c r="D5851" s="1128">
        <v>13.75</v>
      </c>
      <c r="E5851" s="1126"/>
    </row>
    <row r="5852" spans="1:5" x14ac:dyDescent="0.2">
      <c r="A5852" s="1126" t="s">
        <v>6434</v>
      </c>
      <c r="B5852" s="1127">
        <v>422</v>
      </c>
      <c r="C5852" s="1128">
        <v>0</v>
      </c>
      <c r="D5852" s="1128">
        <v>149.54</v>
      </c>
      <c r="E5852" s="1126"/>
    </row>
    <row r="5853" spans="1:5" x14ac:dyDescent="0.2">
      <c r="A5853" s="1126" t="s">
        <v>6435</v>
      </c>
      <c r="B5853" s="1127">
        <v>221</v>
      </c>
      <c r="C5853" s="1128">
        <v>157.84</v>
      </c>
      <c r="D5853" s="1128">
        <v>309.74</v>
      </c>
      <c r="E5853" s="1126"/>
    </row>
    <row r="5854" spans="1:5" x14ac:dyDescent="0.2">
      <c r="A5854" s="1126" t="s">
        <v>6436</v>
      </c>
      <c r="B5854" s="1127">
        <v>259</v>
      </c>
      <c r="C5854" s="1128">
        <v>0</v>
      </c>
      <c r="D5854" s="1128">
        <v>101.71</v>
      </c>
      <c r="E5854" s="1126"/>
    </row>
    <row r="5855" spans="1:5" x14ac:dyDescent="0.2">
      <c r="A5855" s="1126" t="s">
        <v>6437</v>
      </c>
      <c r="B5855" s="1127">
        <v>135</v>
      </c>
      <c r="C5855" s="1128">
        <v>0</v>
      </c>
      <c r="D5855" s="1128">
        <v>24.14</v>
      </c>
      <c r="E5855" s="1126"/>
    </row>
    <row r="5856" spans="1:5" x14ac:dyDescent="0.2">
      <c r="A5856" s="1126" t="s">
        <v>6438</v>
      </c>
      <c r="B5856" s="1127">
        <v>166</v>
      </c>
      <c r="C5856" s="1128">
        <v>0</v>
      </c>
      <c r="D5856" s="1128">
        <v>55.65</v>
      </c>
      <c r="E5856" s="1126"/>
    </row>
    <row r="5857" spans="1:5" x14ac:dyDescent="0.2">
      <c r="A5857" s="1126" t="s">
        <v>6439</v>
      </c>
      <c r="B5857" s="1127">
        <v>711</v>
      </c>
      <c r="C5857" s="1128">
        <v>0</v>
      </c>
      <c r="D5857" s="1128">
        <v>54.92</v>
      </c>
      <c r="E5857" s="1126"/>
    </row>
    <row r="5858" spans="1:5" x14ac:dyDescent="0.2">
      <c r="A5858" s="1126" t="s">
        <v>6440</v>
      </c>
      <c r="B5858" s="1127">
        <v>397</v>
      </c>
      <c r="C5858" s="1128">
        <v>104.39</v>
      </c>
      <c r="D5858" s="1128">
        <v>377.27</v>
      </c>
      <c r="E5858" s="1126"/>
    </row>
    <row r="5859" spans="1:5" x14ac:dyDescent="0.2">
      <c r="A5859" s="1126" t="s">
        <v>6441</v>
      </c>
      <c r="B5859" s="1127">
        <v>793</v>
      </c>
      <c r="C5859" s="1128">
        <v>0</v>
      </c>
      <c r="D5859" s="1128">
        <v>184.43</v>
      </c>
      <c r="E5859" s="1126"/>
    </row>
    <row r="5860" spans="1:5" x14ac:dyDescent="0.2">
      <c r="A5860" s="1126" t="s">
        <v>6442</v>
      </c>
      <c r="B5860" s="1127">
        <v>524</v>
      </c>
      <c r="C5860" s="1128">
        <v>0</v>
      </c>
      <c r="D5860" s="1128">
        <v>152.63999999999999</v>
      </c>
      <c r="E5860" s="1126"/>
    </row>
    <row r="5861" spans="1:5" x14ac:dyDescent="0.2">
      <c r="A5861" s="1126" t="s">
        <v>6443</v>
      </c>
      <c r="B5861" s="1127">
        <v>222</v>
      </c>
      <c r="C5861" s="1128">
        <v>0</v>
      </c>
      <c r="D5861" s="1128">
        <v>43.35</v>
      </c>
      <c r="E5861" s="1126"/>
    </row>
    <row r="5862" spans="1:5" x14ac:dyDescent="0.2">
      <c r="A5862" s="1126" t="s">
        <v>6444</v>
      </c>
      <c r="B5862" s="1127">
        <v>113</v>
      </c>
      <c r="C5862" s="1128">
        <v>0</v>
      </c>
      <c r="D5862" s="1128">
        <v>21.38</v>
      </c>
      <c r="E5862" s="1126"/>
    </row>
    <row r="5863" spans="1:5" x14ac:dyDescent="0.2">
      <c r="A5863" s="1126" t="s">
        <v>6445</v>
      </c>
      <c r="B5863" s="1127">
        <v>412</v>
      </c>
      <c r="C5863" s="1128">
        <v>0</v>
      </c>
      <c r="D5863" s="1128">
        <v>55.54</v>
      </c>
      <c r="E5863" s="1126"/>
    </row>
    <row r="5864" spans="1:5" x14ac:dyDescent="0.2">
      <c r="A5864" s="1126" t="s">
        <v>6446</v>
      </c>
      <c r="B5864" s="1127">
        <v>169</v>
      </c>
      <c r="C5864" s="1128">
        <v>20.74</v>
      </c>
      <c r="D5864" s="1128">
        <v>136.9</v>
      </c>
      <c r="E5864" s="1126"/>
    </row>
    <row r="5865" spans="1:5" x14ac:dyDescent="0.2">
      <c r="A5865" s="1126" t="s">
        <v>6447</v>
      </c>
      <c r="B5865" s="1127">
        <v>271</v>
      </c>
      <c r="C5865" s="1128">
        <v>0</v>
      </c>
      <c r="D5865" s="1128">
        <v>90.93</v>
      </c>
      <c r="E5865" s="1126"/>
    </row>
    <row r="5866" spans="1:5" x14ac:dyDescent="0.2">
      <c r="A5866" s="1126" t="s">
        <v>6448</v>
      </c>
      <c r="B5866" s="1127">
        <v>190</v>
      </c>
      <c r="C5866" s="1128">
        <v>294</v>
      </c>
      <c r="D5866" s="1128">
        <v>424.6</v>
      </c>
      <c r="E5866" s="1126"/>
    </row>
    <row r="5867" spans="1:5" x14ac:dyDescent="0.2">
      <c r="A5867" s="1126" t="s">
        <v>6449</v>
      </c>
      <c r="B5867" s="1127">
        <v>146</v>
      </c>
      <c r="C5867" s="1128">
        <v>0</v>
      </c>
      <c r="D5867" s="1128">
        <v>96.03</v>
      </c>
      <c r="E5867" s="1126"/>
    </row>
    <row r="5868" spans="1:5" x14ac:dyDescent="0.2">
      <c r="A5868" s="1126" t="s">
        <v>6450</v>
      </c>
      <c r="B5868" s="1127">
        <v>250</v>
      </c>
      <c r="C5868" s="1128">
        <v>545.63</v>
      </c>
      <c r="D5868" s="1128">
        <v>717.48</v>
      </c>
      <c r="E5868" s="1126"/>
    </row>
    <row r="5869" spans="1:5" x14ac:dyDescent="0.2">
      <c r="A5869" s="1126" t="s">
        <v>6451</v>
      </c>
      <c r="B5869" s="1127">
        <v>188</v>
      </c>
      <c r="C5869" s="1128">
        <v>0</v>
      </c>
      <c r="D5869" s="1128">
        <v>75.33</v>
      </c>
      <c r="E5869" s="1126"/>
    </row>
    <row r="5870" spans="1:5" x14ac:dyDescent="0.2">
      <c r="A5870" s="1126" t="s">
        <v>6452</v>
      </c>
      <c r="B5870" s="1127">
        <v>349</v>
      </c>
      <c r="C5870" s="1128">
        <v>809.04</v>
      </c>
      <c r="D5870" s="1128">
        <v>1048.93</v>
      </c>
      <c r="E5870" s="1126"/>
    </row>
    <row r="5871" spans="1:5" x14ac:dyDescent="0.2">
      <c r="A5871" s="1126" t="s">
        <v>6453</v>
      </c>
      <c r="B5871" s="1127">
        <v>207</v>
      </c>
      <c r="C5871" s="1128">
        <v>605.57000000000005</v>
      </c>
      <c r="D5871" s="1128">
        <v>747.85</v>
      </c>
      <c r="E5871" s="1126"/>
    </row>
    <row r="5872" spans="1:5" x14ac:dyDescent="0.2">
      <c r="A5872" s="1126" t="s">
        <v>6454</v>
      </c>
      <c r="B5872" s="1127">
        <v>85</v>
      </c>
      <c r="C5872" s="1128">
        <v>0</v>
      </c>
      <c r="D5872" s="1128">
        <v>32.68</v>
      </c>
      <c r="E5872" s="1126"/>
    </row>
    <row r="5873" spans="1:5" x14ac:dyDescent="0.2">
      <c r="A5873" s="1126" t="s">
        <v>6455</v>
      </c>
      <c r="B5873" s="1127">
        <v>294</v>
      </c>
      <c r="C5873" s="1128">
        <v>752.38</v>
      </c>
      <c r="D5873" s="1128">
        <v>954.46</v>
      </c>
      <c r="E5873" s="1126"/>
    </row>
    <row r="5874" spans="1:5" x14ac:dyDescent="0.2">
      <c r="A5874" s="1126" t="s">
        <v>6456</v>
      </c>
      <c r="B5874" s="1127">
        <v>226</v>
      </c>
      <c r="C5874" s="1128">
        <v>0</v>
      </c>
      <c r="D5874" s="1128">
        <v>50.97</v>
      </c>
      <c r="E5874" s="1126"/>
    </row>
    <row r="5875" spans="1:5" x14ac:dyDescent="0.2">
      <c r="A5875" s="1126" t="s">
        <v>6457</v>
      </c>
      <c r="B5875" s="1127">
        <v>84</v>
      </c>
      <c r="C5875" s="1128">
        <v>20.71</v>
      </c>
      <c r="D5875" s="1128">
        <v>78.45</v>
      </c>
      <c r="E5875" s="1126"/>
    </row>
    <row r="5876" spans="1:5" x14ac:dyDescent="0.2">
      <c r="A5876" s="1126" t="s">
        <v>6458</v>
      </c>
      <c r="B5876" s="1127">
        <v>100</v>
      </c>
      <c r="C5876" s="1128">
        <v>0</v>
      </c>
      <c r="D5876" s="1128">
        <v>13.24</v>
      </c>
      <c r="E5876" s="1126"/>
    </row>
    <row r="5877" spans="1:5" x14ac:dyDescent="0.2">
      <c r="A5877" s="1126" t="s">
        <v>6459</v>
      </c>
      <c r="B5877" s="1127">
        <v>233</v>
      </c>
      <c r="C5877" s="1128">
        <v>0</v>
      </c>
      <c r="D5877" s="1128">
        <v>69.72</v>
      </c>
      <c r="E5877" s="1126"/>
    </row>
    <row r="5878" spans="1:5" x14ac:dyDescent="0.2">
      <c r="A5878" s="1126" t="s">
        <v>6460</v>
      </c>
      <c r="B5878" s="1127">
        <v>209</v>
      </c>
      <c r="C5878" s="1128">
        <v>123.88</v>
      </c>
      <c r="D5878" s="1128">
        <v>267.54000000000002</v>
      </c>
      <c r="E5878" s="1126"/>
    </row>
    <row r="5879" spans="1:5" x14ac:dyDescent="0.2">
      <c r="A5879" s="1126" t="s">
        <v>6461</v>
      </c>
      <c r="B5879" s="1127">
        <v>288</v>
      </c>
      <c r="C5879" s="1128">
        <v>0</v>
      </c>
      <c r="D5879" s="1128">
        <v>128.85</v>
      </c>
      <c r="E5879" s="1126"/>
    </row>
    <row r="5880" spans="1:5" x14ac:dyDescent="0.2">
      <c r="A5880" s="1126" t="s">
        <v>6462</v>
      </c>
      <c r="B5880" s="1127">
        <v>466</v>
      </c>
      <c r="C5880" s="1128">
        <v>0</v>
      </c>
      <c r="D5880" s="1128">
        <v>218.46</v>
      </c>
      <c r="E5880" s="1126"/>
    </row>
    <row r="5881" spans="1:5" x14ac:dyDescent="0.2">
      <c r="A5881" s="1126" t="s">
        <v>6463</v>
      </c>
      <c r="B5881" s="1127">
        <v>145</v>
      </c>
      <c r="C5881" s="1128">
        <v>0</v>
      </c>
      <c r="D5881" s="1128">
        <v>52.58</v>
      </c>
      <c r="E5881" s="1126"/>
    </row>
    <row r="5882" spans="1:5" x14ac:dyDescent="0.2">
      <c r="A5882" s="1126" t="s">
        <v>6464</v>
      </c>
      <c r="B5882" s="1127">
        <v>595</v>
      </c>
      <c r="C5882" s="1128">
        <v>0</v>
      </c>
      <c r="D5882" s="1128">
        <v>364.68</v>
      </c>
      <c r="E5882" s="1126"/>
    </row>
    <row r="5883" spans="1:5" x14ac:dyDescent="0.2">
      <c r="A5883" s="1126" t="s">
        <v>6465</v>
      </c>
      <c r="B5883" s="1127">
        <v>168</v>
      </c>
      <c r="C5883" s="1128">
        <v>106.94</v>
      </c>
      <c r="D5883" s="1128">
        <v>222.41</v>
      </c>
      <c r="E5883" s="1126"/>
    </row>
    <row r="5884" spans="1:5" x14ac:dyDescent="0.2">
      <c r="A5884" s="1126" t="s">
        <v>6466</v>
      </c>
      <c r="B5884" s="1127">
        <v>424</v>
      </c>
      <c r="C5884" s="1128">
        <v>59.9</v>
      </c>
      <c r="D5884" s="1128">
        <v>351.34</v>
      </c>
      <c r="E5884" s="1126"/>
    </row>
    <row r="5885" spans="1:5" x14ac:dyDescent="0.2">
      <c r="A5885" s="1126" t="s">
        <v>6467</v>
      </c>
      <c r="B5885" s="1127">
        <v>227</v>
      </c>
      <c r="C5885" s="1128">
        <v>215.61</v>
      </c>
      <c r="D5885" s="1128">
        <v>371.65</v>
      </c>
      <c r="E5885" s="1126"/>
    </row>
    <row r="5886" spans="1:5" x14ac:dyDescent="0.2">
      <c r="A5886" s="1126" t="s">
        <v>6468</v>
      </c>
      <c r="B5886" s="1127">
        <v>376</v>
      </c>
      <c r="C5886" s="1128">
        <v>0</v>
      </c>
      <c r="D5886" s="1128">
        <v>244.86</v>
      </c>
      <c r="E5886" s="1126"/>
    </row>
    <row r="5887" spans="1:5" x14ac:dyDescent="0.2">
      <c r="A5887" s="1126" t="s">
        <v>6469</v>
      </c>
      <c r="B5887" s="1127">
        <v>338</v>
      </c>
      <c r="C5887" s="1128">
        <v>0</v>
      </c>
      <c r="D5887" s="1128">
        <v>110.1</v>
      </c>
      <c r="E5887" s="1126"/>
    </row>
    <row r="5888" spans="1:5" x14ac:dyDescent="0.2">
      <c r="A5888" s="1126" t="s">
        <v>6470</v>
      </c>
      <c r="B5888" s="1127">
        <v>206</v>
      </c>
      <c r="C5888" s="1128">
        <v>0</v>
      </c>
      <c r="D5888" s="1128">
        <v>54.25</v>
      </c>
      <c r="E5888" s="1126"/>
    </row>
    <row r="5889" spans="1:5" x14ac:dyDescent="0.2">
      <c r="A5889" s="1126" t="s">
        <v>6471</v>
      </c>
      <c r="B5889" s="1127">
        <v>223</v>
      </c>
      <c r="C5889" s="1128">
        <v>0</v>
      </c>
      <c r="D5889" s="1128">
        <v>68.47</v>
      </c>
      <c r="E5889" s="1126"/>
    </row>
    <row r="5890" spans="1:5" x14ac:dyDescent="0.2">
      <c r="A5890" s="1126" t="s">
        <v>6472</v>
      </c>
      <c r="B5890" s="1127">
        <v>600</v>
      </c>
      <c r="C5890" s="1128">
        <v>0</v>
      </c>
      <c r="D5890" s="1128">
        <v>229.8</v>
      </c>
      <c r="E5890" s="1126"/>
    </row>
    <row r="5891" spans="1:5" x14ac:dyDescent="0.2">
      <c r="A5891" s="1126" t="s">
        <v>6473</v>
      </c>
      <c r="B5891" s="1127">
        <v>492</v>
      </c>
      <c r="C5891" s="1128">
        <v>0</v>
      </c>
      <c r="D5891" s="1128">
        <v>131.87</v>
      </c>
      <c r="E5891" s="1126"/>
    </row>
    <row r="5892" spans="1:5" x14ac:dyDescent="0.2">
      <c r="A5892" s="1126" t="s">
        <v>6474</v>
      </c>
      <c r="B5892" s="1127">
        <v>645</v>
      </c>
      <c r="C5892" s="1128">
        <v>0</v>
      </c>
      <c r="D5892" s="1128">
        <v>137.84</v>
      </c>
      <c r="E5892" s="1126"/>
    </row>
    <row r="5893" spans="1:5" x14ac:dyDescent="0.2">
      <c r="A5893" s="1126" t="s">
        <v>6475</v>
      </c>
      <c r="B5893" s="1127">
        <v>264</v>
      </c>
      <c r="C5893" s="1128">
        <v>83.77</v>
      </c>
      <c r="D5893" s="1128">
        <v>265.23</v>
      </c>
      <c r="E5893" s="1126"/>
    </row>
    <row r="5894" spans="1:5" x14ac:dyDescent="0.2">
      <c r="A5894" s="1126" t="s">
        <v>6476</v>
      </c>
      <c r="B5894" s="1127">
        <v>429</v>
      </c>
      <c r="C5894" s="1128">
        <v>0</v>
      </c>
      <c r="D5894" s="1128">
        <v>68.83</v>
      </c>
      <c r="E5894" s="1126"/>
    </row>
    <row r="5895" spans="1:5" x14ac:dyDescent="0.2">
      <c r="A5895" s="1126" t="s">
        <v>6477</v>
      </c>
      <c r="B5895" s="1127">
        <v>495</v>
      </c>
      <c r="C5895" s="1128">
        <v>267.98</v>
      </c>
      <c r="D5895" s="1128">
        <v>608.22</v>
      </c>
      <c r="E5895" s="1126"/>
    </row>
    <row r="5896" spans="1:5" x14ac:dyDescent="0.2">
      <c r="A5896" s="1126" t="s">
        <v>6478</v>
      </c>
      <c r="B5896" s="1127">
        <v>260</v>
      </c>
      <c r="C5896" s="1128">
        <v>0</v>
      </c>
      <c r="D5896" s="1128">
        <v>38.82</v>
      </c>
      <c r="E5896" s="1126"/>
    </row>
    <row r="5897" spans="1:5" x14ac:dyDescent="0.2">
      <c r="A5897" s="1126" t="s">
        <v>6479</v>
      </c>
      <c r="B5897" s="1127">
        <v>207</v>
      </c>
      <c r="C5897" s="1128">
        <v>0</v>
      </c>
      <c r="D5897" s="1128">
        <v>26.28</v>
      </c>
      <c r="E5897" s="1126"/>
    </row>
    <row r="5898" spans="1:5" x14ac:dyDescent="0.2">
      <c r="A5898" s="1126" t="s">
        <v>6480</v>
      </c>
      <c r="B5898" s="1127">
        <v>314</v>
      </c>
      <c r="C5898" s="1128">
        <v>0</v>
      </c>
      <c r="D5898" s="1128">
        <v>127.59</v>
      </c>
      <c r="E5898" s="1126"/>
    </row>
    <row r="5899" spans="1:5" x14ac:dyDescent="0.2">
      <c r="A5899" s="1126" t="s">
        <v>6481</v>
      </c>
      <c r="B5899" s="1127">
        <v>73</v>
      </c>
      <c r="C5899" s="1128">
        <v>70.72</v>
      </c>
      <c r="D5899" s="1128">
        <v>120.9</v>
      </c>
      <c r="E5899" s="1126"/>
    </row>
    <row r="5900" spans="1:5" x14ac:dyDescent="0.2">
      <c r="A5900" s="1126" t="s">
        <v>6482</v>
      </c>
      <c r="B5900" s="1127">
        <v>600</v>
      </c>
      <c r="C5900" s="1128">
        <v>0</v>
      </c>
      <c r="D5900" s="1128">
        <v>123.6</v>
      </c>
      <c r="E5900" s="1126"/>
    </row>
    <row r="5901" spans="1:5" x14ac:dyDescent="0.2">
      <c r="A5901" s="1126" t="s">
        <v>6483</v>
      </c>
      <c r="B5901" s="1127">
        <v>323</v>
      </c>
      <c r="C5901" s="1128">
        <v>0</v>
      </c>
      <c r="D5901" s="1128">
        <v>32.1</v>
      </c>
      <c r="E5901" s="1126"/>
    </row>
    <row r="5902" spans="1:5" x14ac:dyDescent="0.2">
      <c r="A5902" s="1126" t="s">
        <v>6484</v>
      </c>
      <c r="B5902" s="1127">
        <v>229</v>
      </c>
      <c r="C5902" s="1128">
        <v>0</v>
      </c>
      <c r="D5902" s="1128">
        <v>71.55</v>
      </c>
      <c r="E5902" s="1126"/>
    </row>
    <row r="5903" spans="1:5" x14ac:dyDescent="0.2">
      <c r="A5903" s="1126" t="s">
        <v>6485</v>
      </c>
      <c r="B5903" s="1127">
        <v>190</v>
      </c>
      <c r="C5903" s="1128">
        <v>0</v>
      </c>
      <c r="D5903" s="1128">
        <v>71.89</v>
      </c>
      <c r="E5903" s="1126"/>
    </row>
    <row r="5904" spans="1:5" x14ac:dyDescent="0.2">
      <c r="A5904" s="1126" t="s">
        <v>6486</v>
      </c>
      <c r="B5904" s="1127">
        <v>301</v>
      </c>
      <c r="C5904" s="1128">
        <v>148.46</v>
      </c>
      <c r="D5904" s="1128">
        <v>355.35</v>
      </c>
      <c r="E5904" s="1126"/>
    </row>
    <row r="5905" spans="1:5" x14ac:dyDescent="0.2">
      <c r="A5905" s="1126" t="s">
        <v>6487</v>
      </c>
      <c r="B5905" s="1127">
        <v>788</v>
      </c>
      <c r="C5905" s="1128">
        <v>0</v>
      </c>
      <c r="D5905" s="1128">
        <v>69.12</v>
      </c>
      <c r="E5905" s="1126"/>
    </row>
    <row r="5906" spans="1:5" x14ac:dyDescent="0.2">
      <c r="A5906" s="1126" t="s">
        <v>6488</v>
      </c>
      <c r="B5906" s="1127">
        <v>409</v>
      </c>
      <c r="C5906" s="1128">
        <v>0</v>
      </c>
      <c r="D5906" s="1128">
        <v>131.33000000000001</v>
      </c>
      <c r="E5906" s="1126"/>
    </row>
    <row r="5907" spans="1:5" x14ac:dyDescent="0.2">
      <c r="A5907" s="1126" t="s">
        <v>6489</v>
      </c>
      <c r="B5907" s="1127">
        <v>130</v>
      </c>
      <c r="C5907" s="1128">
        <v>0</v>
      </c>
      <c r="D5907" s="1128">
        <v>80.8</v>
      </c>
      <c r="E5907" s="1126"/>
    </row>
    <row r="5908" spans="1:5" x14ac:dyDescent="0.2">
      <c r="A5908" s="1126" t="s">
        <v>6490</v>
      </c>
      <c r="B5908" s="1127">
        <v>263</v>
      </c>
      <c r="C5908" s="1128">
        <v>0</v>
      </c>
      <c r="D5908" s="1128">
        <v>36.31</v>
      </c>
      <c r="E5908" s="1126"/>
    </row>
    <row r="5909" spans="1:5" x14ac:dyDescent="0.2">
      <c r="A5909" s="1126" t="s">
        <v>6491</v>
      </c>
      <c r="B5909" s="1127">
        <v>460</v>
      </c>
      <c r="C5909" s="1128">
        <v>0</v>
      </c>
      <c r="D5909" s="1128">
        <v>134.74</v>
      </c>
      <c r="E5909" s="1126"/>
    </row>
    <row r="5910" spans="1:5" x14ac:dyDescent="0.2">
      <c r="A5910" s="1126" t="s">
        <v>6492</v>
      </c>
      <c r="B5910" s="1127">
        <v>294</v>
      </c>
      <c r="C5910" s="1128">
        <v>0</v>
      </c>
      <c r="D5910" s="1128">
        <v>66.39</v>
      </c>
      <c r="E5910" s="1126"/>
    </row>
    <row r="5911" spans="1:5" x14ac:dyDescent="0.2">
      <c r="A5911" s="1126" t="s">
        <v>6493</v>
      </c>
      <c r="B5911" s="1127">
        <v>223</v>
      </c>
      <c r="C5911" s="1128">
        <v>0</v>
      </c>
      <c r="D5911" s="1128">
        <v>4.3</v>
      </c>
      <c r="E5911" s="1126"/>
    </row>
    <row r="5912" spans="1:5" x14ac:dyDescent="0.2">
      <c r="A5912" s="1126" t="s">
        <v>6494</v>
      </c>
      <c r="B5912" s="1127">
        <v>322</v>
      </c>
      <c r="C5912" s="1128">
        <v>0</v>
      </c>
      <c r="D5912" s="1128">
        <v>99.18</v>
      </c>
      <c r="E5912" s="1126"/>
    </row>
    <row r="5913" spans="1:5" x14ac:dyDescent="0.2">
      <c r="A5913" s="1126" t="s">
        <v>6495</v>
      </c>
      <c r="B5913" s="1127">
        <v>293</v>
      </c>
      <c r="C5913" s="1128">
        <v>0</v>
      </c>
      <c r="D5913" s="1128">
        <v>109.65</v>
      </c>
      <c r="E5913" s="1126"/>
    </row>
    <row r="5914" spans="1:5" x14ac:dyDescent="0.2">
      <c r="A5914" s="1126" t="s">
        <v>6496</v>
      </c>
      <c r="B5914" s="1127">
        <v>313</v>
      </c>
      <c r="C5914" s="1128">
        <v>0</v>
      </c>
      <c r="D5914" s="1128">
        <v>73.53</v>
      </c>
      <c r="E5914" s="1126"/>
    </row>
    <row r="5915" spans="1:5" x14ac:dyDescent="0.2">
      <c r="A5915" s="1126" t="s">
        <v>6497</v>
      </c>
      <c r="B5915" s="1127">
        <v>86</v>
      </c>
      <c r="C5915" s="1128">
        <v>152.72999999999999</v>
      </c>
      <c r="D5915" s="1128">
        <v>211.85</v>
      </c>
      <c r="E5915" s="1126"/>
    </row>
    <row r="5916" spans="1:5" x14ac:dyDescent="0.2">
      <c r="A5916" s="1126" t="s">
        <v>6498</v>
      </c>
      <c r="B5916" s="1127">
        <v>526</v>
      </c>
      <c r="C5916" s="1128">
        <v>0</v>
      </c>
      <c r="D5916" s="1128">
        <v>234.76</v>
      </c>
      <c r="E5916" s="1126"/>
    </row>
    <row r="5917" spans="1:5" x14ac:dyDescent="0.2">
      <c r="A5917" s="1126" t="s">
        <v>6499</v>
      </c>
      <c r="B5917" s="1127">
        <v>312</v>
      </c>
      <c r="C5917" s="1128">
        <v>0</v>
      </c>
      <c r="D5917" s="1128">
        <v>43.51</v>
      </c>
      <c r="E5917" s="1126"/>
    </row>
    <row r="5918" spans="1:5" x14ac:dyDescent="0.2">
      <c r="A5918" s="1126" t="s">
        <v>6500</v>
      </c>
      <c r="B5918" s="1127">
        <v>125</v>
      </c>
      <c r="C5918" s="1128">
        <v>0</v>
      </c>
      <c r="D5918" s="1128">
        <v>71.34</v>
      </c>
      <c r="E5918" s="1126"/>
    </row>
    <row r="5919" spans="1:5" x14ac:dyDescent="0.2">
      <c r="A5919" s="1126" t="s">
        <v>6501</v>
      </c>
      <c r="B5919" s="1127">
        <v>392</v>
      </c>
      <c r="C5919" s="1128">
        <v>0</v>
      </c>
      <c r="D5919" s="1128">
        <v>95.21</v>
      </c>
      <c r="E5919" s="1126"/>
    </row>
    <row r="5920" spans="1:5" x14ac:dyDescent="0.2">
      <c r="A5920" s="1126" t="s">
        <v>6502</v>
      </c>
      <c r="B5920" s="1127">
        <v>257</v>
      </c>
      <c r="C5920" s="1128">
        <v>14.1</v>
      </c>
      <c r="D5920" s="1128">
        <v>190.75</v>
      </c>
      <c r="E5920" s="1126"/>
    </row>
    <row r="5921" spans="1:5" x14ac:dyDescent="0.2">
      <c r="A5921" s="1126" t="s">
        <v>6503</v>
      </c>
      <c r="B5921" s="1127">
        <v>49</v>
      </c>
      <c r="C5921" s="1128">
        <v>0</v>
      </c>
      <c r="D5921" s="1128">
        <v>0</v>
      </c>
      <c r="E5921" s="1126"/>
    </row>
    <row r="5922" spans="1:5" x14ac:dyDescent="0.2">
      <c r="A5922" s="1126" t="s">
        <v>6504</v>
      </c>
      <c r="B5922" s="1127">
        <v>237</v>
      </c>
      <c r="C5922" s="1128">
        <v>25.78</v>
      </c>
      <c r="D5922" s="1128">
        <v>188.69</v>
      </c>
      <c r="E5922" s="1126"/>
    </row>
    <row r="5923" spans="1:5" x14ac:dyDescent="0.2">
      <c r="A5923" s="1126" t="s">
        <v>6505</v>
      </c>
      <c r="B5923" s="1127">
        <v>133</v>
      </c>
      <c r="C5923" s="1128">
        <v>215.45</v>
      </c>
      <c r="D5923" s="1128">
        <v>306.86</v>
      </c>
      <c r="E5923" s="1126"/>
    </row>
    <row r="5924" spans="1:5" x14ac:dyDescent="0.2">
      <c r="A5924" s="1126" t="s">
        <v>6506</v>
      </c>
      <c r="B5924" s="1127">
        <v>116</v>
      </c>
      <c r="C5924" s="1128">
        <v>65.95</v>
      </c>
      <c r="D5924" s="1128">
        <v>145.68</v>
      </c>
      <c r="E5924" s="1126"/>
    </row>
    <row r="5925" spans="1:5" x14ac:dyDescent="0.2">
      <c r="A5925" s="1126" t="s">
        <v>6507</v>
      </c>
      <c r="B5925" s="1127">
        <v>350</v>
      </c>
      <c r="C5925" s="1128">
        <v>659.68</v>
      </c>
      <c r="D5925" s="1128">
        <v>900.26</v>
      </c>
      <c r="E5925" s="1126"/>
    </row>
    <row r="5926" spans="1:5" x14ac:dyDescent="0.2">
      <c r="A5926" s="1126" t="s">
        <v>6508</v>
      </c>
      <c r="B5926" s="1127">
        <v>159</v>
      </c>
      <c r="C5926" s="1128">
        <v>368.1</v>
      </c>
      <c r="D5926" s="1128">
        <v>477.39</v>
      </c>
      <c r="E5926" s="1126"/>
    </row>
    <row r="5927" spans="1:5" x14ac:dyDescent="0.2">
      <c r="A5927" s="1126" t="s">
        <v>6509</v>
      </c>
      <c r="B5927" s="1127">
        <v>284</v>
      </c>
      <c r="C5927" s="1128">
        <v>528.4</v>
      </c>
      <c r="D5927" s="1128">
        <v>723.61</v>
      </c>
      <c r="E5927" s="1126"/>
    </row>
    <row r="5928" spans="1:5" x14ac:dyDescent="0.2">
      <c r="A5928" s="1126" t="s">
        <v>6510</v>
      </c>
      <c r="B5928" s="1127">
        <v>249</v>
      </c>
      <c r="C5928" s="1128">
        <v>626.45000000000005</v>
      </c>
      <c r="D5928" s="1128">
        <v>797.6</v>
      </c>
      <c r="E5928" s="1126"/>
    </row>
    <row r="5929" spans="1:5" x14ac:dyDescent="0.2">
      <c r="A5929" s="1126" t="s">
        <v>6511</v>
      </c>
      <c r="B5929" s="1127">
        <v>176</v>
      </c>
      <c r="C5929" s="1128">
        <v>344.47</v>
      </c>
      <c r="D5929" s="1128">
        <v>465.45</v>
      </c>
      <c r="E5929" s="1126"/>
    </row>
    <row r="5930" spans="1:5" x14ac:dyDescent="0.2">
      <c r="A5930" s="1126" t="s">
        <v>6512</v>
      </c>
      <c r="B5930" s="1127">
        <v>99</v>
      </c>
      <c r="C5930" s="1128">
        <v>0</v>
      </c>
      <c r="D5930" s="1128">
        <v>20.71</v>
      </c>
      <c r="E5930" s="1126"/>
    </row>
    <row r="5931" spans="1:5" x14ac:dyDescent="0.2">
      <c r="A5931" s="1126" t="s">
        <v>6513</v>
      </c>
      <c r="B5931" s="1127">
        <v>184</v>
      </c>
      <c r="C5931" s="1128">
        <v>425.85</v>
      </c>
      <c r="D5931" s="1128">
        <v>552.33000000000004</v>
      </c>
      <c r="E5931" s="1126"/>
    </row>
    <row r="5932" spans="1:5" x14ac:dyDescent="0.2">
      <c r="A5932" s="1126" t="s">
        <v>6514</v>
      </c>
      <c r="B5932" s="1127">
        <v>203</v>
      </c>
      <c r="C5932" s="1128">
        <v>468.75</v>
      </c>
      <c r="D5932" s="1128">
        <v>608.29</v>
      </c>
      <c r="E5932" s="1126"/>
    </row>
    <row r="5933" spans="1:5" x14ac:dyDescent="0.2">
      <c r="A5933" s="1126" t="s">
        <v>6515</v>
      </c>
      <c r="B5933" s="1127">
        <v>222</v>
      </c>
      <c r="C5933" s="1128">
        <v>611.97</v>
      </c>
      <c r="D5933" s="1128">
        <v>764.57</v>
      </c>
      <c r="E5933" s="1126"/>
    </row>
    <row r="5934" spans="1:5" x14ac:dyDescent="0.2">
      <c r="A5934" s="1126" t="s">
        <v>6516</v>
      </c>
      <c r="B5934" s="1127">
        <v>257</v>
      </c>
      <c r="C5934" s="1128">
        <v>0</v>
      </c>
      <c r="D5934" s="1128">
        <v>135.80000000000001</v>
      </c>
      <c r="E5934" s="1126"/>
    </row>
    <row r="5935" spans="1:5" x14ac:dyDescent="0.2">
      <c r="A5935" s="1126" t="s">
        <v>6517</v>
      </c>
      <c r="B5935" s="1127">
        <v>365</v>
      </c>
      <c r="C5935" s="1128">
        <v>0</v>
      </c>
      <c r="D5935" s="1128">
        <v>192.38</v>
      </c>
      <c r="E5935" s="1126"/>
    </row>
    <row r="5936" spans="1:5" x14ac:dyDescent="0.2">
      <c r="A5936" s="1126" t="s">
        <v>6518</v>
      </c>
      <c r="B5936" s="1127">
        <v>82</v>
      </c>
      <c r="C5936" s="1128">
        <v>0</v>
      </c>
      <c r="D5936" s="1128">
        <v>14.43</v>
      </c>
      <c r="E5936" s="1126"/>
    </row>
    <row r="5937" spans="1:5" x14ac:dyDescent="0.2">
      <c r="A5937" s="1126" t="s">
        <v>6519</v>
      </c>
      <c r="B5937" s="1127">
        <v>178</v>
      </c>
      <c r="C5937" s="1128">
        <v>106.66</v>
      </c>
      <c r="D5937" s="1128">
        <v>229.01</v>
      </c>
      <c r="E5937" s="1126"/>
    </row>
    <row r="5938" spans="1:5" x14ac:dyDescent="0.2">
      <c r="A5938" s="1126" t="s">
        <v>6520</v>
      </c>
      <c r="B5938" s="1127">
        <v>349</v>
      </c>
      <c r="C5938" s="1128">
        <v>0</v>
      </c>
      <c r="D5938" s="1128">
        <v>28.51</v>
      </c>
      <c r="E5938" s="1126"/>
    </row>
    <row r="5939" spans="1:5" x14ac:dyDescent="0.2">
      <c r="A5939" s="1126" t="s">
        <v>6521</v>
      </c>
      <c r="B5939" s="1127">
        <v>209</v>
      </c>
      <c r="C5939" s="1128">
        <v>135.22</v>
      </c>
      <c r="D5939" s="1128">
        <v>278.88</v>
      </c>
      <c r="E5939" s="1126"/>
    </row>
    <row r="5940" spans="1:5" x14ac:dyDescent="0.2">
      <c r="A5940" s="1126" t="s">
        <v>6522</v>
      </c>
      <c r="B5940" s="1127">
        <v>349</v>
      </c>
      <c r="C5940" s="1128">
        <v>329.02</v>
      </c>
      <c r="D5940" s="1128">
        <v>568.91</v>
      </c>
      <c r="E5940" s="1126"/>
    </row>
    <row r="5941" spans="1:5" x14ac:dyDescent="0.2">
      <c r="A5941" s="1126" t="s">
        <v>6523</v>
      </c>
      <c r="B5941" s="1127">
        <v>278</v>
      </c>
      <c r="C5941" s="1128">
        <v>0</v>
      </c>
      <c r="D5941" s="1128">
        <v>53.81</v>
      </c>
      <c r="E5941" s="1126"/>
    </row>
    <row r="5942" spans="1:5" x14ac:dyDescent="0.2">
      <c r="A5942" s="1126" t="s">
        <v>6524</v>
      </c>
      <c r="B5942" s="1127">
        <v>482</v>
      </c>
      <c r="C5942" s="1128">
        <v>964.7</v>
      </c>
      <c r="D5942" s="1128">
        <v>1296.01</v>
      </c>
      <c r="E5942" s="1126"/>
    </row>
    <row r="5943" spans="1:5" x14ac:dyDescent="0.2">
      <c r="A5943" s="1126" t="s">
        <v>6525</v>
      </c>
      <c r="B5943" s="1127">
        <v>341</v>
      </c>
      <c r="C5943" s="1128">
        <v>977.03</v>
      </c>
      <c r="D5943" s="1128">
        <v>1211.42</v>
      </c>
      <c r="E5943" s="1126"/>
    </row>
    <row r="5944" spans="1:5" x14ac:dyDescent="0.2">
      <c r="A5944" s="1126" t="s">
        <v>6526</v>
      </c>
      <c r="B5944" s="1127">
        <v>65</v>
      </c>
      <c r="C5944" s="1128">
        <v>277.52</v>
      </c>
      <c r="D5944" s="1128">
        <v>322.2</v>
      </c>
      <c r="E5944" s="1126"/>
    </row>
    <row r="5945" spans="1:5" x14ac:dyDescent="0.2">
      <c r="A5945" s="1126" t="s">
        <v>6527</v>
      </c>
      <c r="B5945" s="1127">
        <v>195</v>
      </c>
      <c r="C5945" s="1128">
        <v>0</v>
      </c>
      <c r="D5945" s="1128">
        <v>59.45</v>
      </c>
      <c r="E5945" s="1126"/>
    </row>
    <row r="5946" spans="1:5" x14ac:dyDescent="0.2">
      <c r="A5946" s="1126" t="s">
        <v>6528</v>
      </c>
      <c r="B5946" s="1127">
        <v>89</v>
      </c>
      <c r="C5946" s="1128">
        <v>0</v>
      </c>
      <c r="D5946" s="1128">
        <v>4.4400000000000004</v>
      </c>
      <c r="E5946" s="1126"/>
    </row>
    <row r="5947" spans="1:5" x14ac:dyDescent="0.2">
      <c r="A5947" s="1126" t="s">
        <v>6529</v>
      </c>
      <c r="B5947" s="1127">
        <v>429</v>
      </c>
      <c r="C5947" s="1128">
        <v>0</v>
      </c>
      <c r="D5947" s="1128">
        <v>68.8</v>
      </c>
      <c r="E5947" s="1126"/>
    </row>
    <row r="5948" spans="1:5" x14ac:dyDescent="0.2">
      <c r="A5948" s="1126" t="s">
        <v>6530</v>
      </c>
      <c r="B5948" s="1127">
        <v>123</v>
      </c>
      <c r="C5948" s="1128">
        <v>103.75</v>
      </c>
      <c r="D5948" s="1128">
        <v>188.29</v>
      </c>
      <c r="E5948" s="1126"/>
    </row>
    <row r="5949" spans="1:5" x14ac:dyDescent="0.2">
      <c r="A5949" s="1126" t="s">
        <v>6531</v>
      </c>
      <c r="B5949" s="1127">
        <v>341</v>
      </c>
      <c r="C5949" s="1128">
        <v>0</v>
      </c>
      <c r="D5949" s="1128">
        <v>70.05</v>
      </c>
      <c r="E5949" s="1126"/>
    </row>
    <row r="5950" spans="1:5" x14ac:dyDescent="0.2">
      <c r="A5950" s="1126" t="s">
        <v>6532</v>
      </c>
      <c r="B5950" s="1127">
        <v>162</v>
      </c>
      <c r="C5950" s="1128">
        <v>137.04</v>
      </c>
      <c r="D5950" s="1128">
        <v>248.39</v>
      </c>
      <c r="E5950" s="1126"/>
    </row>
    <row r="5951" spans="1:5" x14ac:dyDescent="0.2">
      <c r="A5951" s="1126" t="s">
        <v>6533</v>
      </c>
      <c r="B5951" s="1127">
        <v>370</v>
      </c>
      <c r="C5951" s="1128">
        <v>0</v>
      </c>
      <c r="D5951" s="1128">
        <v>82.68</v>
      </c>
      <c r="E5951" s="1126"/>
    </row>
    <row r="5952" spans="1:5" x14ac:dyDescent="0.2">
      <c r="A5952" s="1126" t="s">
        <v>6534</v>
      </c>
      <c r="B5952" s="1127">
        <v>334</v>
      </c>
      <c r="C5952" s="1128">
        <v>0</v>
      </c>
      <c r="D5952" s="1128">
        <v>58.39</v>
      </c>
      <c r="E5952" s="1126"/>
    </row>
    <row r="5953" spans="1:5" x14ac:dyDescent="0.2">
      <c r="A5953" s="1126" t="s">
        <v>6535</v>
      </c>
      <c r="B5953" s="1127">
        <v>261</v>
      </c>
      <c r="C5953" s="1128">
        <v>0</v>
      </c>
      <c r="D5953" s="1128">
        <v>45.7</v>
      </c>
      <c r="E5953" s="1126"/>
    </row>
    <row r="5954" spans="1:5" x14ac:dyDescent="0.2">
      <c r="A5954" s="1126" t="s">
        <v>6536</v>
      </c>
      <c r="B5954" s="1127">
        <v>356</v>
      </c>
      <c r="C5954" s="1128">
        <v>0</v>
      </c>
      <c r="D5954" s="1128">
        <v>52.74</v>
      </c>
      <c r="E5954" s="1126"/>
    </row>
    <row r="5955" spans="1:5" x14ac:dyDescent="0.2">
      <c r="A5955" s="1126" t="s">
        <v>6537</v>
      </c>
      <c r="B5955" s="1127">
        <v>617</v>
      </c>
      <c r="C5955" s="1128">
        <v>398.42</v>
      </c>
      <c r="D5955" s="1128">
        <v>822.53</v>
      </c>
      <c r="E5955" s="1126"/>
    </row>
    <row r="5956" spans="1:5" x14ac:dyDescent="0.2">
      <c r="A5956" s="1126" t="s">
        <v>6538</v>
      </c>
      <c r="B5956" s="1127">
        <v>264</v>
      </c>
      <c r="C5956" s="1128">
        <v>51.59</v>
      </c>
      <c r="D5956" s="1128">
        <v>233.05</v>
      </c>
      <c r="E5956" s="1126"/>
    </row>
    <row r="5957" spans="1:5" x14ac:dyDescent="0.2">
      <c r="A5957" s="1126" t="s">
        <v>6539</v>
      </c>
      <c r="B5957" s="1127">
        <v>663</v>
      </c>
      <c r="C5957" s="1128">
        <v>109.71</v>
      </c>
      <c r="D5957" s="1128">
        <v>565.44000000000005</v>
      </c>
      <c r="E5957" s="1126"/>
    </row>
    <row r="5958" spans="1:5" x14ac:dyDescent="0.2">
      <c r="A5958" s="1126" t="s">
        <v>6540</v>
      </c>
      <c r="B5958" s="1127">
        <v>700</v>
      </c>
      <c r="C5958" s="1128">
        <v>0</v>
      </c>
      <c r="D5958" s="1128">
        <v>403.11</v>
      </c>
      <c r="E5958" s="1126"/>
    </row>
    <row r="5959" spans="1:5" x14ac:dyDescent="0.2">
      <c r="A5959" s="1126" t="s">
        <v>6541</v>
      </c>
      <c r="B5959" s="1127">
        <v>348</v>
      </c>
      <c r="C5959" s="1128">
        <v>1043.6400000000001</v>
      </c>
      <c r="D5959" s="1128">
        <v>1282.8399999999999</v>
      </c>
      <c r="E5959" s="1126"/>
    </row>
    <row r="5960" spans="1:5" x14ac:dyDescent="0.2">
      <c r="A5960" s="1126" t="s">
        <v>6542</v>
      </c>
      <c r="B5960" s="1127">
        <v>217</v>
      </c>
      <c r="C5960" s="1128">
        <v>0</v>
      </c>
      <c r="D5960" s="1128">
        <v>138.66</v>
      </c>
      <c r="E5960" s="1126"/>
    </row>
    <row r="5961" spans="1:5" x14ac:dyDescent="0.2">
      <c r="A5961" s="1126" t="s">
        <v>6543</v>
      </c>
      <c r="B5961" s="1127">
        <v>98</v>
      </c>
      <c r="C5961" s="1128">
        <v>0</v>
      </c>
      <c r="D5961" s="1128">
        <v>39.380000000000003</v>
      </c>
      <c r="E5961" s="1126"/>
    </row>
    <row r="5962" spans="1:5" x14ac:dyDescent="0.2">
      <c r="A5962" s="1126" t="s">
        <v>6544</v>
      </c>
      <c r="B5962" s="1127">
        <v>234</v>
      </c>
      <c r="C5962" s="1128">
        <v>0</v>
      </c>
      <c r="D5962" s="1128">
        <v>64.67</v>
      </c>
      <c r="E5962" s="1126"/>
    </row>
    <row r="5963" spans="1:5" x14ac:dyDescent="0.2">
      <c r="A5963" s="1126" t="s">
        <v>6545</v>
      </c>
      <c r="B5963" s="1127">
        <v>246</v>
      </c>
      <c r="C5963" s="1128">
        <v>784.5</v>
      </c>
      <c r="D5963" s="1128">
        <v>953.59</v>
      </c>
      <c r="E5963" s="1126"/>
    </row>
    <row r="5964" spans="1:5" x14ac:dyDescent="0.2">
      <c r="A5964" s="1126" t="s">
        <v>6546</v>
      </c>
      <c r="B5964" s="1127">
        <v>231</v>
      </c>
      <c r="C5964" s="1128">
        <v>0</v>
      </c>
      <c r="D5964" s="1128">
        <v>22.91</v>
      </c>
      <c r="E5964" s="1126"/>
    </row>
    <row r="5965" spans="1:5" x14ac:dyDescent="0.2">
      <c r="A5965" s="1126" t="s">
        <v>6547</v>
      </c>
      <c r="B5965" s="1127">
        <v>166</v>
      </c>
      <c r="C5965" s="1128">
        <v>0</v>
      </c>
      <c r="D5965" s="1128">
        <v>25.76</v>
      </c>
      <c r="E5965" s="1126"/>
    </row>
    <row r="5966" spans="1:5" x14ac:dyDescent="0.2">
      <c r="A5966" s="1126" t="s">
        <v>6548</v>
      </c>
      <c r="B5966" s="1127">
        <v>93</v>
      </c>
      <c r="C5966" s="1128">
        <v>0</v>
      </c>
      <c r="D5966" s="1128">
        <v>0</v>
      </c>
      <c r="E5966" s="1126"/>
    </row>
    <row r="5967" spans="1:5" x14ac:dyDescent="0.2">
      <c r="A5967" s="1126" t="s">
        <v>6549</v>
      </c>
      <c r="B5967" s="1127">
        <v>79</v>
      </c>
      <c r="C5967" s="1128">
        <v>0</v>
      </c>
      <c r="D5967" s="1128">
        <v>18.87</v>
      </c>
      <c r="E5967" s="1126"/>
    </row>
    <row r="5968" spans="1:5" x14ac:dyDescent="0.2">
      <c r="A5968" s="1126" t="s">
        <v>6550</v>
      </c>
      <c r="B5968" s="1127">
        <v>210</v>
      </c>
      <c r="C5968" s="1128">
        <v>0</v>
      </c>
      <c r="D5968" s="1128">
        <v>113.57</v>
      </c>
      <c r="E5968" s="1126"/>
    </row>
    <row r="5969" spans="1:5" x14ac:dyDescent="0.2">
      <c r="A5969" s="1126" t="s">
        <v>6551</v>
      </c>
      <c r="B5969" s="1127">
        <v>239</v>
      </c>
      <c r="C5969" s="1128">
        <v>0</v>
      </c>
      <c r="D5969" s="1128">
        <v>89.46</v>
      </c>
      <c r="E5969" s="1126"/>
    </row>
    <row r="5970" spans="1:5" x14ac:dyDescent="0.2">
      <c r="A5970" s="1126" t="s">
        <v>6552</v>
      </c>
      <c r="B5970" s="1127">
        <v>216</v>
      </c>
      <c r="C5970" s="1128">
        <v>0</v>
      </c>
      <c r="D5970" s="1128">
        <v>30.31</v>
      </c>
      <c r="E5970" s="1126"/>
    </row>
    <row r="5971" spans="1:5" x14ac:dyDescent="0.2">
      <c r="A5971" s="1126" t="s">
        <v>6553</v>
      </c>
      <c r="B5971" s="1127">
        <v>270</v>
      </c>
      <c r="C5971" s="1128">
        <v>0</v>
      </c>
      <c r="D5971" s="1128">
        <v>41.49</v>
      </c>
      <c r="E5971" s="1126"/>
    </row>
    <row r="5972" spans="1:5" x14ac:dyDescent="0.2">
      <c r="A5972" s="1126" t="s">
        <v>6554</v>
      </c>
      <c r="B5972" s="1127">
        <v>272</v>
      </c>
      <c r="C5972" s="1128">
        <v>584.09</v>
      </c>
      <c r="D5972" s="1128">
        <v>771.06</v>
      </c>
      <c r="E5972" s="1126"/>
    </row>
    <row r="5973" spans="1:5" x14ac:dyDescent="0.2">
      <c r="A5973" s="1126" t="s">
        <v>6555</v>
      </c>
      <c r="B5973" s="1127">
        <v>194</v>
      </c>
      <c r="C5973" s="1128">
        <v>117.57</v>
      </c>
      <c r="D5973" s="1128">
        <v>250.91</v>
      </c>
      <c r="E5973" s="1126"/>
    </row>
    <row r="5974" spans="1:5" x14ac:dyDescent="0.2">
      <c r="A5974" s="1126" t="s">
        <v>6556</v>
      </c>
      <c r="B5974" s="1127">
        <v>393</v>
      </c>
      <c r="C5974" s="1128">
        <v>800.29</v>
      </c>
      <c r="D5974" s="1128">
        <v>1070.42</v>
      </c>
      <c r="E5974" s="1126"/>
    </row>
    <row r="5975" spans="1:5" x14ac:dyDescent="0.2">
      <c r="A5975" s="1126" t="s">
        <v>6557</v>
      </c>
      <c r="B5975" s="1127">
        <v>1258</v>
      </c>
      <c r="C5975" s="1128">
        <v>0</v>
      </c>
      <c r="D5975" s="1128">
        <v>684.99</v>
      </c>
      <c r="E5975" s="1126"/>
    </row>
    <row r="5976" spans="1:5" x14ac:dyDescent="0.2">
      <c r="A5976" s="1126" t="s">
        <v>6558</v>
      </c>
      <c r="B5976" s="1127">
        <v>94</v>
      </c>
      <c r="C5976" s="1128">
        <v>324.97000000000003</v>
      </c>
      <c r="D5976" s="1128">
        <v>389.58</v>
      </c>
      <c r="E5976" s="1126"/>
    </row>
    <row r="5977" spans="1:5" x14ac:dyDescent="0.2">
      <c r="A5977" s="1126" t="s">
        <v>6559</v>
      </c>
      <c r="B5977" s="1127">
        <v>173</v>
      </c>
      <c r="C5977" s="1128">
        <v>0</v>
      </c>
      <c r="D5977" s="1128">
        <v>31.04</v>
      </c>
      <c r="E5977" s="1126"/>
    </row>
    <row r="5978" spans="1:5" x14ac:dyDescent="0.2">
      <c r="A5978" s="1126" t="s">
        <v>6560</v>
      </c>
      <c r="B5978" s="1127">
        <v>173</v>
      </c>
      <c r="C5978" s="1128">
        <v>0</v>
      </c>
      <c r="D5978" s="1128">
        <v>44.71</v>
      </c>
      <c r="E5978" s="1126"/>
    </row>
    <row r="5979" spans="1:5" x14ac:dyDescent="0.2">
      <c r="A5979" s="1126" t="s">
        <v>6561</v>
      </c>
      <c r="B5979" s="1127">
        <v>193</v>
      </c>
      <c r="C5979" s="1128">
        <v>484.77</v>
      </c>
      <c r="D5979" s="1128">
        <v>617.42999999999995</v>
      </c>
      <c r="E5979" s="1126"/>
    </row>
    <row r="5980" spans="1:5" x14ac:dyDescent="0.2">
      <c r="A5980" s="1126" t="s">
        <v>6562</v>
      </c>
      <c r="B5980" s="1127">
        <v>153</v>
      </c>
      <c r="C5980" s="1128">
        <v>92.34</v>
      </c>
      <c r="D5980" s="1128">
        <v>197.51</v>
      </c>
      <c r="E5980" s="1126"/>
    </row>
    <row r="5981" spans="1:5" x14ac:dyDescent="0.2">
      <c r="A5981" s="1126" t="s">
        <v>6563</v>
      </c>
      <c r="B5981" s="1127">
        <v>555</v>
      </c>
      <c r="C5981" s="1128">
        <v>0</v>
      </c>
      <c r="D5981" s="1128">
        <v>13.87</v>
      </c>
      <c r="E5981" s="1126"/>
    </row>
    <row r="5982" spans="1:5" x14ac:dyDescent="0.2">
      <c r="A5982" s="1126" t="s">
        <v>6564</v>
      </c>
      <c r="B5982" s="1127">
        <v>226</v>
      </c>
      <c r="C5982" s="1128">
        <v>0</v>
      </c>
      <c r="D5982" s="1128">
        <v>84.83</v>
      </c>
      <c r="E5982" s="1126"/>
    </row>
    <row r="5983" spans="1:5" x14ac:dyDescent="0.2">
      <c r="A5983" s="1126" t="s">
        <v>6565</v>
      </c>
      <c r="B5983" s="1127">
        <v>425</v>
      </c>
      <c r="C5983" s="1128">
        <v>0</v>
      </c>
      <c r="D5983" s="1128">
        <v>44.76</v>
      </c>
      <c r="E5983" s="1126"/>
    </row>
    <row r="5984" spans="1:5" x14ac:dyDescent="0.2">
      <c r="A5984" s="1126" t="s">
        <v>6566</v>
      </c>
      <c r="B5984" s="1127">
        <v>176</v>
      </c>
      <c r="C5984" s="1128">
        <v>436.5</v>
      </c>
      <c r="D5984" s="1128">
        <v>557.48</v>
      </c>
      <c r="E5984" s="1126"/>
    </row>
    <row r="5985" spans="1:5" x14ac:dyDescent="0.2">
      <c r="A5985" s="1126" t="s">
        <v>6567</v>
      </c>
      <c r="B5985" s="1127">
        <v>277</v>
      </c>
      <c r="C5985" s="1128">
        <v>559.1</v>
      </c>
      <c r="D5985" s="1128">
        <v>749.5</v>
      </c>
      <c r="E5985" s="1126"/>
    </row>
    <row r="5986" spans="1:5" x14ac:dyDescent="0.2">
      <c r="A5986" s="1126" t="s">
        <v>6568</v>
      </c>
      <c r="B5986" s="1127">
        <v>418</v>
      </c>
      <c r="C5986" s="1128">
        <v>894.68</v>
      </c>
      <c r="D5986" s="1128">
        <v>1182</v>
      </c>
      <c r="E5986" s="1126"/>
    </row>
    <row r="5987" spans="1:5" x14ac:dyDescent="0.2">
      <c r="A5987" s="1126" t="s">
        <v>6569</v>
      </c>
      <c r="B5987" s="1127">
        <v>369</v>
      </c>
      <c r="C5987" s="1128">
        <v>1031.23</v>
      </c>
      <c r="D5987" s="1128">
        <v>1284.8599999999999</v>
      </c>
      <c r="E5987" s="1126"/>
    </row>
    <row r="5988" spans="1:5" x14ac:dyDescent="0.2">
      <c r="A5988" s="1126" t="s">
        <v>6570</v>
      </c>
      <c r="B5988" s="1127">
        <v>12</v>
      </c>
      <c r="C5988" s="1128">
        <v>38.950000000000003</v>
      </c>
      <c r="D5988" s="1128">
        <v>47.2</v>
      </c>
      <c r="E5988" s="1126" t="s">
        <v>669</v>
      </c>
    </row>
    <row r="5989" spans="1:5" x14ac:dyDescent="0.2">
      <c r="A5989" s="1126" t="s">
        <v>6571</v>
      </c>
      <c r="B5989" s="1127">
        <v>71</v>
      </c>
      <c r="C5989" s="1128">
        <v>0</v>
      </c>
      <c r="D5989" s="1128">
        <v>22.01</v>
      </c>
      <c r="E5989" s="1126"/>
    </row>
    <row r="5990" spans="1:5" x14ac:dyDescent="0.2">
      <c r="A5990" s="1126" t="s">
        <v>6572</v>
      </c>
      <c r="B5990" s="1127">
        <v>449</v>
      </c>
      <c r="C5990" s="1128">
        <v>864.58</v>
      </c>
      <c r="D5990" s="1128">
        <v>1173.21</v>
      </c>
      <c r="E5990" s="1126"/>
    </row>
    <row r="5991" spans="1:5" x14ac:dyDescent="0.2">
      <c r="A5991" s="1126" t="s">
        <v>6573</v>
      </c>
      <c r="B5991" s="1127">
        <v>387</v>
      </c>
      <c r="C5991" s="1128">
        <v>0</v>
      </c>
      <c r="D5991" s="1128">
        <v>162.68</v>
      </c>
      <c r="E5991" s="1126"/>
    </row>
    <row r="5992" spans="1:5" x14ac:dyDescent="0.2">
      <c r="A5992" s="1126" t="s">
        <v>6574</v>
      </c>
      <c r="B5992" s="1127">
        <v>350</v>
      </c>
      <c r="C5992" s="1128">
        <v>0</v>
      </c>
      <c r="D5992" s="1128">
        <v>99.34</v>
      </c>
      <c r="E5992" s="1126"/>
    </row>
    <row r="5993" spans="1:5" x14ac:dyDescent="0.2">
      <c r="A5993" s="1126" t="s">
        <v>6575</v>
      </c>
      <c r="B5993" s="1127">
        <v>129</v>
      </c>
      <c r="C5993" s="1128">
        <v>0</v>
      </c>
      <c r="D5993" s="1128">
        <v>79.31</v>
      </c>
      <c r="E5993" s="1126"/>
    </row>
    <row r="5994" spans="1:5" x14ac:dyDescent="0.2">
      <c r="A5994" s="1126" t="s">
        <v>6576</v>
      </c>
      <c r="B5994" s="1127">
        <v>632</v>
      </c>
      <c r="C5994" s="1128">
        <v>245.65</v>
      </c>
      <c r="D5994" s="1128">
        <v>680.06</v>
      </c>
      <c r="E5994" s="1126"/>
    </row>
    <row r="5995" spans="1:5" x14ac:dyDescent="0.2">
      <c r="A5995" s="1126" t="s">
        <v>6577</v>
      </c>
      <c r="B5995" s="1127">
        <v>338</v>
      </c>
      <c r="C5995" s="1128">
        <v>0</v>
      </c>
      <c r="D5995" s="1128">
        <v>180.74</v>
      </c>
      <c r="E5995" s="1126"/>
    </row>
    <row r="5996" spans="1:5" x14ac:dyDescent="0.2">
      <c r="A5996" s="1126" t="s">
        <v>6578</v>
      </c>
      <c r="B5996" s="1127">
        <v>444</v>
      </c>
      <c r="C5996" s="1128">
        <v>0</v>
      </c>
      <c r="D5996" s="1128">
        <v>215.75</v>
      </c>
      <c r="E5996" s="1126"/>
    </row>
    <row r="5997" spans="1:5" x14ac:dyDescent="0.2">
      <c r="A5997" s="1126" t="s">
        <v>6579</v>
      </c>
      <c r="B5997" s="1127">
        <v>281</v>
      </c>
      <c r="C5997" s="1128">
        <v>0</v>
      </c>
      <c r="D5997" s="1128">
        <v>62.83</v>
      </c>
      <c r="E5997" s="1126"/>
    </row>
    <row r="5998" spans="1:5" x14ac:dyDescent="0.2">
      <c r="A5998" s="1126" t="s">
        <v>6580</v>
      </c>
      <c r="B5998" s="1127">
        <v>436</v>
      </c>
      <c r="C5998" s="1128">
        <v>0</v>
      </c>
      <c r="D5998" s="1128">
        <v>76.569999999999993</v>
      </c>
      <c r="E5998" s="1126"/>
    </row>
    <row r="5999" spans="1:5" x14ac:dyDescent="0.2">
      <c r="A5999" s="1126" t="s">
        <v>6581</v>
      </c>
      <c r="B5999" s="1127">
        <v>466</v>
      </c>
      <c r="C5999" s="1128">
        <v>0</v>
      </c>
      <c r="D5999" s="1128">
        <v>85.79</v>
      </c>
      <c r="E5999" s="1126"/>
    </row>
    <row r="6000" spans="1:5" x14ac:dyDescent="0.2">
      <c r="A6000" s="1126" t="s">
        <v>6582</v>
      </c>
      <c r="B6000" s="1127">
        <v>600</v>
      </c>
      <c r="C6000" s="1128">
        <v>0</v>
      </c>
      <c r="D6000" s="1128">
        <v>108.94</v>
      </c>
      <c r="E6000" s="1126"/>
    </row>
    <row r="6001" spans="1:5" x14ac:dyDescent="0.2">
      <c r="A6001" s="1126" t="s">
        <v>6583</v>
      </c>
      <c r="B6001" s="1127">
        <v>379</v>
      </c>
      <c r="C6001" s="1128">
        <v>0</v>
      </c>
      <c r="D6001" s="1128">
        <v>222.32</v>
      </c>
      <c r="E6001" s="1126"/>
    </row>
    <row r="6002" spans="1:5" x14ac:dyDescent="0.2">
      <c r="A6002" s="1126" t="s">
        <v>6584</v>
      </c>
      <c r="B6002" s="1127">
        <v>602</v>
      </c>
      <c r="C6002" s="1128">
        <v>344.55</v>
      </c>
      <c r="D6002" s="1128">
        <v>758.34</v>
      </c>
      <c r="E6002" s="1126"/>
    </row>
    <row r="6003" spans="1:5" x14ac:dyDescent="0.2">
      <c r="A6003" s="1126" t="s">
        <v>6585</v>
      </c>
      <c r="B6003" s="1127">
        <v>324</v>
      </c>
      <c r="C6003" s="1128">
        <v>0</v>
      </c>
      <c r="D6003" s="1128">
        <v>133.88</v>
      </c>
      <c r="E6003" s="1126"/>
    </row>
    <row r="6004" spans="1:5" x14ac:dyDescent="0.2">
      <c r="A6004" s="1126" t="s">
        <v>6586</v>
      </c>
      <c r="B6004" s="1127">
        <v>382</v>
      </c>
      <c r="C6004" s="1128">
        <v>0</v>
      </c>
      <c r="D6004" s="1128">
        <v>45.54</v>
      </c>
      <c r="E6004" s="1126"/>
    </row>
    <row r="6005" spans="1:5" x14ac:dyDescent="0.2">
      <c r="A6005" s="1126" t="s">
        <v>6587</v>
      </c>
      <c r="B6005" s="1127">
        <v>347</v>
      </c>
      <c r="C6005" s="1128">
        <v>0</v>
      </c>
      <c r="D6005" s="1128">
        <v>46.74</v>
      </c>
      <c r="E6005" s="1126"/>
    </row>
    <row r="6006" spans="1:5" x14ac:dyDescent="0.2">
      <c r="A6006" s="1126" t="s">
        <v>6588</v>
      </c>
      <c r="B6006" s="1127">
        <v>345</v>
      </c>
      <c r="C6006" s="1128">
        <v>27.61</v>
      </c>
      <c r="D6006" s="1128">
        <v>264.75</v>
      </c>
      <c r="E6006" s="1126"/>
    </row>
    <row r="6007" spans="1:5" x14ac:dyDescent="0.2">
      <c r="A6007" s="1126" t="s">
        <v>6589</v>
      </c>
      <c r="B6007" s="1127">
        <v>297</v>
      </c>
      <c r="C6007" s="1128">
        <v>117.37</v>
      </c>
      <c r="D6007" s="1128">
        <v>321.52</v>
      </c>
      <c r="E6007" s="1126"/>
    </row>
    <row r="6008" spans="1:5" x14ac:dyDescent="0.2">
      <c r="A6008" s="1126" t="s">
        <v>6590</v>
      </c>
      <c r="B6008" s="1127">
        <v>201</v>
      </c>
      <c r="C6008" s="1128">
        <v>385.15</v>
      </c>
      <c r="D6008" s="1128">
        <v>523.30999999999995</v>
      </c>
      <c r="E6008" s="1126"/>
    </row>
    <row r="6009" spans="1:5" x14ac:dyDescent="0.2">
      <c r="A6009" s="1126" t="s">
        <v>6591</v>
      </c>
      <c r="B6009" s="1127">
        <v>175</v>
      </c>
      <c r="C6009" s="1128">
        <v>71.150000000000006</v>
      </c>
      <c r="D6009" s="1128">
        <v>191.43</v>
      </c>
      <c r="E6009" s="1126"/>
    </row>
    <row r="6010" spans="1:5" x14ac:dyDescent="0.2">
      <c r="A6010" s="1126" t="s">
        <v>6592</v>
      </c>
      <c r="B6010" s="1127">
        <v>249</v>
      </c>
      <c r="C6010" s="1128">
        <v>37.32</v>
      </c>
      <c r="D6010" s="1128">
        <v>208.47</v>
      </c>
      <c r="E6010" s="1126"/>
    </row>
    <row r="6011" spans="1:5" x14ac:dyDescent="0.2">
      <c r="A6011" s="1126" t="s">
        <v>6593</v>
      </c>
      <c r="B6011" s="1127">
        <v>537</v>
      </c>
      <c r="C6011" s="1128">
        <v>9.9</v>
      </c>
      <c r="D6011" s="1128">
        <v>379.01</v>
      </c>
      <c r="E6011" s="1126"/>
    </row>
    <row r="6012" spans="1:5" x14ac:dyDescent="0.2">
      <c r="A6012" s="1126" t="s">
        <v>6594</v>
      </c>
      <c r="B6012" s="1127">
        <v>431</v>
      </c>
      <c r="C6012" s="1128">
        <v>59.05</v>
      </c>
      <c r="D6012" s="1128">
        <v>355.3</v>
      </c>
      <c r="E6012" s="1126"/>
    </row>
    <row r="6013" spans="1:5" x14ac:dyDescent="0.2">
      <c r="A6013" s="1126" t="s">
        <v>6595</v>
      </c>
      <c r="B6013" s="1127">
        <v>272</v>
      </c>
      <c r="C6013" s="1128">
        <v>45.03</v>
      </c>
      <c r="D6013" s="1128">
        <v>232</v>
      </c>
      <c r="E6013" s="1126"/>
    </row>
    <row r="6014" spans="1:5" x14ac:dyDescent="0.2">
      <c r="A6014" s="1126" t="s">
        <v>6596</v>
      </c>
      <c r="B6014" s="1127">
        <v>333</v>
      </c>
      <c r="C6014" s="1128">
        <v>0</v>
      </c>
      <c r="D6014" s="1128">
        <v>180.95</v>
      </c>
      <c r="E6014" s="1126"/>
    </row>
    <row r="6015" spans="1:5" x14ac:dyDescent="0.2">
      <c r="A6015" s="1126" t="s">
        <v>6597</v>
      </c>
      <c r="B6015" s="1127">
        <v>1063</v>
      </c>
      <c r="C6015" s="1128">
        <v>0</v>
      </c>
      <c r="D6015" s="1128">
        <v>313.02</v>
      </c>
      <c r="E6015" s="1126"/>
    </row>
    <row r="6016" spans="1:5" x14ac:dyDescent="0.2">
      <c r="A6016" s="1126" t="s">
        <v>6598</v>
      </c>
      <c r="B6016" s="1127">
        <v>401</v>
      </c>
      <c r="C6016" s="1128">
        <v>0</v>
      </c>
      <c r="D6016" s="1128">
        <v>206.12</v>
      </c>
      <c r="E6016" s="1126"/>
    </row>
    <row r="6017" spans="1:5" x14ac:dyDescent="0.2">
      <c r="A6017" s="1126" t="s">
        <v>6599</v>
      </c>
      <c r="B6017" s="1127">
        <v>294</v>
      </c>
      <c r="C6017" s="1128">
        <v>0</v>
      </c>
      <c r="D6017" s="1128">
        <v>197.43</v>
      </c>
      <c r="E6017" s="1126"/>
    </row>
    <row r="6018" spans="1:5" x14ac:dyDescent="0.2">
      <c r="A6018" s="1126" t="s">
        <v>6600</v>
      </c>
      <c r="B6018" s="1127">
        <v>263</v>
      </c>
      <c r="C6018" s="1128">
        <v>0</v>
      </c>
      <c r="D6018" s="1128">
        <v>90.16</v>
      </c>
      <c r="E6018" s="1126"/>
    </row>
    <row r="6019" spans="1:5" x14ac:dyDescent="0.2">
      <c r="A6019" s="1126" t="s">
        <v>6601</v>
      </c>
      <c r="B6019" s="1127">
        <v>214</v>
      </c>
      <c r="C6019" s="1128">
        <v>0</v>
      </c>
      <c r="D6019" s="1128">
        <v>40.46</v>
      </c>
      <c r="E6019" s="1126"/>
    </row>
    <row r="6020" spans="1:5" x14ac:dyDescent="0.2">
      <c r="A6020" s="1126" t="s">
        <v>6602</v>
      </c>
      <c r="B6020" s="1127">
        <v>362</v>
      </c>
      <c r="C6020" s="1128">
        <v>0</v>
      </c>
      <c r="D6020" s="1128">
        <v>17.62</v>
      </c>
      <c r="E6020" s="1126"/>
    </row>
    <row r="6021" spans="1:5" x14ac:dyDescent="0.2">
      <c r="A6021" s="1126" t="s">
        <v>6603</v>
      </c>
      <c r="B6021" s="1127">
        <v>316</v>
      </c>
      <c r="C6021" s="1128">
        <v>0</v>
      </c>
      <c r="D6021" s="1128">
        <v>91.95</v>
      </c>
      <c r="E6021" s="1126"/>
    </row>
    <row r="6022" spans="1:5" x14ac:dyDescent="0.2">
      <c r="A6022" s="1126" t="s">
        <v>6604</v>
      </c>
      <c r="B6022" s="1127">
        <v>343</v>
      </c>
      <c r="C6022" s="1128">
        <v>0</v>
      </c>
      <c r="D6022" s="1128">
        <v>142.75</v>
      </c>
      <c r="E6022" s="1126"/>
    </row>
    <row r="6023" spans="1:5" x14ac:dyDescent="0.2">
      <c r="A6023" s="1126" t="s">
        <v>6605</v>
      </c>
      <c r="B6023" s="1127">
        <v>255</v>
      </c>
      <c r="C6023" s="1128">
        <v>0</v>
      </c>
      <c r="D6023" s="1128">
        <v>48.26</v>
      </c>
      <c r="E6023" s="1126"/>
    </row>
    <row r="6024" spans="1:5" x14ac:dyDescent="0.2">
      <c r="A6024" s="1126" t="s">
        <v>6606</v>
      </c>
      <c r="B6024" s="1127">
        <v>173</v>
      </c>
      <c r="C6024" s="1128">
        <v>209.56</v>
      </c>
      <c r="D6024" s="1128">
        <v>328.47</v>
      </c>
      <c r="E6024" s="1126"/>
    </row>
    <row r="6025" spans="1:5" x14ac:dyDescent="0.2">
      <c r="A6025" s="1126" t="s">
        <v>6607</v>
      </c>
      <c r="B6025" s="1127">
        <v>480</v>
      </c>
      <c r="C6025" s="1128">
        <v>29.32</v>
      </c>
      <c r="D6025" s="1128">
        <v>359.26</v>
      </c>
      <c r="E6025" s="1126"/>
    </row>
    <row r="6026" spans="1:5" x14ac:dyDescent="0.2">
      <c r="A6026" s="1126" t="s">
        <v>6608</v>
      </c>
      <c r="B6026" s="1127">
        <v>440</v>
      </c>
      <c r="C6026" s="1128">
        <v>0</v>
      </c>
      <c r="D6026" s="1128">
        <v>287.24</v>
      </c>
      <c r="E6026" s="1126"/>
    </row>
    <row r="6027" spans="1:5" x14ac:dyDescent="0.2">
      <c r="A6027" s="1126" t="s">
        <v>6609</v>
      </c>
      <c r="B6027" s="1127">
        <v>382</v>
      </c>
      <c r="C6027" s="1128">
        <v>316.17</v>
      </c>
      <c r="D6027" s="1128">
        <v>578.74</v>
      </c>
      <c r="E6027" s="1126"/>
    </row>
    <row r="6028" spans="1:5" x14ac:dyDescent="0.2">
      <c r="A6028" s="1126" t="s">
        <v>6610</v>
      </c>
      <c r="B6028" s="1127">
        <v>972</v>
      </c>
      <c r="C6028" s="1128">
        <v>924.76</v>
      </c>
      <c r="D6028" s="1128">
        <v>1592.88</v>
      </c>
      <c r="E6028" s="1126"/>
    </row>
    <row r="6029" spans="1:5" x14ac:dyDescent="0.2">
      <c r="A6029" s="1126" t="s">
        <v>6611</v>
      </c>
      <c r="B6029" s="1127">
        <v>876</v>
      </c>
      <c r="C6029" s="1128">
        <v>0</v>
      </c>
      <c r="D6029" s="1128">
        <v>398.64</v>
      </c>
      <c r="E6029" s="1126"/>
    </row>
    <row r="6030" spans="1:5" x14ac:dyDescent="0.2">
      <c r="A6030" s="1126" t="s">
        <v>6612</v>
      </c>
      <c r="B6030" s="1127">
        <v>267</v>
      </c>
      <c r="C6030" s="1128">
        <v>0</v>
      </c>
      <c r="D6030" s="1128">
        <v>136.58000000000001</v>
      </c>
      <c r="E6030" s="1126"/>
    </row>
    <row r="6031" spans="1:5" x14ac:dyDescent="0.2">
      <c r="A6031" s="1126" t="s">
        <v>6613</v>
      </c>
      <c r="B6031" s="1127">
        <v>154</v>
      </c>
      <c r="C6031" s="1128">
        <v>0</v>
      </c>
      <c r="D6031" s="1128">
        <v>105.41</v>
      </c>
      <c r="E6031" s="1126"/>
    </row>
    <row r="6032" spans="1:5" x14ac:dyDescent="0.2">
      <c r="A6032" s="1126" t="s">
        <v>6614</v>
      </c>
      <c r="B6032" s="1127">
        <v>211</v>
      </c>
      <c r="C6032" s="1128">
        <v>0</v>
      </c>
      <c r="D6032" s="1128">
        <v>53.18</v>
      </c>
      <c r="E6032" s="1126"/>
    </row>
    <row r="6033" spans="1:5" x14ac:dyDescent="0.2">
      <c r="A6033" s="1126" t="s">
        <v>6615</v>
      </c>
      <c r="B6033" s="1127">
        <v>453</v>
      </c>
      <c r="C6033" s="1128">
        <v>0</v>
      </c>
      <c r="D6033" s="1128">
        <v>136.55000000000001</v>
      </c>
      <c r="E6033" s="1126"/>
    </row>
    <row r="6034" spans="1:5" x14ac:dyDescent="0.2">
      <c r="A6034" s="1126" t="s">
        <v>6616</v>
      </c>
      <c r="B6034" s="1127">
        <v>177</v>
      </c>
      <c r="C6034" s="1128">
        <v>243.48</v>
      </c>
      <c r="D6034" s="1128">
        <v>365.15</v>
      </c>
      <c r="E6034" s="1126"/>
    </row>
    <row r="6035" spans="1:5" x14ac:dyDescent="0.2">
      <c r="A6035" s="1126" t="s">
        <v>6617</v>
      </c>
      <c r="B6035" s="1127">
        <v>177</v>
      </c>
      <c r="C6035" s="1128">
        <v>139.18</v>
      </c>
      <c r="D6035" s="1128">
        <v>260.85000000000002</v>
      </c>
      <c r="E6035" s="1126"/>
    </row>
    <row r="6036" spans="1:5" x14ac:dyDescent="0.2">
      <c r="A6036" s="1126" t="s">
        <v>6618</v>
      </c>
      <c r="B6036" s="1127">
        <v>401</v>
      </c>
      <c r="C6036" s="1128">
        <v>162.19999999999999</v>
      </c>
      <c r="D6036" s="1128">
        <v>437.83</v>
      </c>
      <c r="E6036" s="1126"/>
    </row>
    <row r="6037" spans="1:5" x14ac:dyDescent="0.2">
      <c r="A6037" s="1126" t="s">
        <v>6619</v>
      </c>
      <c r="B6037" s="1127">
        <v>712</v>
      </c>
      <c r="C6037" s="1128">
        <v>614.73</v>
      </c>
      <c r="D6037" s="1128">
        <v>1104.1300000000001</v>
      </c>
      <c r="E6037" s="1126"/>
    </row>
    <row r="6038" spans="1:5" x14ac:dyDescent="0.2">
      <c r="A6038" s="1126" t="s">
        <v>6620</v>
      </c>
      <c r="B6038" s="1127">
        <v>342</v>
      </c>
      <c r="C6038" s="1128">
        <v>0</v>
      </c>
      <c r="D6038" s="1128">
        <v>182.25</v>
      </c>
      <c r="E6038" s="1126"/>
    </row>
    <row r="6039" spans="1:5" x14ac:dyDescent="0.2">
      <c r="A6039" s="1126" t="s">
        <v>6621</v>
      </c>
      <c r="B6039" s="1127">
        <v>758</v>
      </c>
      <c r="C6039" s="1128">
        <v>0</v>
      </c>
      <c r="D6039" s="1128">
        <v>252.69</v>
      </c>
      <c r="E6039" s="1126"/>
    </row>
    <row r="6040" spans="1:5" x14ac:dyDescent="0.2">
      <c r="A6040" s="1126" t="s">
        <v>6622</v>
      </c>
      <c r="B6040" s="1127">
        <v>698</v>
      </c>
      <c r="C6040" s="1128">
        <v>0</v>
      </c>
      <c r="D6040" s="1128">
        <v>200.26</v>
      </c>
      <c r="E6040" s="1126"/>
    </row>
    <row r="6041" spans="1:5" x14ac:dyDescent="0.2">
      <c r="A6041" s="1126" t="s">
        <v>6623</v>
      </c>
      <c r="B6041" s="1127">
        <v>907</v>
      </c>
      <c r="C6041" s="1128">
        <v>0</v>
      </c>
      <c r="D6041" s="1128">
        <v>188.16</v>
      </c>
      <c r="E6041" s="1126"/>
    </row>
    <row r="6042" spans="1:5" x14ac:dyDescent="0.2">
      <c r="A6042" s="1126" t="s">
        <v>6624</v>
      </c>
      <c r="B6042" s="1127">
        <v>365</v>
      </c>
      <c r="C6042" s="1128">
        <v>0</v>
      </c>
      <c r="D6042" s="1128">
        <v>108.21</v>
      </c>
      <c r="E6042" s="1126"/>
    </row>
    <row r="6043" spans="1:5" x14ac:dyDescent="0.2">
      <c r="A6043" s="1126" t="s">
        <v>6625</v>
      </c>
      <c r="B6043" s="1127">
        <v>183</v>
      </c>
      <c r="C6043" s="1128">
        <v>245.18</v>
      </c>
      <c r="D6043" s="1128">
        <v>370.96</v>
      </c>
      <c r="E6043" s="1126"/>
    </row>
    <row r="6044" spans="1:5" x14ac:dyDescent="0.2">
      <c r="A6044" s="1126" t="s">
        <v>6626</v>
      </c>
      <c r="B6044" s="1127">
        <v>421</v>
      </c>
      <c r="C6044" s="1128">
        <v>0</v>
      </c>
      <c r="D6044" s="1128">
        <v>127.99</v>
      </c>
      <c r="E6044" s="1126"/>
    </row>
    <row r="6045" spans="1:5" x14ac:dyDescent="0.2">
      <c r="A6045" s="1126" t="s">
        <v>6627</v>
      </c>
      <c r="B6045" s="1127">
        <v>705</v>
      </c>
      <c r="C6045" s="1128">
        <v>0</v>
      </c>
      <c r="D6045" s="1128">
        <v>309.61</v>
      </c>
      <c r="E6045" s="1126"/>
    </row>
    <row r="6046" spans="1:5" x14ac:dyDescent="0.2">
      <c r="A6046" s="1126" t="s">
        <v>6628</v>
      </c>
      <c r="B6046" s="1127">
        <v>258</v>
      </c>
      <c r="C6046" s="1128">
        <v>0</v>
      </c>
      <c r="D6046" s="1128">
        <v>63.4</v>
      </c>
      <c r="E6046" s="1126"/>
    </row>
    <row r="6047" spans="1:5" x14ac:dyDescent="0.2">
      <c r="A6047" s="1126" t="s">
        <v>6629</v>
      </c>
      <c r="B6047" s="1127">
        <v>277</v>
      </c>
      <c r="C6047" s="1128">
        <v>0</v>
      </c>
      <c r="D6047" s="1128">
        <v>32.770000000000003</v>
      </c>
      <c r="E6047" s="1126"/>
    </row>
    <row r="6048" spans="1:5" x14ac:dyDescent="0.2">
      <c r="A6048" s="1126" t="s">
        <v>6630</v>
      </c>
      <c r="B6048" s="1127">
        <v>274</v>
      </c>
      <c r="C6048" s="1128">
        <v>66.7</v>
      </c>
      <c r="D6048" s="1128">
        <v>255.04</v>
      </c>
      <c r="E6048" s="1126"/>
    </row>
    <row r="6049" spans="1:5" x14ac:dyDescent="0.2">
      <c r="A6049" s="1126" t="s">
        <v>6631</v>
      </c>
      <c r="B6049" s="1127">
        <v>472</v>
      </c>
      <c r="C6049" s="1128">
        <v>0</v>
      </c>
      <c r="D6049" s="1128">
        <v>204.42</v>
      </c>
      <c r="E6049" s="1126"/>
    </row>
    <row r="6050" spans="1:5" x14ac:dyDescent="0.2">
      <c r="A6050" s="1126" t="s">
        <v>6632</v>
      </c>
      <c r="B6050" s="1127">
        <v>913</v>
      </c>
      <c r="C6050" s="1128">
        <v>0</v>
      </c>
      <c r="D6050" s="1128">
        <v>319.41000000000003</v>
      </c>
      <c r="E6050" s="1126"/>
    </row>
    <row r="6051" spans="1:5" x14ac:dyDescent="0.2">
      <c r="A6051" s="1126" t="s">
        <v>6633</v>
      </c>
      <c r="B6051" s="1127">
        <v>440</v>
      </c>
      <c r="C6051" s="1128">
        <v>0</v>
      </c>
      <c r="D6051" s="1128">
        <v>20.88</v>
      </c>
      <c r="E6051" s="1126"/>
    </row>
    <row r="6052" spans="1:5" x14ac:dyDescent="0.2">
      <c r="A6052" s="1126" t="s">
        <v>6634</v>
      </c>
      <c r="B6052" s="1127">
        <v>95</v>
      </c>
      <c r="C6052" s="1128">
        <v>0</v>
      </c>
      <c r="D6052" s="1128">
        <v>37.270000000000003</v>
      </c>
      <c r="E6052" s="1126"/>
    </row>
    <row r="6053" spans="1:5" x14ac:dyDescent="0.2">
      <c r="A6053" s="1126" t="s">
        <v>6635</v>
      </c>
      <c r="B6053" s="1127">
        <v>329</v>
      </c>
      <c r="C6053" s="1128">
        <v>0</v>
      </c>
      <c r="D6053" s="1128">
        <v>74.67</v>
      </c>
      <c r="E6053" s="1126"/>
    </row>
    <row r="6054" spans="1:5" x14ac:dyDescent="0.2">
      <c r="A6054" s="1126" t="s">
        <v>6636</v>
      </c>
      <c r="B6054" s="1127">
        <v>207</v>
      </c>
      <c r="C6054" s="1128">
        <v>229.81</v>
      </c>
      <c r="D6054" s="1128">
        <v>372.1</v>
      </c>
      <c r="E6054" s="1126"/>
    </row>
    <row r="6055" spans="1:5" x14ac:dyDescent="0.2">
      <c r="A6055" s="1126" t="s">
        <v>6637</v>
      </c>
      <c r="B6055" s="1127">
        <v>344</v>
      </c>
      <c r="C6055" s="1128">
        <v>93.34</v>
      </c>
      <c r="D6055" s="1128">
        <v>329.79</v>
      </c>
      <c r="E6055" s="1126"/>
    </row>
    <row r="6056" spans="1:5" x14ac:dyDescent="0.2">
      <c r="A6056" s="1126" t="s">
        <v>6638</v>
      </c>
      <c r="B6056" s="1127">
        <v>167</v>
      </c>
      <c r="C6056" s="1128">
        <v>0</v>
      </c>
      <c r="D6056" s="1128">
        <v>34.33</v>
      </c>
      <c r="E6056" s="1126"/>
    </row>
    <row r="6057" spans="1:5" x14ac:dyDescent="0.2">
      <c r="A6057" s="1126" t="s">
        <v>6639</v>
      </c>
      <c r="B6057" s="1127">
        <v>261</v>
      </c>
      <c r="C6057" s="1128">
        <v>0</v>
      </c>
      <c r="D6057" s="1128">
        <v>95.67</v>
      </c>
      <c r="E6057" s="1126"/>
    </row>
    <row r="6058" spans="1:5" x14ac:dyDescent="0.2">
      <c r="A6058" s="1126" t="s">
        <v>6640</v>
      </c>
      <c r="B6058" s="1127">
        <v>360</v>
      </c>
      <c r="C6058" s="1128">
        <v>0</v>
      </c>
      <c r="D6058" s="1128">
        <v>124.56</v>
      </c>
      <c r="E6058" s="1126"/>
    </row>
    <row r="6059" spans="1:5" x14ac:dyDescent="0.2">
      <c r="A6059" s="1126" t="s">
        <v>6641</v>
      </c>
      <c r="B6059" s="1127">
        <v>705</v>
      </c>
      <c r="C6059" s="1128">
        <v>0</v>
      </c>
      <c r="D6059" s="1128">
        <v>183.79</v>
      </c>
      <c r="E6059" s="1126"/>
    </row>
    <row r="6060" spans="1:5" x14ac:dyDescent="0.2">
      <c r="A6060" s="1126" t="s">
        <v>6642</v>
      </c>
      <c r="B6060" s="1127">
        <v>354</v>
      </c>
      <c r="C6060" s="1128">
        <v>0</v>
      </c>
      <c r="D6060" s="1128">
        <v>138.49</v>
      </c>
      <c r="E6060" s="1126"/>
    </row>
    <row r="6061" spans="1:5" x14ac:dyDescent="0.2">
      <c r="A6061" s="1126" t="s">
        <v>6643</v>
      </c>
      <c r="B6061" s="1127">
        <v>379</v>
      </c>
      <c r="C6061" s="1128">
        <v>0</v>
      </c>
      <c r="D6061" s="1128">
        <v>133.29</v>
      </c>
      <c r="E6061" s="1126"/>
    </row>
    <row r="6062" spans="1:5" x14ac:dyDescent="0.2">
      <c r="A6062" s="1126" t="s">
        <v>6644</v>
      </c>
      <c r="B6062" s="1127">
        <v>376</v>
      </c>
      <c r="C6062" s="1128">
        <v>1283.23</v>
      </c>
      <c r="D6062" s="1128">
        <v>1541.68</v>
      </c>
      <c r="E6062" s="1126"/>
    </row>
    <row r="6063" spans="1:5" x14ac:dyDescent="0.2">
      <c r="A6063" s="1126" t="s">
        <v>6645</v>
      </c>
      <c r="B6063" s="1127">
        <v>189</v>
      </c>
      <c r="C6063" s="1128">
        <v>61.02</v>
      </c>
      <c r="D6063" s="1128">
        <v>190.93</v>
      </c>
      <c r="E6063" s="1126"/>
    </row>
    <row r="6064" spans="1:5" x14ac:dyDescent="0.2">
      <c r="A6064" s="1126" t="s">
        <v>6646</v>
      </c>
      <c r="B6064" s="1127">
        <v>523</v>
      </c>
      <c r="C6064" s="1128">
        <v>75.739999999999995</v>
      </c>
      <c r="D6064" s="1128">
        <v>435.23</v>
      </c>
      <c r="E6064" s="1126"/>
    </row>
    <row r="6065" spans="1:5" x14ac:dyDescent="0.2">
      <c r="A6065" s="1126" t="s">
        <v>6647</v>
      </c>
      <c r="B6065" s="1127">
        <v>647</v>
      </c>
      <c r="C6065" s="1128">
        <v>0</v>
      </c>
      <c r="D6065" s="1128">
        <v>150.87</v>
      </c>
      <c r="E6065" s="1126"/>
    </row>
    <row r="6066" spans="1:5" x14ac:dyDescent="0.2">
      <c r="A6066" s="1126" t="s">
        <v>6648</v>
      </c>
      <c r="B6066" s="1127">
        <v>649</v>
      </c>
      <c r="C6066" s="1128">
        <v>0</v>
      </c>
      <c r="D6066" s="1128">
        <v>194.6</v>
      </c>
      <c r="E6066" s="1126"/>
    </row>
    <row r="6067" spans="1:5" x14ac:dyDescent="0.2">
      <c r="A6067" s="1126" t="s">
        <v>6649</v>
      </c>
      <c r="B6067" s="1127">
        <v>331</v>
      </c>
      <c r="C6067" s="1128">
        <v>0</v>
      </c>
      <c r="D6067" s="1128">
        <v>101.72</v>
      </c>
      <c r="E6067" s="1126"/>
    </row>
    <row r="6068" spans="1:5" x14ac:dyDescent="0.2">
      <c r="A6068" s="1126" t="s">
        <v>6650</v>
      </c>
      <c r="B6068" s="1127">
        <v>354</v>
      </c>
      <c r="C6068" s="1128">
        <v>0</v>
      </c>
      <c r="D6068" s="1128">
        <v>70.48</v>
      </c>
      <c r="E6068" s="1126"/>
    </row>
    <row r="6069" spans="1:5" x14ac:dyDescent="0.2">
      <c r="A6069" s="1126" t="s">
        <v>6651</v>
      </c>
      <c r="B6069" s="1127">
        <v>431</v>
      </c>
      <c r="C6069" s="1128">
        <v>0</v>
      </c>
      <c r="D6069" s="1128">
        <v>172.5</v>
      </c>
      <c r="E6069" s="1126"/>
    </row>
    <row r="6070" spans="1:5" x14ac:dyDescent="0.2">
      <c r="A6070" s="1126" t="s">
        <v>6652</v>
      </c>
      <c r="B6070" s="1127">
        <v>80</v>
      </c>
      <c r="C6070" s="1128">
        <v>157.44999999999999</v>
      </c>
      <c r="D6070" s="1128">
        <v>212.44</v>
      </c>
      <c r="E6070" s="1126"/>
    </row>
    <row r="6071" spans="1:5" x14ac:dyDescent="0.2">
      <c r="A6071" s="1126" t="s">
        <v>6653</v>
      </c>
      <c r="B6071" s="1127">
        <v>618</v>
      </c>
      <c r="C6071" s="1128">
        <v>0</v>
      </c>
      <c r="D6071" s="1128">
        <v>135.47</v>
      </c>
      <c r="E6071" s="1126"/>
    </row>
    <row r="6072" spans="1:5" x14ac:dyDescent="0.2">
      <c r="A6072" s="1126" t="s">
        <v>6654</v>
      </c>
      <c r="B6072" s="1127">
        <v>182</v>
      </c>
      <c r="C6072" s="1128">
        <v>0</v>
      </c>
      <c r="D6072" s="1128">
        <v>103.77</v>
      </c>
      <c r="E6072" s="1126"/>
    </row>
    <row r="6073" spans="1:5" x14ac:dyDescent="0.2">
      <c r="A6073" s="1126" t="s">
        <v>6655</v>
      </c>
      <c r="B6073" s="1127">
        <v>354</v>
      </c>
      <c r="C6073" s="1128">
        <v>0</v>
      </c>
      <c r="D6073" s="1128">
        <v>112.74</v>
      </c>
      <c r="E6073" s="1126"/>
    </row>
    <row r="6074" spans="1:5" x14ac:dyDescent="0.2">
      <c r="A6074" s="1126" t="s">
        <v>6656</v>
      </c>
      <c r="B6074" s="1127">
        <v>499</v>
      </c>
      <c r="C6074" s="1128">
        <v>0</v>
      </c>
      <c r="D6074" s="1128">
        <v>145.28</v>
      </c>
      <c r="E6074" s="1126"/>
    </row>
    <row r="6075" spans="1:5" x14ac:dyDescent="0.2">
      <c r="A6075" s="1126" t="s">
        <v>6657</v>
      </c>
      <c r="B6075" s="1127">
        <v>459</v>
      </c>
      <c r="C6075" s="1128">
        <v>0</v>
      </c>
      <c r="D6075" s="1128">
        <v>148.81</v>
      </c>
      <c r="E6075" s="1126"/>
    </row>
    <row r="6076" spans="1:5" x14ac:dyDescent="0.2">
      <c r="A6076" s="1126" t="s">
        <v>6658</v>
      </c>
      <c r="B6076" s="1127">
        <v>717</v>
      </c>
      <c r="C6076" s="1128">
        <v>0</v>
      </c>
      <c r="D6076" s="1128">
        <v>259.32</v>
      </c>
      <c r="E6076" s="1126"/>
    </row>
    <row r="6077" spans="1:5" x14ac:dyDescent="0.2">
      <c r="A6077" s="1126" t="s">
        <v>6659</v>
      </c>
      <c r="B6077" s="1127">
        <v>353</v>
      </c>
      <c r="C6077" s="1128">
        <v>0</v>
      </c>
      <c r="D6077" s="1128">
        <v>56.83</v>
      </c>
      <c r="E6077" s="1126"/>
    </row>
    <row r="6078" spans="1:5" x14ac:dyDescent="0.2">
      <c r="A6078" s="1126" t="s">
        <v>6660</v>
      </c>
      <c r="B6078" s="1127">
        <v>546</v>
      </c>
      <c r="C6078" s="1128">
        <v>0</v>
      </c>
      <c r="D6078" s="1128">
        <v>73.03</v>
      </c>
      <c r="E6078" s="1126"/>
    </row>
    <row r="6079" spans="1:5" x14ac:dyDescent="0.2">
      <c r="A6079" s="1126" t="s">
        <v>6661</v>
      </c>
      <c r="B6079" s="1127">
        <v>640</v>
      </c>
      <c r="C6079" s="1128">
        <v>0</v>
      </c>
      <c r="D6079" s="1128">
        <v>110.2</v>
      </c>
      <c r="E6079" s="1126"/>
    </row>
    <row r="6080" spans="1:5" x14ac:dyDescent="0.2">
      <c r="A6080" s="1126" t="s">
        <v>6662</v>
      </c>
      <c r="B6080" s="1127">
        <v>507</v>
      </c>
      <c r="C6080" s="1128">
        <v>0</v>
      </c>
      <c r="D6080" s="1128">
        <v>149.38999999999999</v>
      </c>
      <c r="E6080" s="1126"/>
    </row>
    <row r="6081" spans="1:5" x14ac:dyDescent="0.2">
      <c r="A6081" s="1126" t="s">
        <v>6663</v>
      </c>
      <c r="B6081" s="1127">
        <v>475</v>
      </c>
      <c r="C6081" s="1128">
        <v>0</v>
      </c>
      <c r="D6081" s="1128">
        <v>67.98</v>
      </c>
      <c r="E6081" s="1126"/>
    </row>
    <row r="6082" spans="1:5" x14ac:dyDescent="0.2">
      <c r="A6082" s="1126" t="s">
        <v>6664</v>
      </c>
      <c r="B6082" s="1127">
        <v>419</v>
      </c>
      <c r="C6082" s="1128">
        <v>0</v>
      </c>
      <c r="D6082" s="1128">
        <v>96.35</v>
      </c>
      <c r="E6082" s="1126"/>
    </row>
    <row r="6083" spans="1:5" x14ac:dyDescent="0.2">
      <c r="A6083" s="1126" t="s">
        <v>6665</v>
      </c>
      <c r="B6083" s="1127">
        <v>200</v>
      </c>
      <c r="C6083" s="1128">
        <v>0</v>
      </c>
      <c r="D6083" s="1128">
        <v>34.44</v>
      </c>
      <c r="E6083" s="1126"/>
    </row>
    <row r="6084" spans="1:5" x14ac:dyDescent="0.2">
      <c r="A6084" s="1126" t="s">
        <v>6666</v>
      </c>
      <c r="B6084" s="1127">
        <v>767</v>
      </c>
      <c r="C6084" s="1128">
        <v>0</v>
      </c>
      <c r="D6084" s="1128">
        <v>171</v>
      </c>
      <c r="E6084" s="1126"/>
    </row>
    <row r="6085" spans="1:5" x14ac:dyDescent="0.2">
      <c r="A6085" s="1126" t="s">
        <v>6667</v>
      </c>
      <c r="B6085" s="1127">
        <v>204</v>
      </c>
      <c r="C6085" s="1128">
        <v>0</v>
      </c>
      <c r="D6085" s="1128">
        <v>123.85</v>
      </c>
      <c r="E6085" s="1126"/>
    </row>
    <row r="6086" spans="1:5" x14ac:dyDescent="0.2">
      <c r="A6086" s="1126" t="s">
        <v>6668</v>
      </c>
      <c r="B6086" s="1127">
        <v>367</v>
      </c>
      <c r="C6086" s="1128">
        <v>33.9</v>
      </c>
      <c r="D6086" s="1128">
        <v>286.17</v>
      </c>
      <c r="E6086" s="1126"/>
    </row>
    <row r="6087" spans="1:5" x14ac:dyDescent="0.2">
      <c r="A6087" s="1126" t="s">
        <v>6669</v>
      </c>
      <c r="B6087" s="1127">
        <v>693</v>
      </c>
      <c r="C6087" s="1128">
        <v>0</v>
      </c>
      <c r="D6087" s="1128">
        <v>324.58999999999997</v>
      </c>
      <c r="E6087" s="1126"/>
    </row>
    <row r="6088" spans="1:5" x14ac:dyDescent="0.2">
      <c r="A6088" s="1126" t="s">
        <v>6670</v>
      </c>
      <c r="B6088" s="1127">
        <v>607</v>
      </c>
      <c r="C6088" s="1128">
        <v>0</v>
      </c>
      <c r="D6088" s="1128">
        <v>92.39</v>
      </c>
      <c r="E6088" s="1126"/>
    </row>
    <row r="6089" spans="1:5" x14ac:dyDescent="0.2">
      <c r="A6089" s="1126" t="s">
        <v>6671</v>
      </c>
      <c r="B6089" s="1127">
        <v>263</v>
      </c>
      <c r="C6089" s="1128">
        <v>0</v>
      </c>
      <c r="D6089" s="1128">
        <v>112.54</v>
      </c>
      <c r="E6089" s="1126"/>
    </row>
    <row r="6090" spans="1:5" x14ac:dyDescent="0.2">
      <c r="A6090" s="1126" t="s">
        <v>6672</v>
      </c>
      <c r="B6090" s="1127">
        <v>426</v>
      </c>
      <c r="C6090" s="1128">
        <v>0</v>
      </c>
      <c r="D6090" s="1128">
        <v>156.15</v>
      </c>
      <c r="E6090" s="1126"/>
    </row>
    <row r="6091" spans="1:5" x14ac:dyDescent="0.2">
      <c r="A6091" s="1126" t="s">
        <v>6673</v>
      </c>
      <c r="B6091" s="1127">
        <v>139</v>
      </c>
      <c r="C6091" s="1128">
        <v>461.8</v>
      </c>
      <c r="D6091" s="1128">
        <v>557.34</v>
      </c>
      <c r="E6091" s="1126"/>
    </row>
    <row r="6092" spans="1:5" x14ac:dyDescent="0.2">
      <c r="A6092" s="1126" t="s">
        <v>6674</v>
      </c>
      <c r="B6092" s="1127">
        <v>217</v>
      </c>
      <c r="C6092" s="1128">
        <v>156.44999999999999</v>
      </c>
      <c r="D6092" s="1128">
        <v>305.61</v>
      </c>
      <c r="E6092" s="1126"/>
    </row>
    <row r="6093" spans="1:5" x14ac:dyDescent="0.2">
      <c r="A6093" s="1126" t="s">
        <v>6675</v>
      </c>
      <c r="B6093" s="1127">
        <v>616</v>
      </c>
      <c r="C6093" s="1128">
        <v>0</v>
      </c>
      <c r="D6093" s="1128">
        <v>135.84</v>
      </c>
      <c r="E6093" s="1126"/>
    </row>
    <row r="6094" spans="1:5" x14ac:dyDescent="0.2">
      <c r="A6094" s="1126" t="s">
        <v>6676</v>
      </c>
      <c r="B6094" s="1127">
        <v>454</v>
      </c>
      <c r="C6094" s="1128">
        <v>0</v>
      </c>
      <c r="D6094" s="1128">
        <v>129.91</v>
      </c>
      <c r="E6094" s="1126"/>
    </row>
    <row r="6095" spans="1:5" x14ac:dyDescent="0.2">
      <c r="A6095" s="1126" t="s">
        <v>6677</v>
      </c>
      <c r="B6095" s="1127">
        <v>499</v>
      </c>
      <c r="C6095" s="1128">
        <v>0</v>
      </c>
      <c r="D6095" s="1128">
        <v>124.27</v>
      </c>
      <c r="E6095" s="1126"/>
    </row>
    <row r="6096" spans="1:5" x14ac:dyDescent="0.2">
      <c r="A6096" s="1126" t="s">
        <v>6678</v>
      </c>
      <c r="B6096" s="1127">
        <v>606</v>
      </c>
      <c r="C6096" s="1128">
        <v>0</v>
      </c>
      <c r="D6096" s="1128">
        <v>79.239999999999995</v>
      </c>
      <c r="E6096" s="1126"/>
    </row>
    <row r="6097" spans="1:5" x14ac:dyDescent="0.2">
      <c r="A6097" s="1126" t="s">
        <v>6679</v>
      </c>
      <c r="B6097" s="1127">
        <v>549</v>
      </c>
      <c r="C6097" s="1128">
        <v>0</v>
      </c>
      <c r="D6097" s="1128">
        <v>333.24</v>
      </c>
      <c r="E6097" s="1126"/>
    </row>
    <row r="6098" spans="1:5" x14ac:dyDescent="0.2">
      <c r="A6098" s="1126" t="s">
        <v>6680</v>
      </c>
      <c r="B6098" s="1127">
        <v>301</v>
      </c>
      <c r="C6098" s="1128">
        <v>569.15</v>
      </c>
      <c r="D6098" s="1128">
        <v>776.05</v>
      </c>
      <c r="E6098" s="1126"/>
    </row>
    <row r="6099" spans="1:5" x14ac:dyDescent="0.2">
      <c r="A6099" s="1126" t="s">
        <v>6681</v>
      </c>
      <c r="B6099" s="1127">
        <v>321</v>
      </c>
      <c r="C6099" s="1128">
        <v>1010.62</v>
      </c>
      <c r="D6099" s="1128">
        <v>1231.26</v>
      </c>
      <c r="E6099" s="1126"/>
    </row>
    <row r="6100" spans="1:5" x14ac:dyDescent="0.2">
      <c r="A6100" s="1126" t="s">
        <v>6682</v>
      </c>
      <c r="B6100" s="1127">
        <v>470</v>
      </c>
      <c r="C6100" s="1128">
        <v>0</v>
      </c>
      <c r="D6100" s="1128">
        <v>303.49</v>
      </c>
      <c r="E6100" s="1126"/>
    </row>
    <row r="6101" spans="1:5" x14ac:dyDescent="0.2">
      <c r="A6101" s="1126" t="s">
        <v>6683</v>
      </c>
      <c r="B6101" s="1127">
        <v>980</v>
      </c>
      <c r="C6101" s="1128">
        <v>0</v>
      </c>
      <c r="D6101" s="1128">
        <v>577.04999999999995</v>
      </c>
      <c r="E6101" s="1126"/>
    </row>
    <row r="6102" spans="1:5" x14ac:dyDescent="0.2">
      <c r="A6102" s="1126" t="s">
        <v>6684</v>
      </c>
      <c r="B6102" s="1127">
        <v>198</v>
      </c>
      <c r="C6102" s="1128">
        <v>80.319999999999993</v>
      </c>
      <c r="D6102" s="1128">
        <v>216.42</v>
      </c>
      <c r="E6102" s="1126"/>
    </row>
    <row r="6103" spans="1:5" x14ac:dyDescent="0.2">
      <c r="A6103" s="1126" t="s">
        <v>6685</v>
      </c>
      <c r="B6103" s="1127">
        <v>420</v>
      </c>
      <c r="C6103" s="1128">
        <v>164.31</v>
      </c>
      <c r="D6103" s="1128">
        <v>453</v>
      </c>
      <c r="E6103" s="1126"/>
    </row>
    <row r="6104" spans="1:5" x14ac:dyDescent="0.2">
      <c r="A6104" s="1126" t="s">
        <v>6686</v>
      </c>
      <c r="B6104" s="1127">
        <v>359</v>
      </c>
      <c r="C6104" s="1128">
        <v>0</v>
      </c>
      <c r="D6104" s="1128">
        <v>194.4</v>
      </c>
      <c r="E6104" s="1126"/>
    </row>
    <row r="6105" spans="1:5" x14ac:dyDescent="0.2">
      <c r="A6105" s="1126" t="s">
        <v>6687</v>
      </c>
      <c r="B6105" s="1127">
        <v>393</v>
      </c>
      <c r="C6105" s="1128">
        <v>0</v>
      </c>
      <c r="D6105" s="1128">
        <v>35.21</v>
      </c>
      <c r="E6105" s="1126"/>
    </row>
    <row r="6106" spans="1:5" x14ac:dyDescent="0.2">
      <c r="A6106" s="1126" t="s">
        <v>6688</v>
      </c>
      <c r="B6106" s="1127">
        <v>344</v>
      </c>
      <c r="C6106" s="1128">
        <v>0</v>
      </c>
      <c r="D6106" s="1128">
        <v>72.260000000000005</v>
      </c>
      <c r="E6106" s="1126"/>
    </row>
    <row r="6107" spans="1:5" x14ac:dyDescent="0.2">
      <c r="A6107" s="1126" t="s">
        <v>6689</v>
      </c>
      <c r="B6107" s="1127">
        <v>177</v>
      </c>
      <c r="C6107" s="1128">
        <v>161.13999999999999</v>
      </c>
      <c r="D6107" s="1128">
        <v>282.81</v>
      </c>
      <c r="E6107" s="1126"/>
    </row>
    <row r="6108" spans="1:5" x14ac:dyDescent="0.2">
      <c r="A6108" s="1126" t="s">
        <v>6690</v>
      </c>
      <c r="B6108" s="1127">
        <v>287</v>
      </c>
      <c r="C6108" s="1128">
        <v>13.3</v>
      </c>
      <c r="D6108" s="1128">
        <v>210.58</v>
      </c>
      <c r="E6108" s="1126"/>
    </row>
    <row r="6109" spans="1:5" x14ac:dyDescent="0.2">
      <c r="A6109" s="1126" t="s">
        <v>6691</v>
      </c>
      <c r="B6109" s="1127">
        <v>743</v>
      </c>
      <c r="C6109" s="1128">
        <v>0</v>
      </c>
      <c r="D6109" s="1128">
        <v>194.46</v>
      </c>
      <c r="E6109" s="1126"/>
    </row>
    <row r="6110" spans="1:5" x14ac:dyDescent="0.2">
      <c r="A6110" s="1126" t="s">
        <v>6692</v>
      </c>
      <c r="B6110" s="1127">
        <v>721</v>
      </c>
      <c r="C6110" s="1128">
        <v>0</v>
      </c>
      <c r="D6110" s="1128">
        <v>223.89</v>
      </c>
      <c r="E6110" s="1126"/>
    </row>
    <row r="6111" spans="1:5" x14ac:dyDescent="0.2">
      <c r="A6111" s="1126" t="s">
        <v>6693</v>
      </c>
      <c r="B6111" s="1127">
        <v>513</v>
      </c>
      <c r="C6111" s="1128">
        <v>162.05000000000001</v>
      </c>
      <c r="D6111" s="1128">
        <v>514.66</v>
      </c>
      <c r="E6111" s="1126"/>
    </row>
    <row r="6112" spans="1:5" x14ac:dyDescent="0.2">
      <c r="A6112" s="1126" t="s">
        <v>6694</v>
      </c>
      <c r="B6112" s="1127">
        <v>368</v>
      </c>
      <c r="C6112" s="1128">
        <v>0</v>
      </c>
      <c r="D6112" s="1128">
        <v>232.51</v>
      </c>
      <c r="E6112" s="1126"/>
    </row>
    <row r="6113" spans="1:5" x14ac:dyDescent="0.2">
      <c r="A6113" s="1126" t="s">
        <v>6695</v>
      </c>
      <c r="B6113" s="1127">
        <v>289</v>
      </c>
      <c r="C6113" s="1128">
        <v>0</v>
      </c>
      <c r="D6113" s="1128">
        <v>79.28</v>
      </c>
      <c r="E6113" s="1126"/>
    </row>
    <row r="6114" spans="1:5" x14ac:dyDescent="0.2">
      <c r="A6114" s="1126" t="s">
        <v>6696</v>
      </c>
      <c r="B6114" s="1127">
        <v>597</v>
      </c>
      <c r="C6114" s="1128">
        <v>0</v>
      </c>
      <c r="D6114" s="1128">
        <v>207.28</v>
      </c>
      <c r="E6114" s="1126"/>
    </row>
    <row r="6115" spans="1:5" x14ac:dyDescent="0.2">
      <c r="A6115" s="1126" t="s">
        <v>6697</v>
      </c>
      <c r="B6115" s="1127">
        <v>294</v>
      </c>
      <c r="C6115" s="1128">
        <v>0</v>
      </c>
      <c r="D6115" s="1128">
        <v>174.48</v>
      </c>
      <c r="E6115" s="1126"/>
    </row>
    <row r="6116" spans="1:5" x14ac:dyDescent="0.2">
      <c r="A6116" s="1126" t="s">
        <v>6698</v>
      </c>
      <c r="B6116" s="1127">
        <v>198</v>
      </c>
      <c r="C6116" s="1128">
        <v>0</v>
      </c>
      <c r="D6116" s="1128">
        <v>102.45</v>
      </c>
      <c r="E6116" s="1126"/>
    </row>
    <row r="6117" spans="1:5" x14ac:dyDescent="0.2">
      <c r="A6117" s="1126" t="s">
        <v>6699</v>
      </c>
      <c r="B6117" s="1127">
        <v>155</v>
      </c>
      <c r="C6117" s="1128">
        <v>0</v>
      </c>
      <c r="D6117" s="1128">
        <v>64.180000000000007</v>
      </c>
      <c r="E6117" s="1126"/>
    </row>
    <row r="6118" spans="1:5" x14ac:dyDescent="0.2">
      <c r="A6118" s="1126" t="s">
        <v>6700</v>
      </c>
      <c r="B6118" s="1127">
        <v>399</v>
      </c>
      <c r="C6118" s="1128">
        <v>7.24</v>
      </c>
      <c r="D6118" s="1128">
        <v>281.5</v>
      </c>
      <c r="E6118" s="1126"/>
    </row>
    <row r="6119" spans="1:5" x14ac:dyDescent="0.2">
      <c r="A6119" s="1126" t="s">
        <v>6701</v>
      </c>
      <c r="B6119" s="1127">
        <v>233</v>
      </c>
      <c r="C6119" s="1128">
        <v>520.04</v>
      </c>
      <c r="D6119" s="1128">
        <v>680.2</v>
      </c>
      <c r="E6119" s="1126"/>
    </row>
    <row r="6120" spans="1:5" x14ac:dyDescent="0.2">
      <c r="A6120" s="1126" t="s">
        <v>6702</v>
      </c>
      <c r="B6120" s="1127">
        <v>539</v>
      </c>
      <c r="C6120" s="1128">
        <v>0</v>
      </c>
      <c r="D6120" s="1128">
        <v>319.16000000000003</v>
      </c>
      <c r="E6120" s="1126"/>
    </row>
    <row r="6121" spans="1:5" x14ac:dyDescent="0.2">
      <c r="A6121" s="1126" t="s">
        <v>6703</v>
      </c>
      <c r="B6121" s="1127">
        <v>255</v>
      </c>
      <c r="C6121" s="1128">
        <v>0</v>
      </c>
      <c r="D6121" s="1128">
        <v>41.12</v>
      </c>
      <c r="E6121" s="1126"/>
    </row>
    <row r="6122" spans="1:5" x14ac:dyDescent="0.2">
      <c r="A6122" s="1126" t="s">
        <v>6704</v>
      </c>
      <c r="B6122" s="1127">
        <v>487</v>
      </c>
      <c r="C6122" s="1128">
        <v>0</v>
      </c>
      <c r="D6122" s="1128">
        <v>56.41</v>
      </c>
      <c r="E6122" s="1126"/>
    </row>
    <row r="6123" spans="1:5" x14ac:dyDescent="0.2">
      <c r="A6123" s="1126" t="s">
        <v>6705</v>
      </c>
      <c r="B6123" s="1127">
        <v>361</v>
      </c>
      <c r="C6123" s="1128">
        <v>0</v>
      </c>
      <c r="D6123" s="1128">
        <v>148.33000000000001</v>
      </c>
      <c r="E6123" s="1126"/>
    </row>
    <row r="6124" spans="1:5" x14ac:dyDescent="0.2">
      <c r="A6124" s="1126" t="s">
        <v>6706</v>
      </c>
      <c r="B6124" s="1127">
        <v>600</v>
      </c>
      <c r="C6124" s="1128">
        <v>0</v>
      </c>
      <c r="D6124" s="1128">
        <v>114.45</v>
      </c>
      <c r="E6124" s="1126"/>
    </row>
    <row r="6125" spans="1:5" x14ac:dyDescent="0.2">
      <c r="A6125" s="1126" t="s">
        <v>6707</v>
      </c>
      <c r="B6125" s="1127">
        <v>220</v>
      </c>
      <c r="C6125" s="1128">
        <v>0</v>
      </c>
      <c r="D6125" s="1128">
        <v>63.47</v>
      </c>
      <c r="E6125" s="1126"/>
    </row>
    <row r="6126" spans="1:5" x14ac:dyDescent="0.2">
      <c r="A6126" s="1126" t="s">
        <v>6708</v>
      </c>
      <c r="B6126" s="1127">
        <v>369</v>
      </c>
      <c r="C6126" s="1128">
        <v>0</v>
      </c>
      <c r="D6126" s="1128">
        <v>26.1</v>
      </c>
      <c r="E6126" s="1126"/>
    </row>
    <row r="6127" spans="1:5" x14ac:dyDescent="0.2">
      <c r="A6127" s="1126" t="s">
        <v>6709</v>
      </c>
      <c r="B6127" s="1127">
        <v>332</v>
      </c>
      <c r="C6127" s="1128">
        <v>808.87</v>
      </c>
      <c r="D6127" s="1128">
        <v>1037.07</v>
      </c>
      <c r="E6127" s="1126"/>
    </row>
    <row r="6128" spans="1:5" x14ac:dyDescent="0.2">
      <c r="A6128" s="1126" t="s">
        <v>6710</v>
      </c>
      <c r="B6128" s="1127">
        <v>96</v>
      </c>
      <c r="C6128" s="1128">
        <v>281.32</v>
      </c>
      <c r="D6128" s="1128">
        <v>347.31</v>
      </c>
      <c r="E6128" s="1126"/>
    </row>
    <row r="6129" spans="1:5" x14ac:dyDescent="0.2">
      <c r="A6129" s="1126" t="s">
        <v>6711</v>
      </c>
      <c r="B6129" s="1127">
        <v>411</v>
      </c>
      <c r="C6129" s="1128">
        <v>0</v>
      </c>
      <c r="D6129" s="1128">
        <v>137.4</v>
      </c>
      <c r="E6129" s="1126"/>
    </row>
    <row r="6130" spans="1:5" x14ac:dyDescent="0.2">
      <c r="A6130" s="1126" t="s">
        <v>6712</v>
      </c>
      <c r="B6130" s="1127">
        <v>223</v>
      </c>
      <c r="C6130" s="1128">
        <v>0</v>
      </c>
      <c r="D6130" s="1128">
        <v>137.57</v>
      </c>
      <c r="E6130" s="1126"/>
    </row>
    <row r="6131" spans="1:5" x14ac:dyDescent="0.2">
      <c r="A6131" s="1126" t="s">
        <v>6713</v>
      </c>
      <c r="B6131" s="1127">
        <v>214</v>
      </c>
      <c r="C6131" s="1128">
        <v>0</v>
      </c>
      <c r="D6131" s="1128">
        <v>95.33</v>
      </c>
      <c r="E6131" s="1126"/>
    </row>
    <row r="6132" spans="1:5" x14ac:dyDescent="0.2">
      <c r="A6132" s="1126" t="s">
        <v>6714</v>
      </c>
      <c r="B6132" s="1127">
        <v>311</v>
      </c>
      <c r="C6132" s="1128">
        <v>0</v>
      </c>
      <c r="D6132" s="1128">
        <v>20.329999999999998</v>
      </c>
      <c r="E6132" s="1126"/>
    </row>
    <row r="6133" spans="1:5" x14ac:dyDescent="0.2">
      <c r="A6133" s="1126" t="s">
        <v>6715</v>
      </c>
      <c r="B6133" s="1127">
        <v>394</v>
      </c>
      <c r="C6133" s="1128">
        <v>0</v>
      </c>
      <c r="D6133" s="1128">
        <v>100.26</v>
      </c>
      <c r="E6133" s="1126"/>
    </row>
    <row r="6134" spans="1:5" x14ac:dyDescent="0.2">
      <c r="A6134" s="1126" t="s">
        <v>6716</v>
      </c>
      <c r="B6134" s="1127">
        <v>227</v>
      </c>
      <c r="C6134" s="1128">
        <v>0</v>
      </c>
      <c r="D6134" s="1128">
        <v>42.39</v>
      </c>
      <c r="E6134" s="1126"/>
    </row>
    <row r="6135" spans="1:5" x14ac:dyDescent="0.2">
      <c r="A6135" s="1126" t="s">
        <v>6717</v>
      </c>
      <c r="B6135" s="1127">
        <v>286</v>
      </c>
      <c r="C6135" s="1128">
        <v>0</v>
      </c>
      <c r="D6135" s="1128">
        <v>139.76</v>
      </c>
      <c r="E6135" s="1126"/>
    </row>
    <row r="6136" spans="1:5" x14ac:dyDescent="0.2">
      <c r="A6136" s="1126" t="s">
        <v>6718</v>
      </c>
      <c r="B6136" s="1127">
        <v>334</v>
      </c>
      <c r="C6136" s="1128">
        <v>0</v>
      </c>
      <c r="D6136" s="1128">
        <v>29.81</v>
      </c>
      <c r="E6136" s="1126"/>
    </row>
    <row r="6137" spans="1:5" x14ac:dyDescent="0.2">
      <c r="A6137" s="1126" t="s">
        <v>6719</v>
      </c>
      <c r="B6137" s="1127">
        <v>296</v>
      </c>
      <c r="C6137" s="1128">
        <v>0</v>
      </c>
      <c r="D6137" s="1128">
        <v>175.95</v>
      </c>
      <c r="E6137" s="1126"/>
    </row>
    <row r="6138" spans="1:5" x14ac:dyDescent="0.2">
      <c r="A6138" s="1126" t="s">
        <v>6720</v>
      </c>
      <c r="B6138" s="1127">
        <v>547</v>
      </c>
      <c r="C6138" s="1128">
        <v>0</v>
      </c>
      <c r="D6138" s="1128">
        <v>181.63</v>
      </c>
      <c r="E6138" s="1126"/>
    </row>
    <row r="6139" spans="1:5" x14ac:dyDescent="0.2">
      <c r="A6139" s="1126" t="s">
        <v>6721</v>
      </c>
      <c r="B6139" s="1127">
        <v>219</v>
      </c>
      <c r="C6139" s="1128">
        <v>26.94</v>
      </c>
      <c r="D6139" s="1128">
        <v>177.47</v>
      </c>
      <c r="E6139" s="1126"/>
    </row>
    <row r="6140" spans="1:5" x14ac:dyDescent="0.2">
      <c r="A6140" s="1126" t="s">
        <v>6722</v>
      </c>
      <c r="B6140" s="1127">
        <v>260</v>
      </c>
      <c r="C6140" s="1128">
        <v>0</v>
      </c>
      <c r="D6140" s="1128">
        <v>71.3</v>
      </c>
      <c r="E6140" s="1126"/>
    </row>
    <row r="6141" spans="1:5" x14ac:dyDescent="0.2">
      <c r="A6141" s="1126" t="s">
        <v>6723</v>
      </c>
      <c r="B6141" s="1127">
        <v>426</v>
      </c>
      <c r="C6141" s="1128">
        <v>0</v>
      </c>
      <c r="D6141" s="1128">
        <v>36.74</v>
      </c>
      <c r="E6141" s="1126"/>
    </row>
    <row r="6142" spans="1:5" x14ac:dyDescent="0.2">
      <c r="A6142" s="1126" t="s">
        <v>6724</v>
      </c>
      <c r="B6142" s="1127">
        <v>173</v>
      </c>
      <c r="C6142" s="1128">
        <v>69.27</v>
      </c>
      <c r="D6142" s="1128">
        <v>188.19</v>
      </c>
      <c r="E6142" s="1126"/>
    </row>
    <row r="6143" spans="1:5" x14ac:dyDescent="0.2">
      <c r="A6143" s="1126" t="s">
        <v>6725</v>
      </c>
      <c r="B6143" s="1127">
        <v>421</v>
      </c>
      <c r="C6143" s="1128">
        <v>0</v>
      </c>
      <c r="D6143" s="1128">
        <v>171.98</v>
      </c>
      <c r="E6143" s="1126"/>
    </row>
    <row r="6144" spans="1:5" x14ac:dyDescent="0.2">
      <c r="A6144" s="1126" t="s">
        <v>6726</v>
      </c>
      <c r="B6144" s="1127">
        <v>158</v>
      </c>
      <c r="C6144" s="1128">
        <v>0</v>
      </c>
      <c r="D6144" s="1128">
        <v>48.42</v>
      </c>
      <c r="E6144" s="1126"/>
    </row>
    <row r="6145" spans="1:5" x14ac:dyDescent="0.2">
      <c r="A6145" s="1126" t="s">
        <v>6727</v>
      </c>
      <c r="B6145" s="1127">
        <v>126</v>
      </c>
      <c r="C6145" s="1128">
        <v>0</v>
      </c>
      <c r="D6145" s="1128">
        <v>22.63</v>
      </c>
      <c r="E6145" s="1126"/>
    </row>
    <row r="6146" spans="1:5" x14ac:dyDescent="0.2">
      <c r="A6146" s="1126" t="s">
        <v>6728</v>
      </c>
      <c r="B6146" s="1127">
        <v>409</v>
      </c>
      <c r="C6146" s="1128">
        <v>111.79</v>
      </c>
      <c r="D6146" s="1128">
        <v>392.92</v>
      </c>
      <c r="E6146" s="1126"/>
    </row>
    <row r="6147" spans="1:5" x14ac:dyDescent="0.2">
      <c r="A6147" s="1126" t="s">
        <v>6729</v>
      </c>
      <c r="B6147" s="1127">
        <v>496</v>
      </c>
      <c r="C6147" s="1128">
        <v>0</v>
      </c>
      <c r="D6147" s="1128">
        <v>87.22</v>
      </c>
      <c r="E6147" s="1126"/>
    </row>
    <row r="6148" spans="1:5" x14ac:dyDescent="0.2">
      <c r="A6148" s="1126" t="s">
        <v>6730</v>
      </c>
      <c r="B6148" s="1127">
        <v>462</v>
      </c>
      <c r="C6148" s="1128">
        <v>0</v>
      </c>
      <c r="D6148" s="1128">
        <v>71.45</v>
      </c>
      <c r="E6148" s="1126"/>
    </row>
    <row r="6149" spans="1:5" x14ac:dyDescent="0.2">
      <c r="A6149" s="1126" t="s">
        <v>6731</v>
      </c>
      <c r="B6149" s="1127">
        <v>422</v>
      </c>
      <c r="C6149" s="1128">
        <v>0</v>
      </c>
      <c r="D6149" s="1128">
        <v>130.74</v>
      </c>
      <c r="E6149" s="1126"/>
    </row>
    <row r="6150" spans="1:5" x14ac:dyDescent="0.2">
      <c r="A6150" s="1126" t="s">
        <v>6732</v>
      </c>
      <c r="B6150" s="1127">
        <v>746</v>
      </c>
      <c r="C6150" s="1128">
        <v>0</v>
      </c>
      <c r="D6150" s="1128">
        <v>283.02999999999997</v>
      </c>
      <c r="E6150" s="1126"/>
    </row>
    <row r="6151" spans="1:5" x14ac:dyDescent="0.2">
      <c r="A6151" s="1126" t="s">
        <v>6733</v>
      </c>
      <c r="B6151" s="1127">
        <v>440</v>
      </c>
      <c r="C6151" s="1128">
        <v>0</v>
      </c>
      <c r="D6151" s="1128">
        <v>54.9</v>
      </c>
      <c r="E6151" s="1126"/>
    </row>
    <row r="6152" spans="1:5" x14ac:dyDescent="0.2">
      <c r="A6152" s="1126" t="s">
        <v>6734</v>
      </c>
      <c r="B6152" s="1127">
        <v>321</v>
      </c>
      <c r="C6152" s="1128">
        <v>0</v>
      </c>
      <c r="D6152" s="1128">
        <v>147.63</v>
      </c>
      <c r="E6152" s="1126"/>
    </row>
    <row r="6153" spans="1:5" x14ac:dyDescent="0.2">
      <c r="A6153" s="1126" t="s">
        <v>6735</v>
      </c>
      <c r="B6153" s="1127">
        <v>148</v>
      </c>
      <c r="C6153" s="1128">
        <v>37.090000000000003</v>
      </c>
      <c r="D6153" s="1128">
        <v>138.82</v>
      </c>
      <c r="E6153" s="1126"/>
    </row>
    <row r="6154" spans="1:5" x14ac:dyDescent="0.2">
      <c r="A6154" s="1126" t="s">
        <v>6736</v>
      </c>
      <c r="B6154" s="1127">
        <v>393</v>
      </c>
      <c r="C6154" s="1128">
        <v>0</v>
      </c>
      <c r="D6154" s="1128">
        <v>40.61</v>
      </c>
      <c r="E6154" s="1126"/>
    </row>
    <row r="6155" spans="1:5" x14ac:dyDescent="0.2">
      <c r="A6155" s="1126" t="s">
        <v>6737</v>
      </c>
      <c r="B6155" s="1127">
        <v>259</v>
      </c>
      <c r="C6155" s="1128">
        <v>0</v>
      </c>
      <c r="D6155" s="1128">
        <v>101.85</v>
      </c>
      <c r="E6155" s="1126"/>
    </row>
    <row r="6156" spans="1:5" x14ac:dyDescent="0.2">
      <c r="A6156" s="1126" t="s">
        <v>6738</v>
      </c>
      <c r="B6156" s="1127">
        <v>842</v>
      </c>
      <c r="C6156" s="1128">
        <v>0</v>
      </c>
      <c r="D6156" s="1128">
        <v>389.65</v>
      </c>
      <c r="E6156" s="1126"/>
    </row>
    <row r="6157" spans="1:5" x14ac:dyDescent="0.2">
      <c r="A6157" s="1126" t="s">
        <v>6739</v>
      </c>
      <c r="B6157" s="1127">
        <v>769</v>
      </c>
      <c r="C6157" s="1128">
        <v>0</v>
      </c>
      <c r="D6157" s="1128">
        <v>151.03</v>
      </c>
      <c r="E6157" s="1126"/>
    </row>
    <row r="6158" spans="1:5" x14ac:dyDescent="0.2">
      <c r="A6158" s="1126" t="s">
        <v>6740</v>
      </c>
      <c r="B6158" s="1127">
        <v>203</v>
      </c>
      <c r="C6158" s="1128">
        <v>0</v>
      </c>
      <c r="D6158" s="1128">
        <v>43.13</v>
      </c>
      <c r="E6158" s="1126"/>
    </row>
    <row r="6159" spans="1:5" x14ac:dyDescent="0.2">
      <c r="A6159" s="1126" t="s">
        <v>6741</v>
      </c>
      <c r="B6159" s="1127">
        <v>555</v>
      </c>
      <c r="C6159" s="1128">
        <v>0</v>
      </c>
      <c r="D6159" s="1128">
        <v>189.72</v>
      </c>
      <c r="E6159" s="1126"/>
    </row>
    <row r="6160" spans="1:5" x14ac:dyDescent="0.2">
      <c r="A6160" s="1126" t="s">
        <v>6742</v>
      </c>
      <c r="B6160" s="1127">
        <v>165</v>
      </c>
      <c r="C6160" s="1128">
        <v>101.95</v>
      </c>
      <c r="D6160" s="1128">
        <v>215.37</v>
      </c>
      <c r="E6160" s="1126"/>
    </row>
    <row r="6161" spans="1:5" x14ac:dyDescent="0.2">
      <c r="A6161" s="1126" t="s">
        <v>6743</v>
      </c>
      <c r="B6161" s="1127">
        <v>355</v>
      </c>
      <c r="C6161" s="1128">
        <v>0</v>
      </c>
      <c r="D6161" s="1128">
        <v>211.38</v>
      </c>
      <c r="E6161" s="1126"/>
    </row>
    <row r="6162" spans="1:5" x14ac:dyDescent="0.2">
      <c r="A6162" s="1126" t="s">
        <v>6744</v>
      </c>
      <c r="B6162" s="1127">
        <v>519</v>
      </c>
      <c r="C6162" s="1128">
        <v>0</v>
      </c>
      <c r="D6162" s="1128">
        <v>343.99</v>
      </c>
      <c r="E6162" s="1126"/>
    </row>
    <row r="6163" spans="1:5" x14ac:dyDescent="0.2">
      <c r="A6163" s="1126" t="s">
        <v>6745</v>
      </c>
      <c r="B6163" s="1127">
        <v>463</v>
      </c>
      <c r="C6163" s="1128">
        <v>1192.3900000000001</v>
      </c>
      <c r="D6163" s="1128">
        <v>1510.64</v>
      </c>
      <c r="E6163" s="1126"/>
    </row>
    <row r="6164" spans="1:5" x14ac:dyDescent="0.2">
      <c r="A6164" s="1126" t="s">
        <v>6746</v>
      </c>
      <c r="B6164" s="1127">
        <v>1336</v>
      </c>
      <c r="C6164" s="1128">
        <v>0</v>
      </c>
      <c r="D6164" s="1128">
        <v>184</v>
      </c>
      <c r="E6164" s="1126"/>
    </row>
    <row r="6165" spans="1:5" x14ac:dyDescent="0.2">
      <c r="A6165" s="1126" t="s">
        <v>6747</v>
      </c>
      <c r="B6165" s="1127">
        <v>417</v>
      </c>
      <c r="C6165" s="1128">
        <v>1066.6300000000001</v>
      </c>
      <c r="D6165" s="1128">
        <v>1353.26</v>
      </c>
      <c r="E6165" s="1126"/>
    </row>
    <row r="6166" spans="1:5" x14ac:dyDescent="0.2">
      <c r="A6166" s="1126" t="s">
        <v>6748</v>
      </c>
      <c r="B6166" s="1127">
        <v>212</v>
      </c>
      <c r="C6166" s="1128">
        <v>1.76</v>
      </c>
      <c r="D6166" s="1128">
        <v>147.47999999999999</v>
      </c>
      <c r="E6166" s="1126"/>
    </row>
    <row r="6167" spans="1:5" x14ac:dyDescent="0.2">
      <c r="A6167" s="1126" t="s">
        <v>6749</v>
      </c>
      <c r="B6167" s="1127">
        <v>1160</v>
      </c>
      <c r="C6167" s="1128">
        <v>283.58999999999997</v>
      </c>
      <c r="D6167" s="1128">
        <v>1080.93</v>
      </c>
      <c r="E6167" s="1126"/>
    </row>
    <row r="6168" spans="1:5" x14ac:dyDescent="0.2">
      <c r="A6168" s="1126" t="s">
        <v>6750</v>
      </c>
      <c r="B6168" s="1127">
        <v>298</v>
      </c>
      <c r="C6168" s="1128">
        <v>82.58</v>
      </c>
      <c r="D6168" s="1128">
        <v>287.42</v>
      </c>
      <c r="E6168" s="1126"/>
    </row>
    <row r="6169" spans="1:5" x14ac:dyDescent="0.2">
      <c r="A6169" s="1126" t="s">
        <v>6751</v>
      </c>
      <c r="B6169" s="1127">
        <v>202</v>
      </c>
      <c r="C6169" s="1128">
        <v>0</v>
      </c>
      <c r="D6169" s="1128">
        <v>127.62</v>
      </c>
      <c r="E6169" s="1126"/>
    </row>
    <row r="6170" spans="1:5" x14ac:dyDescent="0.2">
      <c r="A6170" s="1126" t="s">
        <v>6752</v>
      </c>
      <c r="B6170" s="1127">
        <v>273</v>
      </c>
      <c r="C6170" s="1128">
        <v>72.31</v>
      </c>
      <c r="D6170" s="1128">
        <v>259.95999999999998</v>
      </c>
      <c r="E6170" s="1126"/>
    </row>
    <row r="6171" spans="1:5" x14ac:dyDescent="0.2">
      <c r="A6171" s="1126" t="s">
        <v>6753</v>
      </c>
      <c r="B6171" s="1127">
        <v>694</v>
      </c>
      <c r="C6171" s="1128">
        <v>0</v>
      </c>
      <c r="D6171" s="1128">
        <v>66.680000000000007</v>
      </c>
      <c r="E6171" s="1126"/>
    </row>
    <row r="6172" spans="1:5" x14ac:dyDescent="0.2">
      <c r="A6172" s="1126" t="s">
        <v>6754</v>
      </c>
      <c r="B6172" s="1127">
        <v>271</v>
      </c>
      <c r="C6172" s="1128">
        <v>0</v>
      </c>
      <c r="D6172" s="1128">
        <v>11.44</v>
      </c>
      <c r="E6172" s="1126"/>
    </row>
    <row r="6173" spans="1:5" x14ac:dyDescent="0.2">
      <c r="A6173" s="1126" t="s">
        <v>6755</v>
      </c>
      <c r="B6173" s="1127">
        <v>393</v>
      </c>
      <c r="C6173" s="1128">
        <v>0</v>
      </c>
      <c r="D6173" s="1128">
        <v>92.24</v>
      </c>
      <c r="E6173" s="1126"/>
    </row>
    <row r="6174" spans="1:5" x14ac:dyDescent="0.2">
      <c r="A6174" s="1126" t="s">
        <v>6756</v>
      </c>
      <c r="B6174" s="1127">
        <v>584</v>
      </c>
      <c r="C6174" s="1128">
        <v>0</v>
      </c>
      <c r="D6174" s="1128">
        <v>179.69</v>
      </c>
      <c r="E6174" s="1126"/>
    </row>
    <row r="6175" spans="1:5" x14ac:dyDescent="0.2">
      <c r="A6175" s="1126" t="s">
        <v>6757</v>
      </c>
      <c r="B6175" s="1127">
        <v>255</v>
      </c>
      <c r="C6175" s="1128">
        <v>129.86000000000001</v>
      </c>
      <c r="D6175" s="1128">
        <v>305.13</v>
      </c>
      <c r="E6175" s="1126"/>
    </row>
    <row r="6176" spans="1:5" x14ac:dyDescent="0.2">
      <c r="A6176" s="1126" t="s">
        <v>6758</v>
      </c>
      <c r="B6176" s="1127">
        <v>476</v>
      </c>
      <c r="C6176" s="1128">
        <v>0</v>
      </c>
      <c r="D6176" s="1128">
        <v>315.32</v>
      </c>
      <c r="E6176" s="1126"/>
    </row>
    <row r="6177" spans="1:5" x14ac:dyDescent="0.2">
      <c r="A6177" s="1126" t="s">
        <v>6759</v>
      </c>
      <c r="B6177" s="1127">
        <v>418</v>
      </c>
      <c r="C6177" s="1128">
        <v>20</v>
      </c>
      <c r="D6177" s="1128">
        <v>307.32</v>
      </c>
      <c r="E6177" s="1126"/>
    </row>
    <row r="6178" spans="1:5" x14ac:dyDescent="0.2">
      <c r="A6178" s="1126" t="s">
        <v>6760</v>
      </c>
      <c r="B6178" s="1127">
        <v>685</v>
      </c>
      <c r="C6178" s="1128">
        <v>63.68</v>
      </c>
      <c r="D6178" s="1128">
        <v>534.53</v>
      </c>
      <c r="E6178" s="1126"/>
    </row>
    <row r="6179" spans="1:5" x14ac:dyDescent="0.2">
      <c r="A6179" s="1126" t="s">
        <v>6761</v>
      </c>
      <c r="B6179" s="1127">
        <v>277</v>
      </c>
      <c r="C6179" s="1128">
        <v>75.94</v>
      </c>
      <c r="D6179" s="1128">
        <v>266.33999999999997</v>
      </c>
      <c r="E6179" s="1126"/>
    </row>
    <row r="6180" spans="1:5" x14ac:dyDescent="0.2">
      <c r="A6180" s="1126" t="s">
        <v>6762</v>
      </c>
      <c r="B6180" s="1127">
        <v>465</v>
      </c>
      <c r="C6180" s="1128">
        <v>0</v>
      </c>
      <c r="D6180" s="1128">
        <v>91.62</v>
      </c>
      <c r="E6180" s="1126"/>
    </row>
    <row r="6181" spans="1:5" x14ac:dyDescent="0.2">
      <c r="A6181" s="1126" t="s">
        <v>6763</v>
      </c>
      <c r="B6181" s="1127">
        <v>225</v>
      </c>
      <c r="C6181" s="1128">
        <v>0</v>
      </c>
      <c r="D6181" s="1128">
        <v>68.959999999999994</v>
      </c>
      <c r="E6181" s="1126"/>
    </row>
    <row r="6182" spans="1:5" x14ac:dyDescent="0.2">
      <c r="A6182" s="1126" t="s">
        <v>6764</v>
      </c>
      <c r="B6182" s="1127">
        <v>306</v>
      </c>
      <c r="C6182" s="1128">
        <v>63.36</v>
      </c>
      <c r="D6182" s="1128">
        <v>273.7</v>
      </c>
      <c r="E6182" s="1126"/>
    </row>
    <row r="6183" spans="1:5" x14ac:dyDescent="0.2">
      <c r="A6183" s="1126" t="s">
        <v>6765</v>
      </c>
      <c r="B6183" s="1127">
        <v>350</v>
      </c>
      <c r="C6183" s="1128">
        <v>29.41</v>
      </c>
      <c r="D6183" s="1128">
        <v>269.99</v>
      </c>
      <c r="E6183" s="1126"/>
    </row>
    <row r="6184" spans="1:5" x14ac:dyDescent="0.2">
      <c r="A6184" s="1126" t="s">
        <v>6766</v>
      </c>
      <c r="B6184" s="1127">
        <v>601</v>
      </c>
      <c r="C6184" s="1128">
        <v>0</v>
      </c>
      <c r="D6184" s="1128">
        <v>279.45999999999998</v>
      </c>
      <c r="E6184" s="1126"/>
    </row>
    <row r="6185" spans="1:5" x14ac:dyDescent="0.2">
      <c r="A6185" s="1126" t="s">
        <v>6767</v>
      </c>
      <c r="B6185" s="1127">
        <v>609</v>
      </c>
      <c r="C6185" s="1128">
        <v>0</v>
      </c>
      <c r="D6185" s="1128">
        <v>180.31</v>
      </c>
      <c r="E6185" s="1126"/>
    </row>
    <row r="6186" spans="1:5" x14ac:dyDescent="0.2">
      <c r="A6186" s="1126" t="s">
        <v>6768</v>
      </c>
      <c r="B6186" s="1127">
        <v>371</v>
      </c>
      <c r="C6186" s="1128">
        <v>43.79</v>
      </c>
      <c r="D6186" s="1128">
        <v>298.8</v>
      </c>
      <c r="E6186" s="1126"/>
    </row>
    <row r="6187" spans="1:5" x14ac:dyDescent="0.2">
      <c r="A6187" s="1126" t="s">
        <v>6769</v>
      </c>
      <c r="B6187" s="1127">
        <v>63</v>
      </c>
      <c r="C6187" s="1128">
        <v>79.41</v>
      </c>
      <c r="D6187" s="1128">
        <v>122.71</v>
      </c>
      <c r="E6187" s="1126"/>
    </row>
    <row r="6188" spans="1:5" x14ac:dyDescent="0.2">
      <c r="A6188" s="1126" t="s">
        <v>6770</v>
      </c>
      <c r="B6188" s="1127">
        <v>442</v>
      </c>
      <c r="C6188" s="1128">
        <v>0</v>
      </c>
      <c r="D6188" s="1128">
        <v>42.39</v>
      </c>
      <c r="E6188" s="1126"/>
    </row>
    <row r="6189" spans="1:5" x14ac:dyDescent="0.2">
      <c r="A6189" s="1126" t="s">
        <v>6771</v>
      </c>
      <c r="B6189" s="1127">
        <v>493</v>
      </c>
      <c r="C6189" s="1128">
        <v>0</v>
      </c>
      <c r="D6189" s="1128">
        <v>78.290000000000006</v>
      </c>
      <c r="E6189" s="1126"/>
    </row>
    <row r="6190" spans="1:5" x14ac:dyDescent="0.2">
      <c r="A6190" s="1126" t="s">
        <v>6772</v>
      </c>
      <c r="B6190" s="1127">
        <v>364</v>
      </c>
      <c r="C6190" s="1128">
        <v>0</v>
      </c>
      <c r="D6190" s="1128">
        <v>61.88</v>
      </c>
      <c r="E6190" s="1126"/>
    </row>
    <row r="6191" spans="1:5" x14ac:dyDescent="0.2">
      <c r="A6191" s="1126" t="s">
        <v>6773</v>
      </c>
      <c r="B6191" s="1127">
        <v>223</v>
      </c>
      <c r="C6191" s="1128">
        <v>559.03</v>
      </c>
      <c r="D6191" s="1128">
        <v>712.32</v>
      </c>
      <c r="E6191" s="1126"/>
    </row>
    <row r="6192" spans="1:5" x14ac:dyDescent="0.2">
      <c r="A6192" s="1126" t="s">
        <v>6774</v>
      </c>
      <c r="B6192" s="1127">
        <v>381</v>
      </c>
      <c r="C6192" s="1128">
        <v>0</v>
      </c>
      <c r="D6192" s="1128">
        <v>166.94</v>
      </c>
      <c r="E6192" s="1126"/>
    </row>
    <row r="6193" spans="1:5" x14ac:dyDescent="0.2">
      <c r="A6193" s="1126" t="s">
        <v>6775</v>
      </c>
      <c r="B6193" s="1127">
        <v>413</v>
      </c>
      <c r="C6193" s="1128">
        <v>0</v>
      </c>
      <c r="D6193" s="1128">
        <v>191.09</v>
      </c>
      <c r="E6193" s="1126"/>
    </row>
    <row r="6194" spans="1:5" x14ac:dyDescent="0.2">
      <c r="A6194" s="1126" t="s">
        <v>6776</v>
      </c>
      <c r="B6194" s="1127">
        <v>376</v>
      </c>
      <c r="C6194" s="1128">
        <v>0</v>
      </c>
      <c r="D6194" s="1128">
        <v>59.78</v>
      </c>
      <c r="E6194" s="1126"/>
    </row>
    <row r="6195" spans="1:5" x14ac:dyDescent="0.2">
      <c r="A6195" s="1126" t="s">
        <v>6777</v>
      </c>
      <c r="B6195" s="1127">
        <v>575</v>
      </c>
      <c r="C6195" s="1128">
        <v>0</v>
      </c>
      <c r="D6195" s="1128">
        <v>40.229999999999997</v>
      </c>
      <c r="E6195" s="1126"/>
    </row>
    <row r="6196" spans="1:5" x14ac:dyDescent="0.2">
      <c r="A6196" s="1126" t="s">
        <v>6778</v>
      </c>
      <c r="B6196" s="1127">
        <v>250</v>
      </c>
      <c r="C6196" s="1128">
        <v>0</v>
      </c>
      <c r="D6196" s="1128">
        <v>68.17</v>
      </c>
      <c r="E6196" s="1126"/>
    </row>
    <row r="6197" spans="1:5" x14ac:dyDescent="0.2">
      <c r="A6197" s="1126" t="s">
        <v>6779</v>
      </c>
      <c r="B6197" s="1127">
        <v>357</v>
      </c>
      <c r="C6197" s="1128">
        <v>0</v>
      </c>
      <c r="D6197" s="1128">
        <v>159.30000000000001</v>
      </c>
      <c r="E6197" s="1126"/>
    </row>
    <row r="6198" spans="1:5" x14ac:dyDescent="0.2">
      <c r="A6198" s="1126" t="s">
        <v>6780</v>
      </c>
      <c r="B6198" s="1127">
        <v>212</v>
      </c>
      <c r="C6198" s="1128">
        <v>0</v>
      </c>
      <c r="D6198" s="1128">
        <v>60.21</v>
      </c>
      <c r="E6198" s="1126"/>
    </row>
    <row r="6199" spans="1:5" x14ac:dyDescent="0.2">
      <c r="A6199" s="1126" t="s">
        <v>6781</v>
      </c>
      <c r="B6199" s="1127">
        <v>261</v>
      </c>
      <c r="C6199" s="1128">
        <v>0</v>
      </c>
      <c r="D6199" s="1128">
        <v>4.3899999999999997</v>
      </c>
      <c r="E6199" s="1126"/>
    </row>
    <row r="6200" spans="1:5" x14ac:dyDescent="0.2">
      <c r="A6200" s="1126" t="s">
        <v>6782</v>
      </c>
      <c r="B6200" s="1127">
        <v>931</v>
      </c>
      <c r="C6200" s="1128">
        <v>0</v>
      </c>
      <c r="D6200" s="1128">
        <v>89.6</v>
      </c>
      <c r="E6200" s="1126"/>
    </row>
    <row r="6201" spans="1:5" x14ac:dyDescent="0.2">
      <c r="A6201" s="1126" t="s">
        <v>6783</v>
      </c>
      <c r="B6201" s="1127">
        <v>456</v>
      </c>
      <c r="C6201" s="1128">
        <v>0</v>
      </c>
      <c r="D6201" s="1128">
        <v>45.41</v>
      </c>
      <c r="E6201" s="1126"/>
    </row>
    <row r="6202" spans="1:5" x14ac:dyDescent="0.2">
      <c r="A6202" s="1126" t="s">
        <v>6784</v>
      </c>
      <c r="B6202" s="1127">
        <v>348</v>
      </c>
      <c r="C6202" s="1128">
        <v>0</v>
      </c>
      <c r="D6202" s="1128">
        <v>78.13</v>
      </c>
      <c r="E6202" s="1126"/>
    </row>
    <row r="6203" spans="1:5" x14ac:dyDescent="0.2">
      <c r="A6203" s="1126" t="s">
        <v>6785</v>
      </c>
      <c r="B6203" s="1127">
        <v>210</v>
      </c>
      <c r="C6203" s="1128">
        <v>0</v>
      </c>
      <c r="D6203" s="1128">
        <v>0</v>
      </c>
      <c r="E6203" s="1126"/>
    </row>
    <row r="6204" spans="1:5" x14ac:dyDescent="0.2">
      <c r="A6204" s="1126" t="s">
        <v>6786</v>
      </c>
      <c r="B6204" s="1127">
        <v>572</v>
      </c>
      <c r="C6204" s="1128">
        <v>0</v>
      </c>
      <c r="D6204" s="1128">
        <v>329.02</v>
      </c>
      <c r="E6204" s="1126"/>
    </row>
    <row r="6205" spans="1:5" x14ac:dyDescent="0.2">
      <c r="A6205" s="1126" t="s">
        <v>6787</v>
      </c>
      <c r="B6205" s="1127">
        <v>386</v>
      </c>
      <c r="C6205" s="1128">
        <v>217.97</v>
      </c>
      <c r="D6205" s="1128">
        <v>483.29</v>
      </c>
      <c r="E6205" s="1126"/>
    </row>
    <row r="6206" spans="1:5" x14ac:dyDescent="0.2">
      <c r="A6206" s="1126" t="s">
        <v>6788</v>
      </c>
      <c r="B6206" s="1127">
        <v>415</v>
      </c>
      <c r="C6206" s="1128">
        <v>4.05</v>
      </c>
      <c r="D6206" s="1128">
        <v>289.31</v>
      </c>
      <c r="E6206" s="1126"/>
    </row>
    <row r="6207" spans="1:5" x14ac:dyDescent="0.2">
      <c r="A6207" s="1126" t="s">
        <v>6789</v>
      </c>
      <c r="B6207" s="1127">
        <v>253</v>
      </c>
      <c r="C6207" s="1128">
        <v>0</v>
      </c>
      <c r="D6207" s="1128">
        <v>14.79</v>
      </c>
      <c r="E6207" s="1126"/>
    </row>
    <row r="6208" spans="1:5" x14ac:dyDescent="0.2">
      <c r="A6208" s="1126" t="s">
        <v>6790</v>
      </c>
      <c r="B6208" s="1127">
        <v>400</v>
      </c>
      <c r="C6208" s="1128">
        <v>0</v>
      </c>
      <c r="D6208" s="1128">
        <v>47.98</v>
      </c>
      <c r="E6208" s="1126"/>
    </row>
    <row r="6209" spans="1:5" x14ac:dyDescent="0.2">
      <c r="A6209" s="1126" t="s">
        <v>6791</v>
      </c>
      <c r="B6209" s="1127">
        <v>359</v>
      </c>
      <c r="C6209" s="1128">
        <v>159.44999999999999</v>
      </c>
      <c r="D6209" s="1128">
        <v>406.21</v>
      </c>
      <c r="E6209" s="1126"/>
    </row>
    <row r="6210" spans="1:5" x14ac:dyDescent="0.2">
      <c r="A6210" s="1126" t="s">
        <v>6792</v>
      </c>
      <c r="B6210" s="1127">
        <v>726</v>
      </c>
      <c r="C6210" s="1128">
        <v>0</v>
      </c>
      <c r="D6210" s="1128">
        <v>65.73</v>
      </c>
      <c r="E6210" s="1126"/>
    </row>
    <row r="6211" spans="1:5" x14ac:dyDescent="0.2">
      <c r="A6211" s="1126" t="s">
        <v>6793</v>
      </c>
      <c r="B6211" s="1127">
        <v>457</v>
      </c>
      <c r="C6211" s="1128">
        <v>0</v>
      </c>
      <c r="D6211" s="1128">
        <v>245.46</v>
      </c>
      <c r="E6211" s="1126"/>
    </row>
    <row r="6212" spans="1:5" x14ac:dyDescent="0.2">
      <c r="A6212" s="1126" t="s">
        <v>6794</v>
      </c>
      <c r="B6212" s="1127">
        <v>140</v>
      </c>
      <c r="C6212" s="1128">
        <v>514.73</v>
      </c>
      <c r="D6212" s="1128">
        <v>610.96</v>
      </c>
      <c r="E6212" s="1126"/>
    </row>
    <row r="6213" spans="1:5" x14ac:dyDescent="0.2">
      <c r="A6213" s="1126" t="s">
        <v>6795</v>
      </c>
      <c r="B6213" s="1127">
        <v>537</v>
      </c>
      <c r="C6213" s="1128">
        <v>1275.3900000000001</v>
      </c>
      <c r="D6213" s="1128">
        <v>1644.5</v>
      </c>
      <c r="E6213" s="1126"/>
    </row>
    <row r="6214" spans="1:5" x14ac:dyDescent="0.2">
      <c r="A6214" s="1126" t="s">
        <v>6796</v>
      </c>
      <c r="B6214" s="1127">
        <v>513</v>
      </c>
      <c r="C6214" s="1128">
        <v>0</v>
      </c>
      <c r="D6214" s="1128">
        <v>43.32</v>
      </c>
      <c r="E6214" s="1126"/>
    </row>
    <row r="6215" spans="1:5" x14ac:dyDescent="0.2">
      <c r="A6215" s="1126" t="s">
        <v>6797</v>
      </c>
      <c r="B6215" s="1127">
        <v>456</v>
      </c>
      <c r="C6215" s="1128">
        <v>0</v>
      </c>
      <c r="D6215" s="1128">
        <v>70.61</v>
      </c>
      <c r="E6215" s="1126"/>
    </row>
    <row r="6216" spans="1:5" x14ac:dyDescent="0.2">
      <c r="A6216" s="1126" t="s">
        <v>6798</v>
      </c>
      <c r="B6216" s="1127">
        <v>248</v>
      </c>
      <c r="C6216" s="1128">
        <v>0</v>
      </c>
      <c r="D6216" s="1128">
        <v>4.63</v>
      </c>
      <c r="E6216" s="1126"/>
    </row>
    <row r="6217" spans="1:5" x14ac:dyDescent="0.2">
      <c r="A6217" s="1126" t="s">
        <v>6799</v>
      </c>
      <c r="B6217" s="1127">
        <v>65</v>
      </c>
      <c r="C6217" s="1128">
        <v>86.9</v>
      </c>
      <c r="D6217" s="1128">
        <v>131.58000000000001</v>
      </c>
      <c r="E6217" s="1126"/>
    </row>
    <row r="6218" spans="1:5" x14ac:dyDescent="0.2">
      <c r="A6218" s="1126" t="s">
        <v>6800</v>
      </c>
      <c r="B6218" s="1127">
        <v>661</v>
      </c>
      <c r="C6218" s="1128">
        <v>0</v>
      </c>
      <c r="D6218" s="1128">
        <v>54.9</v>
      </c>
      <c r="E6218" s="1126"/>
    </row>
    <row r="6219" spans="1:5" x14ac:dyDescent="0.2">
      <c r="A6219" s="1126" t="s">
        <v>6801</v>
      </c>
      <c r="B6219" s="1127">
        <v>269</v>
      </c>
      <c r="C6219" s="1128">
        <v>192.42</v>
      </c>
      <c r="D6219" s="1128">
        <v>377.32</v>
      </c>
      <c r="E6219" s="1126"/>
    </row>
    <row r="6220" spans="1:5" x14ac:dyDescent="0.2">
      <c r="A6220" s="1126" t="s">
        <v>6802</v>
      </c>
      <c r="B6220" s="1127">
        <v>488</v>
      </c>
      <c r="C6220" s="1128">
        <v>53.07</v>
      </c>
      <c r="D6220" s="1128">
        <v>388.5</v>
      </c>
      <c r="E6220" s="1126"/>
    </row>
    <row r="6221" spans="1:5" x14ac:dyDescent="0.2">
      <c r="A6221" s="1126" t="s">
        <v>6803</v>
      </c>
      <c r="B6221" s="1127">
        <v>219</v>
      </c>
      <c r="C6221" s="1128">
        <v>0</v>
      </c>
      <c r="D6221" s="1128">
        <v>145.12</v>
      </c>
      <c r="E6221" s="1126"/>
    </row>
    <row r="6222" spans="1:5" x14ac:dyDescent="0.2">
      <c r="A6222" s="1126" t="s">
        <v>6804</v>
      </c>
      <c r="B6222" s="1127">
        <v>384</v>
      </c>
      <c r="C6222" s="1128">
        <v>0</v>
      </c>
      <c r="D6222" s="1128">
        <v>32.630000000000003</v>
      </c>
      <c r="E6222" s="1126"/>
    </row>
    <row r="6223" spans="1:5" x14ac:dyDescent="0.2">
      <c r="A6223" s="1126" t="s">
        <v>6805</v>
      </c>
      <c r="B6223" s="1127">
        <v>400</v>
      </c>
      <c r="C6223" s="1128">
        <v>0</v>
      </c>
      <c r="D6223" s="1128">
        <v>62.38</v>
      </c>
      <c r="E6223" s="1126"/>
    </row>
    <row r="6224" spans="1:5" x14ac:dyDescent="0.2">
      <c r="A6224" s="1126" t="s">
        <v>6806</v>
      </c>
      <c r="B6224" s="1127">
        <v>219</v>
      </c>
      <c r="C6224" s="1128">
        <v>0</v>
      </c>
      <c r="D6224" s="1128">
        <v>28.83</v>
      </c>
      <c r="E6224" s="1126"/>
    </row>
    <row r="6225" spans="1:5" x14ac:dyDescent="0.2">
      <c r="A6225" s="1126" t="s">
        <v>6807</v>
      </c>
      <c r="B6225" s="1127">
        <v>439</v>
      </c>
      <c r="C6225" s="1128">
        <v>0</v>
      </c>
      <c r="D6225" s="1128">
        <v>202.59</v>
      </c>
      <c r="E6225" s="1126"/>
    </row>
    <row r="6226" spans="1:5" x14ac:dyDescent="0.2">
      <c r="A6226" s="1126" t="s">
        <v>6808</v>
      </c>
      <c r="B6226" s="1127">
        <v>451</v>
      </c>
      <c r="C6226" s="1128">
        <v>0</v>
      </c>
      <c r="D6226" s="1128">
        <v>216.94</v>
      </c>
      <c r="E6226" s="1126"/>
    </row>
    <row r="6227" spans="1:5" x14ac:dyDescent="0.2">
      <c r="A6227" s="1126" t="s">
        <v>6809</v>
      </c>
      <c r="B6227" s="1127">
        <v>300</v>
      </c>
      <c r="C6227" s="1128">
        <v>0</v>
      </c>
      <c r="D6227" s="1128">
        <v>53.74</v>
      </c>
      <c r="E6227" s="1126"/>
    </row>
    <row r="6228" spans="1:5" x14ac:dyDescent="0.2">
      <c r="A6228" s="1126" t="s">
        <v>6810</v>
      </c>
      <c r="B6228" s="1127">
        <v>237</v>
      </c>
      <c r="C6228" s="1128">
        <v>0</v>
      </c>
      <c r="D6228" s="1128">
        <v>68.62</v>
      </c>
      <c r="E6228" s="1126"/>
    </row>
    <row r="6229" spans="1:5" x14ac:dyDescent="0.2">
      <c r="A6229" s="1126" t="s">
        <v>6811</v>
      </c>
      <c r="B6229" s="1127">
        <v>199</v>
      </c>
      <c r="C6229" s="1128">
        <v>0</v>
      </c>
      <c r="D6229" s="1128">
        <v>75.099999999999994</v>
      </c>
      <c r="E6229" s="1126"/>
    </row>
    <row r="6230" spans="1:5" x14ac:dyDescent="0.2">
      <c r="A6230" s="1126" t="s">
        <v>6812</v>
      </c>
      <c r="B6230" s="1127">
        <v>56</v>
      </c>
      <c r="C6230" s="1128">
        <v>0</v>
      </c>
      <c r="D6230" s="1128">
        <v>0</v>
      </c>
      <c r="E6230" s="1126"/>
    </row>
    <row r="6231" spans="1:5" x14ac:dyDescent="0.2">
      <c r="A6231" s="1126" t="s">
        <v>6813</v>
      </c>
      <c r="B6231" s="1127">
        <v>155</v>
      </c>
      <c r="C6231" s="1128">
        <v>307.73</v>
      </c>
      <c r="D6231" s="1128">
        <v>414.28</v>
      </c>
      <c r="E6231" s="1126"/>
    </row>
    <row r="6232" spans="1:5" x14ac:dyDescent="0.2">
      <c r="A6232" s="1126" t="s">
        <v>6814</v>
      </c>
      <c r="B6232" s="1127">
        <v>76</v>
      </c>
      <c r="C6232" s="1128">
        <v>67.459999999999994</v>
      </c>
      <c r="D6232" s="1128">
        <v>119.7</v>
      </c>
      <c r="E6232" s="1126"/>
    </row>
    <row r="6233" spans="1:5" x14ac:dyDescent="0.2">
      <c r="A6233" s="1126" t="s">
        <v>6815</v>
      </c>
      <c r="B6233" s="1127">
        <v>63</v>
      </c>
      <c r="C6233" s="1128">
        <v>0</v>
      </c>
      <c r="D6233" s="1128">
        <v>0</v>
      </c>
      <c r="E6233" s="1126"/>
    </row>
    <row r="6234" spans="1:5" x14ac:dyDescent="0.2">
      <c r="A6234" s="1126" t="s">
        <v>6816</v>
      </c>
      <c r="B6234" s="1127">
        <v>309</v>
      </c>
      <c r="C6234" s="1128">
        <v>0</v>
      </c>
      <c r="D6234" s="1128">
        <v>107.93</v>
      </c>
      <c r="E6234" s="1126"/>
    </row>
    <row r="6235" spans="1:5" x14ac:dyDescent="0.2">
      <c r="A6235" s="1126" t="s">
        <v>6817</v>
      </c>
      <c r="B6235" s="1127">
        <v>87</v>
      </c>
      <c r="C6235" s="1128">
        <v>0</v>
      </c>
      <c r="D6235" s="1128">
        <v>5.0199999999999996</v>
      </c>
      <c r="E6235" s="1126"/>
    </row>
    <row r="6236" spans="1:5" x14ac:dyDescent="0.2">
      <c r="A6236" s="1126" t="s">
        <v>6818</v>
      </c>
      <c r="B6236" s="1127">
        <v>98</v>
      </c>
      <c r="C6236" s="1128">
        <v>17.53</v>
      </c>
      <c r="D6236" s="1128">
        <v>84.89</v>
      </c>
      <c r="E6236" s="1126"/>
    </row>
    <row r="6237" spans="1:5" x14ac:dyDescent="0.2">
      <c r="A6237" s="1126" t="s">
        <v>6819</v>
      </c>
      <c r="B6237" s="1127">
        <v>74</v>
      </c>
      <c r="C6237" s="1128">
        <v>0</v>
      </c>
      <c r="D6237" s="1128">
        <v>28.99</v>
      </c>
      <c r="E6237" s="1126"/>
    </row>
    <row r="6238" spans="1:5" x14ac:dyDescent="0.2">
      <c r="A6238" s="1126" t="s">
        <v>6820</v>
      </c>
      <c r="B6238" s="1127">
        <v>303</v>
      </c>
      <c r="C6238" s="1128">
        <v>0</v>
      </c>
      <c r="D6238" s="1128">
        <v>186.85</v>
      </c>
      <c r="E6238" s="1126"/>
    </row>
    <row r="6239" spans="1:5" x14ac:dyDescent="0.2">
      <c r="A6239" s="1126" t="s">
        <v>6821</v>
      </c>
      <c r="B6239" s="1127">
        <v>642</v>
      </c>
      <c r="C6239" s="1128">
        <v>140.59</v>
      </c>
      <c r="D6239" s="1128">
        <v>581.87</v>
      </c>
      <c r="E6239" s="1126"/>
    </row>
    <row r="6240" spans="1:5" x14ac:dyDescent="0.2">
      <c r="A6240" s="1126" t="s">
        <v>6822</v>
      </c>
      <c r="B6240" s="1127">
        <v>298</v>
      </c>
      <c r="C6240" s="1128">
        <v>532.19000000000005</v>
      </c>
      <c r="D6240" s="1128">
        <v>737.02</v>
      </c>
      <c r="E6240" s="1126"/>
    </row>
    <row r="6241" spans="1:5" x14ac:dyDescent="0.2">
      <c r="A6241" s="1126" t="s">
        <v>6823</v>
      </c>
      <c r="B6241" s="1127">
        <v>132</v>
      </c>
      <c r="C6241" s="1128">
        <v>20.04</v>
      </c>
      <c r="D6241" s="1128">
        <v>110.78</v>
      </c>
      <c r="E6241" s="1126"/>
    </row>
    <row r="6242" spans="1:5" x14ac:dyDescent="0.2">
      <c r="A6242" s="1126" t="s">
        <v>6824</v>
      </c>
      <c r="B6242" s="1127">
        <v>285</v>
      </c>
      <c r="C6242" s="1128">
        <v>0</v>
      </c>
      <c r="D6242" s="1128">
        <v>83.49</v>
      </c>
      <c r="E6242" s="1126"/>
    </row>
    <row r="6243" spans="1:5" x14ac:dyDescent="0.2">
      <c r="A6243" s="1126" t="s">
        <v>6825</v>
      </c>
      <c r="B6243" s="1127">
        <v>351</v>
      </c>
      <c r="C6243" s="1128">
        <v>0</v>
      </c>
      <c r="D6243" s="1128">
        <v>34.49</v>
      </c>
      <c r="E6243" s="1126"/>
    </row>
    <row r="6244" spans="1:5" x14ac:dyDescent="0.2">
      <c r="A6244" s="1126" t="s">
        <v>6826</v>
      </c>
      <c r="B6244" s="1127">
        <v>428</v>
      </c>
      <c r="C6244" s="1128">
        <v>0</v>
      </c>
      <c r="D6244" s="1128">
        <v>86.11</v>
      </c>
      <c r="E6244" s="1126"/>
    </row>
    <row r="6245" spans="1:5" x14ac:dyDescent="0.2">
      <c r="A6245" s="1126" t="s">
        <v>6827</v>
      </c>
      <c r="B6245" s="1127">
        <v>474</v>
      </c>
      <c r="C6245" s="1128">
        <v>0</v>
      </c>
      <c r="D6245" s="1128">
        <v>281.52999999999997</v>
      </c>
      <c r="E6245" s="1126"/>
    </row>
    <row r="6246" spans="1:5" x14ac:dyDescent="0.2">
      <c r="A6246" s="1126" t="s">
        <v>6828</v>
      </c>
      <c r="B6246" s="1127">
        <v>315</v>
      </c>
      <c r="C6246" s="1128">
        <v>115.13</v>
      </c>
      <c r="D6246" s="1128">
        <v>331.65</v>
      </c>
      <c r="E6246" s="1126"/>
    </row>
    <row r="6247" spans="1:5" x14ac:dyDescent="0.2">
      <c r="A6247" s="1126" t="s">
        <v>6829</v>
      </c>
      <c r="B6247" s="1127">
        <v>165</v>
      </c>
      <c r="C6247" s="1128">
        <v>0</v>
      </c>
      <c r="D6247" s="1128">
        <v>26.74</v>
      </c>
      <c r="E6247" s="1126"/>
    </row>
    <row r="6248" spans="1:5" x14ac:dyDescent="0.2">
      <c r="A6248" s="1126" t="s">
        <v>6830</v>
      </c>
      <c r="B6248" s="1127">
        <v>397</v>
      </c>
      <c r="C6248" s="1128">
        <v>0</v>
      </c>
      <c r="D6248" s="1128">
        <v>217.9</v>
      </c>
      <c r="E6248" s="1126"/>
    </row>
    <row r="6249" spans="1:5" x14ac:dyDescent="0.2">
      <c r="A6249" s="1126" t="s">
        <v>6831</v>
      </c>
      <c r="B6249" s="1127">
        <v>601</v>
      </c>
      <c r="C6249" s="1128">
        <v>0</v>
      </c>
      <c r="D6249" s="1128">
        <v>106.13</v>
      </c>
      <c r="E6249" s="1126"/>
    </row>
    <row r="6250" spans="1:5" x14ac:dyDescent="0.2">
      <c r="A6250" s="1126" t="s">
        <v>6832</v>
      </c>
      <c r="B6250" s="1127">
        <v>248</v>
      </c>
      <c r="C6250" s="1128">
        <v>0</v>
      </c>
      <c r="D6250" s="1128">
        <v>17.18</v>
      </c>
      <c r="E6250" s="1126"/>
    </row>
    <row r="6251" spans="1:5" x14ac:dyDescent="0.2">
      <c r="A6251" s="1126" t="s">
        <v>6833</v>
      </c>
      <c r="B6251" s="1127">
        <v>282</v>
      </c>
      <c r="C6251" s="1128">
        <v>0</v>
      </c>
      <c r="D6251" s="1128">
        <v>57.46</v>
      </c>
      <c r="E6251" s="1126"/>
    </row>
    <row r="6252" spans="1:5" x14ac:dyDescent="0.2">
      <c r="A6252" s="1126" t="s">
        <v>6834</v>
      </c>
      <c r="B6252" s="1127">
        <v>423</v>
      </c>
      <c r="C6252" s="1128">
        <v>0</v>
      </c>
      <c r="D6252" s="1128">
        <v>285.14999999999998</v>
      </c>
      <c r="E6252" s="1126"/>
    </row>
    <row r="6253" spans="1:5" x14ac:dyDescent="0.2">
      <c r="A6253" s="1126" t="s">
        <v>6835</v>
      </c>
      <c r="B6253" s="1127">
        <v>366</v>
      </c>
      <c r="C6253" s="1128">
        <v>0</v>
      </c>
      <c r="D6253" s="1128">
        <v>112.96</v>
      </c>
      <c r="E6253" s="1126"/>
    </row>
    <row r="6254" spans="1:5" x14ac:dyDescent="0.2">
      <c r="A6254" s="1126" t="s">
        <v>6836</v>
      </c>
      <c r="B6254" s="1127">
        <v>440</v>
      </c>
      <c r="C6254" s="1128">
        <v>0</v>
      </c>
      <c r="D6254" s="1128">
        <v>298.67</v>
      </c>
      <c r="E6254" s="1126"/>
    </row>
    <row r="6255" spans="1:5" x14ac:dyDescent="0.2">
      <c r="A6255" s="1126" t="s">
        <v>6837</v>
      </c>
      <c r="B6255" s="1127">
        <v>296</v>
      </c>
      <c r="C6255" s="1128">
        <v>554.39</v>
      </c>
      <c r="D6255" s="1128">
        <v>757.85</v>
      </c>
      <c r="E6255" s="1126"/>
    </row>
    <row r="6256" spans="1:5" x14ac:dyDescent="0.2">
      <c r="A6256" s="1126" t="s">
        <v>6838</v>
      </c>
      <c r="B6256" s="1127">
        <v>655</v>
      </c>
      <c r="C6256" s="1128">
        <v>0</v>
      </c>
      <c r="D6256" s="1128">
        <v>272.95999999999998</v>
      </c>
      <c r="E6256" s="1126"/>
    </row>
    <row r="6257" spans="1:5" x14ac:dyDescent="0.2">
      <c r="A6257" s="1126" t="s">
        <v>6839</v>
      </c>
      <c r="B6257" s="1127">
        <v>212</v>
      </c>
      <c r="C6257" s="1128">
        <v>48.81</v>
      </c>
      <c r="D6257" s="1128">
        <v>194.53</v>
      </c>
      <c r="E6257" s="1126"/>
    </row>
    <row r="6258" spans="1:5" x14ac:dyDescent="0.2">
      <c r="A6258" s="1126" t="s">
        <v>6840</v>
      </c>
      <c r="B6258" s="1127">
        <v>310</v>
      </c>
      <c r="C6258" s="1128">
        <v>27.56</v>
      </c>
      <c r="D6258" s="1128">
        <v>240.64</v>
      </c>
      <c r="E6258" s="1126"/>
    </row>
    <row r="6259" spans="1:5" x14ac:dyDescent="0.2">
      <c r="A6259" s="1126" t="s">
        <v>6841</v>
      </c>
      <c r="B6259" s="1127">
        <v>256</v>
      </c>
      <c r="C6259" s="1128">
        <v>0</v>
      </c>
      <c r="D6259" s="1128">
        <v>118.87</v>
      </c>
      <c r="E6259" s="1126"/>
    </row>
    <row r="6260" spans="1:5" x14ac:dyDescent="0.2">
      <c r="A6260" s="1126" t="s">
        <v>6842</v>
      </c>
      <c r="B6260" s="1127">
        <v>194</v>
      </c>
      <c r="C6260" s="1128">
        <v>671.37</v>
      </c>
      <c r="D6260" s="1128">
        <v>804.71</v>
      </c>
      <c r="E6260" s="1126"/>
    </row>
    <row r="6261" spans="1:5" x14ac:dyDescent="0.2">
      <c r="A6261" s="1126" t="s">
        <v>6843</v>
      </c>
      <c r="B6261" s="1127">
        <v>68</v>
      </c>
      <c r="C6261" s="1128">
        <v>0</v>
      </c>
      <c r="D6261" s="1128">
        <v>15.75</v>
      </c>
      <c r="E6261" s="1126"/>
    </row>
    <row r="6262" spans="1:5" x14ac:dyDescent="0.2">
      <c r="A6262" s="1126" t="s">
        <v>6844</v>
      </c>
      <c r="B6262" s="1127">
        <v>309</v>
      </c>
      <c r="C6262" s="1128">
        <v>0</v>
      </c>
      <c r="D6262" s="1128">
        <v>15.45</v>
      </c>
      <c r="E6262" s="1126"/>
    </row>
    <row r="6263" spans="1:5" x14ac:dyDescent="0.2">
      <c r="A6263" s="1126" t="s">
        <v>6845</v>
      </c>
      <c r="B6263" s="1127">
        <v>293</v>
      </c>
      <c r="C6263" s="1128">
        <v>0</v>
      </c>
      <c r="D6263" s="1128">
        <v>61.99</v>
      </c>
      <c r="E6263" s="1126"/>
    </row>
    <row r="6264" spans="1:5" x14ac:dyDescent="0.2">
      <c r="A6264" s="1126" t="s">
        <v>6846</v>
      </c>
      <c r="B6264" s="1127">
        <v>173</v>
      </c>
      <c r="C6264" s="1128">
        <v>0</v>
      </c>
      <c r="D6264" s="1128">
        <v>67.83</v>
      </c>
      <c r="E6264" s="1126"/>
    </row>
    <row r="6265" spans="1:5" x14ac:dyDescent="0.2">
      <c r="A6265" s="1126" t="s">
        <v>6847</v>
      </c>
      <c r="B6265" s="1127">
        <v>168</v>
      </c>
      <c r="C6265" s="1128">
        <v>0</v>
      </c>
      <c r="D6265" s="1128">
        <v>0</v>
      </c>
      <c r="E6265" s="1126"/>
    </row>
    <row r="6266" spans="1:5" x14ac:dyDescent="0.2">
      <c r="A6266" s="1126" t="s">
        <v>6848</v>
      </c>
      <c r="B6266" s="1127">
        <v>412</v>
      </c>
      <c r="C6266" s="1128">
        <v>0</v>
      </c>
      <c r="D6266" s="1128">
        <v>210.29</v>
      </c>
      <c r="E6266" s="1126"/>
    </row>
    <row r="6267" spans="1:5" x14ac:dyDescent="0.2">
      <c r="A6267" s="1126" t="s">
        <v>6849</v>
      </c>
      <c r="B6267" s="1127">
        <v>245</v>
      </c>
      <c r="C6267" s="1128">
        <v>0</v>
      </c>
      <c r="D6267" s="1128">
        <v>59.19</v>
      </c>
      <c r="E6267" s="1126"/>
    </row>
    <row r="6268" spans="1:5" x14ac:dyDescent="0.2">
      <c r="A6268" s="1126" t="s">
        <v>6850</v>
      </c>
      <c r="B6268" s="1127">
        <v>207</v>
      </c>
      <c r="C6268" s="1128">
        <v>0</v>
      </c>
      <c r="D6268" s="1128">
        <v>89.47</v>
      </c>
      <c r="E6268" s="1126"/>
    </row>
    <row r="6269" spans="1:5" x14ac:dyDescent="0.2">
      <c r="A6269" s="1126" t="s">
        <v>6851</v>
      </c>
      <c r="B6269" s="1127">
        <v>472</v>
      </c>
      <c r="C6269" s="1128">
        <v>0</v>
      </c>
      <c r="D6269" s="1128">
        <v>50.05</v>
      </c>
      <c r="E6269" s="1126"/>
    </row>
    <row r="6270" spans="1:5" x14ac:dyDescent="0.2">
      <c r="A6270" s="1126" t="s">
        <v>6852</v>
      </c>
      <c r="B6270" s="1127">
        <v>424</v>
      </c>
      <c r="C6270" s="1128">
        <v>0</v>
      </c>
      <c r="D6270" s="1128">
        <v>22.36</v>
      </c>
      <c r="E6270" s="1126"/>
    </row>
    <row r="6271" spans="1:5" x14ac:dyDescent="0.2">
      <c r="A6271" s="1126" t="s">
        <v>6853</v>
      </c>
      <c r="B6271" s="1127">
        <v>362</v>
      </c>
      <c r="C6271" s="1128">
        <v>0</v>
      </c>
      <c r="D6271" s="1128">
        <v>112.29</v>
      </c>
      <c r="E6271" s="1126"/>
    </row>
    <row r="6272" spans="1:5" x14ac:dyDescent="0.2">
      <c r="A6272" s="1126" t="s">
        <v>6854</v>
      </c>
      <c r="B6272" s="1127">
        <v>611</v>
      </c>
      <c r="C6272" s="1128">
        <v>0</v>
      </c>
      <c r="D6272" s="1128">
        <v>51.2</v>
      </c>
      <c r="E6272" s="1126"/>
    </row>
    <row r="6273" spans="1:5" x14ac:dyDescent="0.2">
      <c r="A6273" s="1126" t="s">
        <v>6855</v>
      </c>
      <c r="B6273" s="1127">
        <v>351</v>
      </c>
      <c r="C6273" s="1128">
        <v>0</v>
      </c>
      <c r="D6273" s="1128">
        <v>85.36</v>
      </c>
      <c r="E6273" s="1126"/>
    </row>
    <row r="6274" spans="1:5" x14ac:dyDescent="0.2">
      <c r="A6274" s="1126" t="s">
        <v>6856</v>
      </c>
      <c r="B6274" s="1127">
        <v>217</v>
      </c>
      <c r="C6274" s="1128">
        <v>42.11</v>
      </c>
      <c r="D6274" s="1128">
        <v>191.27</v>
      </c>
      <c r="E6274" s="1126"/>
    </row>
    <row r="6275" spans="1:5" x14ac:dyDescent="0.2">
      <c r="A6275" s="1126" t="s">
        <v>6857</v>
      </c>
      <c r="B6275" s="1127">
        <v>394</v>
      </c>
      <c r="C6275" s="1128">
        <v>0</v>
      </c>
      <c r="D6275" s="1128">
        <v>190.12</v>
      </c>
      <c r="E6275" s="1126"/>
    </row>
    <row r="6276" spans="1:5" x14ac:dyDescent="0.2">
      <c r="A6276" s="1126" t="s">
        <v>6858</v>
      </c>
      <c r="B6276" s="1127">
        <v>385</v>
      </c>
      <c r="C6276" s="1128">
        <v>0</v>
      </c>
      <c r="D6276" s="1128">
        <v>215.01</v>
      </c>
      <c r="E6276" s="1126"/>
    </row>
    <row r="6277" spans="1:5" x14ac:dyDescent="0.2">
      <c r="A6277" s="1126" t="s">
        <v>6859</v>
      </c>
      <c r="B6277" s="1127">
        <v>297</v>
      </c>
      <c r="C6277" s="1128">
        <v>654.75</v>
      </c>
      <c r="D6277" s="1128">
        <v>858.89</v>
      </c>
      <c r="E6277" s="1126"/>
    </row>
    <row r="6278" spans="1:5" x14ac:dyDescent="0.2">
      <c r="A6278" s="1126" t="s">
        <v>6860</v>
      </c>
      <c r="B6278" s="1127">
        <v>357</v>
      </c>
      <c r="C6278" s="1128">
        <v>856.11</v>
      </c>
      <c r="D6278" s="1128">
        <v>1101.5</v>
      </c>
      <c r="E6278" s="1126"/>
    </row>
    <row r="6279" spans="1:5" x14ac:dyDescent="0.2">
      <c r="A6279" s="1126" t="s">
        <v>6861</v>
      </c>
      <c r="B6279" s="1127">
        <v>620</v>
      </c>
      <c r="C6279" s="1128">
        <v>0</v>
      </c>
      <c r="D6279" s="1128">
        <v>176.88</v>
      </c>
      <c r="E6279" s="1126"/>
    </row>
    <row r="6280" spans="1:5" x14ac:dyDescent="0.2">
      <c r="A6280" s="1126" t="s">
        <v>6862</v>
      </c>
      <c r="B6280" s="1127">
        <v>229</v>
      </c>
      <c r="C6280" s="1128">
        <v>0</v>
      </c>
      <c r="D6280" s="1128">
        <v>33.46</v>
      </c>
      <c r="E6280" s="1126"/>
    </row>
    <row r="6281" spans="1:5" x14ac:dyDescent="0.2">
      <c r="A6281" s="1126" t="s">
        <v>6863</v>
      </c>
      <c r="B6281" s="1127">
        <v>442</v>
      </c>
      <c r="C6281" s="1128">
        <v>0</v>
      </c>
      <c r="D6281" s="1128">
        <v>65.09</v>
      </c>
      <c r="E6281" s="1126"/>
    </row>
    <row r="6282" spans="1:5" x14ac:dyDescent="0.2">
      <c r="A6282" s="1126" t="s">
        <v>6864</v>
      </c>
      <c r="B6282" s="1127">
        <v>495</v>
      </c>
      <c r="C6282" s="1128">
        <v>0</v>
      </c>
      <c r="D6282" s="1128">
        <v>88.01</v>
      </c>
      <c r="E6282" s="1126"/>
    </row>
    <row r="6283" spans="1:5" x14ac:dyDescent="0.2">
      <c r="A6283" s="1126" t="s">
        <v>6865</v>
      </c>
      <c r="B6283" s="1127">
        <v>147</v>
      </c>
      <c r="C6283" s="1128">
        <v>18.13</v>
      </c>
      <c r="D6283" s="1128">
        <v>119.17</v>
      </c>
      <c r="E6283" s="1126"/>
    </row>
    <row r="6284" spans="1:5" x14ac:dyDescent="0.2">
      <c r="A6284" s="1126" t="s">
        <v>6866</v>
      </c>
      <c r="B6284" s="1127">
        <v>287</v>
      </c>
      <c r="C6284" s="1128">
        <v>0</v>
      </c>
      <c r="D6284" s="1128">
        <v>53.05</v>
      </c>
      <c r="E6284" s="1126"/>
    </row>
    <row r="6285" spans="1:5" x14ac:dyDescent="0.2">
      <c r="A6285" s="1126" t="s">
        <v>6867</v>
      </c>
      <c r="B6285" s="1127">
        <v>240</v>
      </c>
      <c r="C6285" s="1128">
        <v>0</v>
      </c>
      <c r="D6285" s="1128">
        <v>19.54</v>
      </c>
      <c r="E6285" s="1126"/>
    </row>
    <row r="6286" spans="1:5" x14ac:dyDescent="0.2">
      <c r="A6286" s="1126" t="s">
        <v>6868</v>
      </c>
      <c r="B6286" s="1127">
        <v>348</v>
      </c>
      <c r="C6286" s="1128">
        <v>0</v>
      </c>
      <c r="D6286" s="1128">
        <v>79.16</v>
      </c>
      <c r="E6286" s="1126"/>
    </row>
    <row r="6287" spans="1:5" x14ac:dyDescent="0.2">
      <c r="A6287" s="1126" t="s">
        <v>6869</v>
      </c>
      <c r="B6287" s="1127">
        <v>335</v>
      </c>
      <c r="C6287" s="1128">
        <v>0</v>
      </c>
      <c r="D6287" s="1128">
        <v>98.85</v>
      </c>
      <c r="E6287" s="1126"/>
    </row>
    <row r="6288" spans="1:5" x14ac:dyDescent="0.2">
      <c r="A6288" s="1126" t="s">
        <v>6870</v>
      </c>
      <c r="B6288" s="1127">
        <v>342</v>
      </c>
      <c r="C6288" s="1128">
        <v>237.23</v>
      </c>
      <c r="D6288" s="1128">
        <v>472.31</v>
      </c>
      <c r="E6288" s="1126"/>
    </row>
    <row r="6289" spans="1:5" x14ac:dyDescent="0.2">
      <c r="A6289" s="1126" t="s">
        <v>6871</v>
      </c>
      <c r="B6289" s="1127">
        <v>292</v>
      </c>
      <c r="C6289" s="1128">
        <v>0</v>
      </c>
      <c r="D6289" s="1128">
        <v>71.17</v>
      </c>
      <c r="E6289" s="1126"/>
    </row>
    <row r="6290" spans="1:5" x14ac:dyDescent="0.2">
      <c r="A6290" s="1126" t="s">
        <v>6872</v>
      </c>
      <c r="B6290" s="1127">
        <v>235</v>
      </c>
      <c r="C6290" s="1128">
        <v>0</v>
      </c>
      <c r="D6290" s="1128">
        <v>48.37</v>
      </c>
      <c r="E6290" s="1126"/>
    </row>
    <row r="6291" spans="1:5" x14ac:dyDescent="0.2">
      <c r="A6291" s="1126" t="s">
        <v>6873</v>
      </c>
      <c r="B6291" s="1127">
        <v>230</v>
      </c>
      <c r="C6291" s="1128">
        <v>765.27</v>
      </c>
      <c r="D6291" s="1128">
        <v>923.37</v>
      </c>
      <c r="E6291" s="1126"/>
    </row>
    <row r="6292" spans="1:5" x14ac:dyDescent="0.2">
      <c r="A6292" s="1126" t="s">
        <v>6874</v>
      </c>
      <c r="B6292" s="1127">
        <v>109</v>
      </c>
      <c r="C6292" s="1128">
        <v>300.02999999999997</v>
      </c>
      <c r="D6292" s="1128">
        <v>374.96</v>
      </c>
      <c r="E6292" s="1126"/>
    </row>
    <row r="6293" spans="1:5" x14ac:dyDescent="0.2">
      <c r="A6293" s="1126" t="s">
        <v>6875</v>
      </c>
      <c r="B6293" s="1127">
        <v>139</v>
      </c>
      <c r="C6293" s="1128">
        <v>0</v>
      </c>
      <c r="D6293" s="1128">
        <v>24.63</v>
      </c>
      <c r="E6293" s="1126"/>
    </row>
    <row r="6294" spans="1:5" x14ac:dyDescent="0.2">
      <c r="A6294" s="1126" t="s">
        <v>6876</v>
      </c>
      <c r="B6294" s="1127">
        <v>110</v>
      </c>
      <c r="C6294" s="1128">
        <v>0</v>
      </c>
      <c r="D6294" s="1128">
        <v>10.33</v>
      </c>
      <c r="E6294" s="1126"/>
    </row>
    <row r="6295" spans="1:5" x14ac:dyDescent="0.2">
      <c r="A6295" s="1126" t="s">
        <v>6877</v>
      </c>
      <c r="B6295" s="1127">
        <v>95</v>
      </c>
      <c r="C6295" s="1128">
        <v>310.49</v>
      </c>
      <c r="D6295" s="1128">
        <v>375.79</v>
      </c>
      <c r="E6295" s="1126"/>
    </row>
    <row r="6296" spans="1:5" x14ac:dyDescent="0.2">
      <c r="A6296" s="1126" t="s">
        <v>6878</v>
      </c>
      <c r="B6296" s="1127">
        <v>302</v>
      </c>
      <c r="C6296" s="1128">
        <v>0</v>
      </c>
      <c r="D6296" s="1128">
        <v>27.72</v>
      </c>
      <c r="E6296" s="1126"/>
    </row>
    <row r="6297" spans="1:5" x14ac:dyDescent="0.2">
      <c r="A6297" s="1126" t="s">
        <v>6879</v>
      </c>
      <c r="B6297" s="1127">
        <v>419</v>
      </c>
      <c r="C6297" s="1128">
        <v>0</v>
      </c>
      <c r="D6297" s="1128">
        <v>171.82</v>
      </c>
      <c r="E6297" s="1126"/>
    </row>
    <row r="6298" spans="1:5" x14ac:dyDescent="0.2">
      <c r="A6298" s="1126" t="s">
        <v>6880</v>
      </c>
      <c r="B6298" s="1127">
        <v>97</v>
      </c>
      <c r="C6298" s="1128">
        <v>327.64</v>
      </c>
      <c r="D6298" s="1128">
        <v>394.32</v>
      </c>
      <c r="E6298" s="1126"/>
    </row>
    <row r="6299" spans="1:5" x14ac:dyDescent="0.2">
      <c r="A6299" s="1126" t="s">
        <v>6881</v>
      </c>
      <c r="B6299" s="1127">
        <v>287</v>
      </c>
      <c r="C6299" s="1128">
        <v>316.14</v>
      </c>
      <c r="D6299" s="1128">
        <v>513.41</v>
      </c>
      <c r="E6299" s="1126"/>
    </row>
    <row r="6300" spans="1:5" x14ac:dyDescent="0.2">
      <c r="A6300" s="1126" t="s">
        <v>6882</v>
      </c>
      <c r="B6300" s="1127">
        <v>138</v>
      </c>
      <c r="C6300" s="1128">
        <v>474.59</v>
      </c>
      <c r="D6300" s="1128">
        <v>569.45000000000005</v>
      </c>
      <c r="E6300" s="1126"/>
    </row>
    <row r="6301" spans="1:5" x14ac:dyDescent="0.2">
      <c r="A6301" s="1126" t="s">
        <v>6883</v>
      </c>
      <c r="B6301" s="1127">
        <v>465</v>
      </c>
      <c r="C6301" s="1128">
        <v>0</v>
      </c>
      <c r="D6301" s="1128">
        <v>17.62</v>
      </c>
      <c r="E6301" s="1126"/>
    </row>
    <row r="6302" spans="1:5" x14ac:dyDescent="0.2">
      <c r="A6302" s="1126" t="s">
        <v>6884</v>
      </c>
      <c r="B6302" s="1127">
        <v>131</v>
      </c>
      <c r="C6302" s="1128">
        <v>382.71</v>
      </c>
      <c r="D6302" s="1128">
        <v>472.76</v>
      </c>
      <c r="E6302" s="1126"/>
    </row>
    <row r="6303" spans="1:5" x14ac:dyDescent="0.2">
      <c r="A6303" s="1126" t="s">
        <v>6885</v>
      </c>
      <c r="B6303" s="1127">
        <v>280</v>
      </c>
      <c r="C6303" s="1128">
        <v>0</v>
      </c>
      <c r="D6303" s="1128">
        <v>73.39</v>
      </c>
      <c r="E6303" s="1126"/>
    </row>
    <row r="6304" spans="1:5" x14ac:dyDescent="0.2">
      <c r="A6304" s="1126" t="s">
        <v>6886</v>
      </c>
      <c r="B6304" s="1127">
        <v>259</v>
      </c>
      <c r="C6304" s="1128">
        <v>0</v>
      </c>
      <c r="D6304" s="1128">
        <v>42.43</v>
      </c>
      <c r="E6304" s="1126"/>
    </row>
    <row r="6305" spans="1:5" x14ac:dyDescent="0.2">
      <c r="A6305" s="1126" t="s">
        <v>6887</v>
      </c>
      <c r="B6305" s="1127">
        <v>212</v>
      </c>
      <c r="C6305" s="1128">
        <v>146.77000000000001</v>
      </c>
      <c r="D6305" s="1128">
        <v>292.49</v>
      </c>
      <c r="E6305" s="1126"/>
    </row>
    <row r="6306" spans="1:5" x14ac:dyDescent="0.2">
      <c r="A6306" s="1126" t="s">
        <v>6888</v>
      </c>
      <c r="B6306" s="1127">
        <v>193</v>
      </c>
      <c r="C6306" s="1128">
        <v>0</v>
      </c>
      <c r="D6306" s="1128">
        <v>39.340000000000003</v>
      </c>
      <c r="E6306" s="1126"/>
    </row>
    <row r="6307" spans="1:5" x14ac:dyDescent="0.2">
      <c r="A6307" s="1126" t="s">
        <v>6889</v>
      </c>
      <c r="B6307" s="1127">
        <v>325</v>
      </c>
      <c r="C6307" s="1128">
        <v>618.82000000000005</v>
      </c>
      <c r="D6307" s="1128">
        <v>842.22</v>
      </c>
      <c r="E6307" s="1126"/>
    </row>
    <row r="6308" spans="1:5" x14ac:dyDescent="0.2">
      <c r="A6308" s="1126" t="s">
        <v>6890</v>
      </c>
      <c r="B6308" s="1127">
        <v>287</v>
      </c>
      <c r="C6308" s="1128">
        <v>461.93</v>
      </c>
      <c r="D6308" s="1128">
        <v>659.21</v>
      </c>
      <c r="E6308" s="1126"/>
    </row>
    <row r="6309" spans="1:5" x14ac:dyDescent="0.2">
      <c r="A6309" s="1126" t="s">
        <v>6891</v>
      </c>
      <c r="B6309" s="1127">
        <v>77</v>
      </c>
      <c r="C6309" s="1128">
        <v>0</v>
      </c>
      <c r="D6309" s="1128">
        <v>0</v>
      </c>
      <c r="E6309" s="1126"/>
    </row>
    <row r="6310" spans="1:5" x14ac:dyDescent="0.2">
      <c r="A6310" s="1126" t="s">
        <v>6892</v>
      </c>
      <c r="B6310" s="1127">
        <v>239</v>
      </c>
      <c r="C6310" s="1128">
        <v>0</v>
      </c>
      <c r="D6310" s="1128">
        <v>72.849999999999994</v>
      </c>
      <c r="E6310" s="1126"/>
    </row>
    <row r="6311" spans="1:5" x14ac:dyDescent="0.2">
      <c r="A6311" s="1126" t="s">
        <v>6893</v>
      </c>
      <c r="B6311" s="1127">
        <v>219</v>
      </c>
      <c r="C6311" s="1128">
        <v>0</v>
      </c>
      <c r="D6311" s="1128">
        <v>101.43</v>
      </c>
      <c r="E6311" s="1126"/>
    </row>
    <row r="6312" spans="1:5" x14ac:dyDescent="0.2">
      <c r="A6312" s="1126" t="s">
        <v>6894</v>
      </c>
      <c r="B6312" s="1127">
        <v>66</v>
      </c>
      <c r="C6312" s="1128">
        <v>8.33</v>
      </c>
      <c r="D6312" s="1128">
        <v>53.69</v>
      </c>
      <c r="E6312" s="1126"/>
    </row>
    <row r="6313" spans="1:5" x14ac:dyDescent="0.2">
      <c r="A6313" s="1126" t="s">
        <v>6895</v>
      </c>
      <c r="B6313" s="1127">
        <v>105</v>
      </c>
      <c r="C6313" s="1128">
        <v>80.63</v>
      </c>
      <c r="D6313" s="1128">
        <v>152.80000000000001</v>
      </c>
      <c r="E6313" s="1126"/>
    </row>
    <row r="6314" spans="1:5" x14ac:dyDescent="0.2">
      <c r="A6314" s="1126" t="s">
        <v>6896</v>
      </c>
      <c r="B6314" s="1127">
        <v>154</v>
      </c>
      <c r="C6314" s="1128">
        <v>0</v>
      </c>
      <c r="D6314" s="1128">
        <v>42.55</v>
      </c>
      <c r="E6314" s="1126"/>
    </row>
    <row r="6315" spans="1:5" x14ac:dyDescent="0.2">
      <c r="A6315" s="1126" t="s">
        <v>6897</v>
      </c>
      <c r="B6315" s="1127">
        <v>143</v>
      </c>
      <c r="C6315" s="1128">
        <v>50.84</v>
      </c>
      <c r="D6315" s="1128">
        <v>149.13999999999999</v>
      </c>
      <c r="E6315" s="1126"/>
    </row>
    <row r="6316" spans="1:5" x14ac:dyDescent="0.2">
      <c r="A6316" s="1126" t="s">
        <v>6898</v>
      </c>
      <c r="B6316" s="1127">
        <v>347</v>
      </c>
      <c r="C6316" s="1128">
        <v>922.27</v>
      </c>
      <c r="D6316" s="1128">
        <v>1160.79</v>
      </c>
      <c r="E6316" s="1126"/>
    </row>
    <row r="6317" spans="1:5" x14ac:dyDescent="0.2">
      <c r="A6317" s="1126" t="s">
        <v>6899</v>
      </c>
      <c r="B6317" s="1127">
        <v>310</v>
      </c>
      <c r="C6317" s="1128">
        <v>0</v>
      </c>
      <c r="D6317" s="1128">
        <v>115.22</v>
      </c>
      <c r="E6317" s="1126"/>
    </row>
    <row r="6318" spans="1:5" x14ac:dyDescent="0.2">
      <c r="A6318" s="1126" t="s">
        <v>6900</v>
      </c>
      <c r="B6318" s="1127">
        <v>73</v>
      </c>
      <c r="C6318" s="1128">
        <v>0</v>
      </c>
      <c r="D6318" s="1128">
        <v>11.04</v>
      </c>
      <c r="E6318" s="1126"/>
    </row>
    <row r="6319" spans="1:5" x14ac:dyDescent="0.2">
      <c r="A6319" s="1126" t="s">
        <v>6901</v>
      </c>
      <c r="B6319" s="1127">
        <v>75</v>
      </c>
      <c r="C6319" s="1128">
        <v>0</v>
      </c>
      <c r="D6319" s="1128">
        <v>38.880000000000003</v>
      </c>
      <c r="E6319" s="1126"/>
    </row>
    <row r="6320" spans="1:5" x14ac:dyDescent="0.2">
      <c r="A6320" s="1126" t="s">
        <v>6902</v>
      </c>
      <c r="B6320" s="1127">
        <v>60</v>
      </c>
      <c r="C6320" s="1128">
        <v>0</v>
      </c>
      <c r="D6320" s="1128">
        <v>18</v>
      </c>
      <c r="E6320" s="1126"/>
    </row>
    <row r="6321" spans="1:5" x14ac:dyDescent="0.2">
      <c r="A6321" s="1126" t="s">
        <v>6903</v>
      </c>
      <c r="B6321" s="1127">
        <v>302</v>
      </c>
      <c r="C6321" s="1128">
        <v>0</v>
      </c>
      <c r="D6321" s="1128">
        <v>22.23</v>
      </c>
      <c r="E6321" s="1126"/>
    </row>
    <row r="6322" spans="1:5" x14ac:dyDescent="0.2">
      <c r="A6322" s="1126" t="s">
        <v>6904</v>
      </c>
      <c r="B6322" s="1127">
        <v>57</v>
      </c>
      <c r="C6322" s="1128">
        <v>10.15</v>
      </c>
      <c r="D6322" s="1128">
        <v>49.33</v>
      </c>
      <c r="E6322" s="1126"/>
    </row>
    <row r="6323" spans="1:5" x14ac:dyDescent="0.2">
      <c r="A6323" s="1126" t="s">
        <v>6905</v>
      </c>
      <c r="B6323" s="1127">
        <v>16</v>
      </c>
      <c r="C6323" s="1128">
        <v>24.05</v>
      </c>
      <c r="D6323" s="1128">
        <v>35.04</v>
      </c>
      <c r="E6323" s="1126" t="s">
        <v>669</v>
      </c>
    </row>
    <row r="6324" spans="1:5" x14ac:dyDescent="0.2">
      <c r="A6324" s="1126" t="s">
        <v>6906</v>
      </c>
      <c r="B6324" s="1127">
        <v>296</v>
      </c>
      <c r="C6324" s="1128">
        <v>0</v>
      </c>
      <c r="D6324" s="1128">
        <v>0</v>
      </c>
      <c r="E6324" s="1126"/>
    </row>
    <row r="6325" spans="1:5" x14ac:dyDescent="0.2">
      <c r="A6325" s="1126" t="s">
        <v>6907</v>
      </c>
      <c r="B6325" s="1127">
        <v>269</v>
      </c>
      <c r="C6325" s="1128">
        <v>0</v>
      </c>
      <c r="D6325" s="1128">
        <v>32.17</v>
      </c>
      <c r="E6325" s="1126"/>
    </row>
    <row r="6326" spans="1:5" x14ac:dyDescent="0.2">
      <c r="A6326" s="1126" t="s">
        <v>6908</v>
      </c>
      <c r="B6326" s="1127">
        <v>360</v>
      </c>
      <c r="C6326" s="1128">
        <v>0</v>
      </c>
      <c r="D6326" s="1128">
        <v>0</v>
      </c>
      <c r="E6326" s="1126"/>
    </row>
    <row r="6327" spans="1:5" x14ac:dyDescent="0.2">
      <c r="A6327" s="1126" t="s">
        <v>6909</v>
      </c>
      <c r="B6327" s="1127">
        <v>12</v>
      </c>
      <c r="C6327" s="1128">
        <v>0.95</v>
      </c>
      <c r="D6327" s="1128">
        <v>9.1999999999999993</v>
      </c>
      <c r="E6327" s="1126" t="s">
        <v>669</v>
      </c>
    </row>
    <row r="6328" spans="1:5" x14ac:dyDescent="0.2">
      <c r="A6328" s="1126" t="s">
        <v>6910</v>
      </c>
      <c r="B6328" s="1127">
        <v>58</v>
      </c>
      <c r="C6328" s="1128">
        <v>13.84</v>
      </c>
      <c r="D6328" s="1128">
        <v>53.7</v>
      </c>
      <c r="E6328" s="1126"/>
    </row>
    <row r="6329" spans="1:5" x14ac:dyDescent="0.2">
      <c r="A6329" s="1126" t="s">
        <v>6911</v>
      </c>
      <c r="B6329" s="1127">
        <v>104</v>
      </c>
      <c r="C6329" s="1128">
        <v>0</v>
      </c>
      <c r="D6329" s="1128">
        <v>28.08</v>
      </c>
      <c r="E6329" s="1126"/>
    </row>
    <row r="6330" spans="1:5" x14ac:dyDescent="0.2">
      <c r="A6330" s="1126" t="s">
        <v>6912</v>
      </c>
      <c r="B6330" s="1127">
        <v>12</v>
      </c>
      <c r="C6330" s="1128">
        <v>0</v>
      </c>
      <c r="D6330" s="1128">
        <v>4.68</v>
      </c>
      <c r="E6330" s="1126" t="s">
        <v>669</v>
      </c>
    </row>
    <row r="6331" spans="1:5" x14ac:dyDescent="0.2">
      <c r="A6331" s="1126" t="s">
        <v>6913</v>
      </c>
      <c r="B6331" s="1127">
        <v>41</v>
      </c>
      <c r="C6331" s="1128">
        <v>0</v>
      </c>
      <c r="D6331" s="1128">
        <v>0</v>
      </c>
      <c r="E6331" s="1126"/>
    </row>
    <row r="6332" spans="1:5" x14ac:dyDescent="0.2">
      <c r="A6332" s="1126" t="s">
        <v>6914</v>
      </c>
      <c r="B6332" s="1127">
        <v>16</v>
      </c>
      <c r="C6332" s="1128">
        <v>0</v>
      </c>
      <c r="D6332" s="1128">
        <v>0</v>
      </c>
      <c r="E6332" s="1126" t="s">
        <v>669</v>
      </c>
    </row>
    <row r="6333" spans="1:5" x14ac:dyDescent="0.2">
      <c r="A6333" s="1126" t="s">
        <v>6915</v>
      </c>
      <c r="B6333" s="1127">
        <v>1</v>
      </c>
      <c r="C6333" s="1128">
        <v>0</v>
      </c>
      <c r="D6333" s="1128">
        <v>0</v>
      </c>
      <c r="E6333" s="1126" t="s">
        <v>669</v>
      </c>
    </row>
    <row r="6334" spans="1:5" x14ac:dyDescent="0.2">
      <c r="A6334" s="1126" t="s">
        <v>6916</v>
      </c>
      <c r="B6334" s="1127">
        <v>81</v>
      </c>
      <c r="C6334" s="1128">
        <v>179.66</v>
      </c>
      <c r="D6334" s="1128">
        <v>235.34</v>
      </c>
      <c r="E6334" s="1126"/>
    </row>
    <row r="6335" spans="1:5" x14ac:dyDescent="0.2">
      <c r="A6335" s="1126" t="s">
        <v>6917</v>
      </c>
      <c r="B6335" s="1127">
        <v>208</v>
      </c>
      <c r="C6335" s="1128">
        <v>38.01</v>
      </c>
      <c r="D6335" s="1128">
        <v>180.98</v>
      </c>
      <c r="E6335" s="1126"/>
    </row>
    <row r="6336" spans="1:5" x14ac:dyDescent="0.2">
      <c r="A6336" s="1126" t="s">
        <v>6918</v>
      </c>
      <c r="B6336" s="1127">
        <v>490</v>
      </c>
      <c r="C6336" s="1128">
        <v>1266.19</v>
      </c>
      <c r="D6336" s="1128">
        <v>1603</v>
      </c>
      <c r="E6336" s="1126"/>
    </row>
    <row r="6337" spans="1:5" x14ac:dyDescent="0.2">
      <c r="A6337" s="1126" t="s">
        <v>6919</v>
      </c>
      <c r="B6337" s="1127">
        <v>227</v>
      </c>
      <c r="C6337" s="1128">
        <v>125.3</v>
      </c>
      <c r="D6337" s="1128">
        <v>281.33</v>
      </c>
      <c r="E6337" s="1126"/>
    </row>
    <row r="6339" spans="1:5" x14ac:dyDescent="0.2">
      <c r="A6339" s="1180" t="s">
        <v>6920</v>
      </c>
      <c r="B6339" s="1180"/>
      <c r="C6339" s="1180"/>
      <c r="D6339" s="1180"/>
      <c r="E6339" s="1180"/>
    </row>
    <row r="6340" spans="1:5" x14ac:dyDescent="0.2">
      <c r="A6340" s="1181" t="s">
        <v>6921</v>
      </c>
      <c r="B6340" s="1181"/>
      <c r="C6340" s="1181"/>
      <c r="D6340" s="1181"/>
      <c r="E6340" s="1181"/>
    </row>
  </sheetData>
  <sheetProtection algorithmName="SHA-512" hashValue="mCacWJwauSIMn8RZr4iGoJVu0G0SHbd+3FPbehMgNj0rkPOO95yMgqytG0E8dk9zPYKj8xym9w7rqhQjB0oN1w==" saltValue="7iLvgKikm1918qX9FZMenA==" spinCount="100000" sheet="1" objects="1" scenarios="1"/>
  <mergeCells count="2">
    <mergeCell ref="A6339:E6339"/>
    <mergeCell ref="A6340:E634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
  <sheetViews>
    <sheetView workbookViewId="0"/>
  </sheetViews>
  <sheetFormatPr defaultRowHeight="12.75" x14ac:dyDescent="0.2"/>
  <sheetData/>
  <phoneticPr fontId="37"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B1:AF1342"/>
  <sheetViews>
    <sheetView showGridLines="0" zoomScale="81" zoomScaleNormal="81" zoomScaleSheetLayoutView="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42" customWidth="1"/>
    <col min="2" max="3" width="2.7109375" style="42" customWidth="1"/>
    <col min="4" max="4" width="45.7109375" style="42" customWidth="1"/>
    <col min="5" max="5" width="2.7109375" style="42" customWidth="1"/>
    <col min="6" max="6" width="8.7109375" style="42" customWidth="1"/>
    <col min="7" max="7" width="1.7109375" style="42" customWidth="1"/>
    <col min="8" max="13" width="14.85546875" style="145" customWidth="1"/>
    <col min="14" max="15" width="2.7109375" style="42" customWidth="1"/>
    <col min="16" max="16" width="14.7109375" style="42" customWidth="1"/>
    <col min="17" max="17" width="10.28515625" style="42" customWidth="1"/>
    <col min="18" max="16384" width="9.140625" style="42"/>
  </cols>
  <sheetData>
    <row r="1" spans="2:21" ht="12.75" customHeight="1" x14ac:dyDescent="0.2"/>
    <row r="2" spans="2:21" s="48" customFormat="1" x14ac:dyDescent="0.2">
      <c r="B2" s="43"/>
      <c r="C2" s="44"/>
      <c r="D2" s="44"/>
      <c r="E2" s="44"/>
      <c r="F2" s="44"/>
      <c r="G2" s="44"/>
      <c r="H2" s="128"/>
      <c r="I2" s="128"/>
      <c r="J2" s="128"/>
      <c r="K2" s="128"/>
      <c r="L2" s="128"/>
      <c r="M2" s="128"/>
      <c r="N2" s="44"/>
      <c r="O2" s="47"/>
    </row>
    <row r="3" spans="2:21" s="48" customFormat="1" x14ac:dyDescent="0.2">
      <c r="B3" s="49"/>
      <c r="C3" s="50"/>
      <c r="D3" s="50"/>
      <c r="E3" s="50"/>
      <c r="F3" s="50"/>
      <c r="G3" s="50"/>
      <c r="H3" s="129"/>
      <c r="I3" s="129"/>
      <c r="J3" s="129"/>
      <c r="K3" s="129"/>
      <c r="L3" s="129"/>
      <c r="M3" s="129"/>
      <c r="N3" s="50"/>
      <c r="O3" s="53"/>
    </row>
    <row r="4" spans="2:21" s="54" customFormat="1" ht="18.75" x14ac:dyDescent="0.3">
      <c r="B4" s="55"/>
      <c r="C4" s="673" t="s">
        <v>352</v>
      </c>
      <c r="D4" s="56"/>
      <c r="E4" s="57"/>
      <c r="F4" s="57"/>
      <c r="G4" s="57"/>
      <c r="H4" s="146"/>
      <c r="I4" s="146"/>
      <c r="J4" s="146"/>
      <c r="K4" s="146"/>
      <c r="L4" s="146"/>
      <c r="M4" s="146"/>
      <c r="N4" s="673"/>
      <c r="O4" s="58"/>
    </row>
    <row r="5" spans="2:21" s="59" customFormat="1" ht="18.75" x14ac:dyDescent="0.3">
      <c r="B5" s="60"/>
      <c r="C5" s="61" t="str">
        <f>geg!G12</f>
        <v>voorbeeld Basisschool</v>
      </c>
      <c r="D5" s="147"/>
      <c r="E5" s="62"/>
      <c r="F5" s="62"/>
      <c r="G5" s="62"/>
      <c r="H5" s="131"/>
      <c r="I5" s="131"/>
      <c r="J5" s="131"/>
      <c r="K5" s="131"/>
      <c r="L5" s="131"/>
      <c r="M5" s="131"/>
      <c r="N5" s="61"/>
      <c r="O5" s="86"/>
    </row>
    <row r="6" spans="2:21" x14ac:dyDescent="0.2">
      <c r="B6" s="49"/>
      <c r="C6" s="50"/>
      <c r="D6" s="50"/>
      <c r="E6" s="50"/>
      <c r="F6" s="50"/>
      <c r="G6" s="50"/>
      <c r="H6" s="148"/>
      <c r="I6" s="148"/>
      <c r="J6" s="148"/>
      <c r="K6" s="148"/>
      <c r="L6" s="148"/>
      <c r="M6" s="148"/>
      <c r="N6" s="50"/>
      <c r="O6" s="53"/>
    </row>
    <row r="7" spans="2:21" x14ac:dyDescent="0.2">
      <c r="B7" s="49"/>
      <c r="C7" s="50"/>
      <c r="D7" s="50"/>
      <c r="E7" s="50"/>
      <c r="F7" s="50"/>
      <c r="G7" s="50"/>
      <c r="H7" s="148"/>
      <c r="I7" s="148"/>
      <c r="J7" s="148"/>
      <c r="K7" s="148"/>
      <c r="L7" s="148"/>
      <c r="M7" s="148"/>
      <c r="N7" s="50"/>
      <c r="O7" s="53"/>
    </row>
    <row r="8" spans="2:21" s="54" customFormat="1" x14ac:dyDescent="0.2">
      <c r="B8" s="79"/>
      <c r="C8" s="57"/>
      <c r="D8" s="689" t="s">
        <v>165</v>
      </c>
      <c r="E8" s="689"/>
      <c r="F8" s="689"/>
      <c r="G8" s="689"/>
      <c r="H8" s="688" t="str">
        <f>tab!E2</f>
        <v>2019/20</v>
      </c>
      <c r="I8" s="688" t="str">
        <f>tab!F2</f>
        <v>2020/21</v>
      </c>
      <c r="J8" s="688" t="str">
        <f>tab!G2</f>
        <v>2021/22</v>
      </c>
      <c r="K8" s="688" t="str">
        <f>tab!H2</f>
        <v>2022/23</v>
      </c>
      <c r="L8" s="688" t="str">
        <f>tab!I2</f>
        <v>2023/24</v>
      </c>
      <c r="M8" s="688" t="str">
        <f>tab!J2</f>
        <v>2024/25</v>
      </c>
      <c r="N8" s="57"/>
      <c r="O8" s="58"/>
    </row>
    <row r="9" spans="2:21" s="54" customFormat="1" x14ac:dyDescent="0.2">
      <c r="B9" s="79"/>
      <c r="C9" s="57"/>
      <c r="D9" s="689" t="s">
        <v>177</v>
      </c>
      <c r="E9" s="689"/>
      <c r="F9" s="689"/>
      <c r="G9" s="689"/>
      <c r="H9" s="688">
        <f>tab!D4</f>
        <v>2018</v>
      </c>
      <c r="I9" s="688">
        <f>tab!E4</f>
        <v>2019</v>
      </c>
      <c r="J9" s="688">
        <f>tab!F4</f>
        <v>2020</v>
      </c>
      <c r="K9" s="688">
        <f>tab!G4</f>
        <v>2021</v>
      </c>
      <c r="L9" s="688">
        <f>tab!H4</f>
        <v>2022</v>
      </c>
      <c r="M9" s="688">
        <f>tab!I4</f>
        <v>2023</v>
      </c>
      <c r="N9" s="57"/>
      <c r="O9" s="58"/>
      <c r="P9" s="81"/>
      <c r="Q9" s="81"/>
      <c r="R9" s="81"/>
      <c r="S9" s="81"/>
      <c r="T9" s="81"/>
      <c r="U9" s="81"/>
    </row>
    <row r="10" spans="2:21" x14ac:dyDescent="0.2">
      <c r="B10" s="49"/>
      <c r="C10" s="50"/>
      <c r="D10" s="51"/>
      <c r="E10" s="51"/>
      <c r="F10" s="51"/>
      <c r="G10" s="51"/>
      <c r="H10" s="52"/>
      <c r="I10" s="52"/>
      <c r="J10" s="52"/>
      <c r="K10" s="52"/>
      <c r="L10" s="52"/>
      <c r="M10" s="52"/>
      <c r="N10" s="50"/>
      <c r="O10" s="53"/>
    </row>
    <row r="11" spans="2:21" x14ac:dyDescent="0.2">
      <c r="B11" s="49"/>
      <c r="C11" s="66"/>
      <c r="D11" s="67"/>
      <c r="E11" s="67"/>
      <c r="F11" s="67"/>
      <c r="G11" s="67"/>
      <c r="H11" s="132"/>
      <c r="I11" s="132"/>
      <c r="J11" s="132"/>
      <c r="K11" s="132"/>
      <c r="L11" s="132"/>
      <c r="M11" s="132"/>
      <c r="N11" s="66"/>
      <c r="O11" s="53"/>
    </row>
    <row r="12" spans="2:21" x14ac:dyDescent="0.2">
      <c r="B12" s="49"/>
      <c r="C12" s="69"/>
      <c r="D12" s="690" t="s">
        <v>251</v>
      </c>
      <c r="E12" s="71"/>
      <c r="G12" s="71"/>
      <c r="H12" s="74"/>
      <c r="I12" s="74"/>
      <c r="J12" s="74"/>
      <c r="K12" s="74"/>
      <c r="L12" s="74"/>
      <c r="M12" s="74"/>
      <c r="N12" s="69"/>
      <c r="O12" s="53"/>
    </row>
    <row r="13" spans="2:21" x14ac:dyDescent="0.2">
      <c r="B13" s="49"/>
      <c r="C13" s="69"/>
      <c r="D13" s="71"/>
      <c r="E13" s="71"/>
      <c r="F13" s="71"/>
      <c r="G13" s="71"/>
      <c r="H13" s="74"/>
      <c r="I13" s="74"/>
      <c r="J13" s="74"/>
      <c r="K13" s="74"/>
      <c r="L13" s="74"/>
      <c r="M13" s="74"/>
      <c r="N13" s="69"/>
      <c r="O13" s="53"/>
    </row>
    <row r="14" spans="2:21" x14ac:dyDescent="0.2">
      <c r="B14" s="49"/>
      <c r="C14" s="69"/>
      <c r="D14" s="841" t="s">
        <v>341</v>
      </c>
      <c r="E14" s="71"/>
      <c r="F14" s="71"/>
      <c r="G14" s="71"/>
      <c r="H14" s="150">
        <v>43.81</v>
      </c>
      <c r="I14" s="1114">
        <f>ROUND(IF(SUM(op!AM16:AM70)/SUM(op!J16:J70)&lt;30,30,SUM(op!AM16:AM70)/SUM(op!J16:J70)),2)</f>
        <v>44</v>
      </c>
      <c r="J14" s="1113">
        <f>ROUND(IF(SUM(op!AM84:AM138)/SUM(op!J84:J138)&lt;30,30,SUM(op!AM84:AM138)/SUM(op!J84:J138)),2)</f>
        <v>45</v>
      </c>
      <c r="K14" s="1113">
        <f>ROUND(IF(SUM(op!AM151:AM205)/SUM(op!J151:J205)&lt;30,30,SUM(op!AM151:AM205)/SUM(op!J151:J205)),2)</f>
        <v>46</v>
      </c>
      <c r="L14" s="1113">
        <f>ROUND(IF(SUM(op!AM218:AM272)/SUM(op!J218:J272)&lt;30,30,SUM(op!AM218:AM272)/SUM(op!J218:J272)),2)</f>
        <v>47</v>
      </c>
      <c r="M14" s="1113">
        <f>ROUND(IF(SUM(op!AM285:AM339)/SUM(op!J285:J339)&lt;30,30,SUM(op!AM285:AM339)/SUM(op!J285:J339)),2)</f>
        <v>48</v>
      </c>
      <c r="N14" s="69"/>
      <c r="O14" s="53"/>
    </row>
    <row r="15" spans="2:21" x14ac:dyDescent="0.2">
      <c r="B15" s="49"/>
      <c r="C15" s="69"/>
      <c r="D15" s="839"/>
      <c r="E15" s="71"/>
      <c r="F15" s="702" t="s">
        <v>116</v>
      </c>
      <c r="G15" s="71"/>
      <c r="H15" s="74"/>
      <c r="I15" s="74"/>
      <c r="J15" s="74"/>
      <c r="K15" s="74"/>
      <c r="L15" s="74"/>
      <c r="M15" s="74"/>
      <c r="N15" s="69"/>
      <c r="O15" s="53"/>
    </row>
    <row r="16" spans="2:21" x14ac:dyDescent="0.2">
      <c r="B16" s="49"/>
      <c r="C16" s="69"/>
      <c r="D16" s="399" t="s">
        <v>11</v>
      </c>
      <c r="E16" s="71"/>
      <c r="F16" s="71"/>
      <c r="G16" s="71"/>
      <c r="H16" s="74"/>
      <c r="I16" s="74"/>
      <c r="J16" s="74"/>
      <c r="K16" s="74"/>
      <c r="L16" s="74"/>
      <c r="M16" s="74"/>
      <c r="N16" s="69"/>
      <c r="O16" s="53"/>
    </row>
    <row r="17" spans="2:20" x14ac:dyDescent="0.2">
      <c r="B17" s="49"/>
      <c r="C17" s="69"/>
      <c r="D17" s="839" t="s">
        <v>169</v>
      </c>
      <c r="E17" s="71"/>
      <c r="F17" s="151">
        <v>0</v>
      </c>
      <c r="G17" s="71"/>
      <c r="H17" s="682">
        <f>geg!G25*(tab!$E$30+tab!$E$31*pers!H$14)</f>
        <v>621861.11420000007</v>
      </c>
      <c r="I17" s="682">
        <f>geg!H25*(tab!$E$30+tab!$E$31*pers!I14)</f>
        <v>623322.17999999993</v>
      </c>
      <c r="J17" s="682">
        <f>geg!I25*(tab!$E$30+tab!$E$31*pers!J14)</f>
        <v>631012</v>
      </c>
      <c r="K17" s="682">
        <f>geg!J25*(tab!$E$30+tab!$E$31*pers!K14)</f>
        <v>638701.82000000007</v>
      </c>
      <c r="L17" s="682">
        <f>geg!K25*(tab!$E$30+tab!$E$31*pers!L14)</f>
        <v>646391.64</v>
      </c>
      <c r="M17" s="682">
        <f>geg!L25*(tab!$E$30+tab!$E$31*pers!M14)</f>
        <v>654081.46000000008</v>
      </c>
      <c r="N17" s="69"/>
      <c r="O17" s="53"/>
    </row>
    <row r="18" spans="2:20" x14ac:dyDescent="0.2">
      <c r="B18" s="49"/>
      <c r="C18" s="69"/>
      <c r="D18" s="839" t="s">
        <v>170</v>
      </c>
      <c r="E18" s="71"/>
      <c r="F18" s="151">
        <v>0</v>
      </c>
      <c r="G18" s="71"/>
      <c r="H18" s="682">
        <f>geg!G26*(tab!$E$32+tab!$E$33*pers!H14)</f>
        <v>521615.86399999994</v>
      </c>
      <c r="I18" s="682">
        <f>geg!H26*(tab!$E$32+tab!$E$33*pers!I14)</f>
        <v>522841.43999999994</v>
      </c>
      <c r="J18" s="682">
        <f>geg!I26*(tab!$E$32+tab!$E$33*pers!J14)</f>
        <v>529291.84000000008</v>
      </c>
      <c r="K18" s="682">
        <f>geg!J26*(tab!$E$32+tab!$E$33*pers!K14)</f>
        <v>535742.24</v>
      </c>
      <c r="L18" s="682">
        <f>geg!K26*(tab!$E$32+tab!$E$33*pers!L14)</f>
        <v>542192.64000000001</v>
      </c>
      <c r="M18" s="682">
        <f>geg!L26*(tab!$E$32+tab!$E$33*pers!M14)</f>
        <v>548643.04</v>
      </c>
      <c r="N18" s="69"/>
      <c r="O18" s="53"/>
    </row>
    <row r="19" spans="2:20" s="152" customFormat="1" x14ac:dyDescent="0.2">
      <c r="B19" s="138"/>
      <c r="C19" s="139"/>
      <c r="D19" s="839" t="s">
        <v>6938</v>
      </c>
      <c r="E19" s="153"/>
      <c r="F19" s="151">
        <v>0</v>
      </c>
      <c r="G19" s="153"/>
      <c r="H19" s="1147">
        <f>tab!$E36*geg!G35</f>
        <v>353546.14680000005</v>
      </c>
      <c r="I19" s="1147">
        <f>tab!$E36*geg!H35</f>
        <v>353546.14680000005</v>
      </c>
      <c r="J19" s="1147">
        <f>tab!$E36*geg!I35</f>
        <v>353546.14680000005</v>
      </c>
      <c r="K19" s="1147">
        <f>tab!$E36*geg!J35</f>
        <v>353546.14680000005</v>
      </c>
      <c r="L19" s="1147">
        <f>tab!$E36*geg!K35</f>
        <v>353546.14680000005</v>
      </c>
      <c r="M19" s="1147">
        <f>tab!$E36*geg!L35</f>
        <v>353546.14680000005</v>
      </c>
      <c r="N19" s="139"/>
      <c r="O19" s="141"/>
    </row>
    <row r="20" spans="2:20" x14ac:dyDescent="0.2">
      <c r="B20" s="49"/>
      <c r="C20" s="69"/>
      <c r="D20" s="837" t="s">
        <v>230</v>
      </c>
      <c r="E20" s="154"/>
      <c r="F20" s="151">
        <v>0</v>
      </c>
      <c r="G20" s="154"/>
      <c r="H20" s="682">
        <f>IF(geg!G27=0,0,IF(geg!G27&lt;tab!$E$46,tab!$E$25,tab!$E$26))</f>
        <v>32719.42</v>
      </c>
      <c r="I20" s="682">
        <f>IF(geg!H27=0,0,IF(geg!H27&lt;tab!$E$46,tab!$E$25,tab!$E$26))</f>
        <v>32719.42</v>
      </c>
      <c r="J20" s="682">
        <f>IF(geg!I27=0,0,IF(geg!I27&lt;tab!$E$46,tab!$E$25,tab!$E$26))</f>
        <v>32719.42</v>
      </c>
      <c r="K20" s="682">
        <f>IF(geg!J27=0,0,IF(geg!J27&lt;tab!$E$46,tab!$E$25,tab!$E$26))</f>
        <v>32719.42</v>
      </c>
      <c r="L20" s="682">
        <f>IF(geg!K27=0,0,IF(geg!K27&lt;tab!$E$46,tab!$E$25,tab!$E$26))</f>
        <v>32719.42</v>
      </c>
      <c r="M20" s="682">
        <f>IF(geg!L27=0,0,IF(geg!L27&lt;tab!$E$46,tab!$E$25,tab!$E$26))</f>
        <v>32719.42</v>
      </c>
      <c r="N20" s="69"/>
      <c r="O20" s="53"/>
    </row>
    <row r="21" spans="2:20" s="155" customFormat="1" x14ac:dyDescent="0.2">
      <c r="B21" s="94"/>
      <c r="C21" s="95"/>
      <c r="D21" s="839" t="s">
        <v>189</v>
      </c>
      <c r="E21" s="71"/>
      <c r="F21" s="151">
        <v>0</v>
      </c>
      <c r="G21" s="71"/>
      <c r="H21" s="682">
        <f>IF(geg!G27=0,0,IF((tab!$E$40+tab!$E$41*pers!H14-geg!G27*(tab!$E$42+tab!$E$43*pers!H14))&lt;0,0,tab!$E$40+tab!$E$41*pers!H14-geg!G27*(tab!$E$42+tab!$E$43*pers!H14)))</f>
        <v>0</v>
      </c>
      <c r="I21" s="682">
        <f>IF(geg!H27=0,0,IF((tab!$E$40+tab!$E$41*pers!I14-geg!H27*(tab!$E$42+tab!$E$43*pers!I14))&lt;0,0,tab!$E$40+tab!$E$41*pers!I14-geg!H27*(tab!$E$42+tab!$E$43*pers!I14)))</f>
        <v>0</v>
      </c>
      <c r="J21" s="682">
        <f>IF(geg!I27=0,0,IF((tab!$E$40+tab!$E$41*pers!J14-geg!I27*(tab!$E$42+tab!$E$43*pers!J14))&lt;0,0,tab!$E$40+tab!$E$41*pers!J14-geg!I27*(tab!$E$42+tab!$E$43*pers!J14)))</f>
        <v>0</v>
      </c>
      <c r="K21" s="682">
        <f>IF(geg!J27=0,0,IF((tab!$E$40+tab!$E$41*pers!K14-geg!J27*(tab!$E$42+tab!$E$43*pers!K14))&lt;0,0,tab!$E$40+tab!$E$41*pers!K14-geg!J27*(tab!$E$42+tab!$E$43*pers!K14)))</f>
        <v>0</v>
      </c>
      <c r="L21" s="682">
        <f>IF(geg!K27=0,0,IF((tab!$E$40+tab!$E$41*pers!L14-geg!K27*(tab!$E$42+tab!$E$43*pers!L14))&lt;0,0,tab!$E$40+tab!$E$41*pers!L14-geg!K27*(tab!$E$42+tab!$E$43*pers!L14)))</f>
        <v>0</v>
      </c>
      <c r="M21" s="682">
        <f>IF(geg!L27=0,0,IF((tab!$E$40+tab!$E$41*pers!M14-geg!L27*(tab!$E$42+tab!$E$43*pers!M14))&lt;0,0,tab!$E$40+tab!$E$41*pers!M14-geg!L27*(tab!$E$42+tab!$E$43*pers!M14)))</f>
        <v>0</v>
      </c>
      <c r="N21" s="95"/>
      <c r="O21" s="97"/>
      <c r="Q21" s="48"/>
    </row>
    <row r="22" spans="2:20" s="155" customFormat="1" ht="12.75" customHeight="1" x14ac:dyDescent="0.2">
      <c r="B22" s="94"/>
      <c r="C22" s="95"/>
      <c r="D22" s="839" t="s">
        <v>434</v>
      </c>
      <c r="E22" s="156"/>
      <c r="F22" s="151">
        <v>0</v>
      </c>
      <c r="G22" s="156"/>
      <c r="H22" s="682">
        <f t="shared" ref="H22:M22" si="0">H23-(SUM(H17:H21))</f>
        <v>0</v>
      </c>
      <c r="I22" s="682">
        <f t="shared" si="0"/>
        <v>0</v>
      </c>
      <c r="J22" s="682">
        <f t="shared" si="0"/>
        <v>0</v>
      </c>
      <c r="K22" s="682">
        <f t="shared" si="0"/>
        <v>0</v>
      </c>
      <c r="L22" s="682">
        <f t="shared" si="0"/>
        <v>0</v>
      </c>
      <c r="M22" s="682">
        <f t="shared" si="0"/>
        <v>0</v>
      </c>
      <c r="N22" s="95"/>
      <c r="O22" s="97"/>
    </row>
    <row r="23" spans="2:20" s="48" customFormat="1" x14ac:dyDescent="0.2">
      <c r="B23" s="49"/>
      <c r="C23" s="69"/>
      <c r="D23" s="842"/>
      <c r="E23" s="71"/>
      <c r="F23" s="157"/>
      <c r="G23" s="71"/>
      <c r="H23" s="824">
        <f>IF(geg!G27=0,0,IF(SUM(H17:H21)&lt;(tab!$C44+tab!$C45*pers!H14),(tab!$C44+tab!$C45*pers!H14),SUM(H17:H21)))</f>
        <v>1529742.5449999999</v>
      </c>
      <c r="I23" s="824">
        <f>IF(geg!H27=0,0,IF(SUM(I17:I21)&lt;(tab!$C44+tab!$C45*pers!I14),(tab!$C44+tab!$C45*pers!I14),SUM(I17:I21)))</f>
        <v>1532429.1867999998</v>
      </c>
      <c r="J23" s="824">
        <f>IF(geg!I27=0,0,IF(SUM(J17:J21)&lt;(tab!$C44+tab!$C45*pers!J14),(tab!$C44+tab!$C45*pers!J14),SUM(J17:J21)))</f>
        <v>1546569.4068</v>
      </c>
      <c r="K23" s="824">
        <f>IF(geg!J27=0,0,IF(SUM(K17:K21)&lt;(tab!$C44+tab!$C45*pers!K14),(tab!$C44+tab!$C45*pers!K14),SUM(K17:K21)))</f>
        <v>1560709.6268</v>
      </c>
      <c r="L23" s="824">
        <f>IF(geg!K27=0,0,IF(SUM(L17:L21)&lt;(tab!$C44+tab!$C45*pers!L14),(tab!$C44+tab!$C45*pers!L14),SUM(L17:L21)))</f>
        <v>1574849.8467999999</v>
      </c>
      <c r="M23" s="824">
        <f>IF(geg!L27=0,0,IF(SUM(M17:M21)&lt;(tab!$C44+tab!$C45*pers!M14),(tab!$C44+tab!$C45*pers!M14),SUM(M17:M21)))</f>
        <v>1588990.0667999999</v>
      </c>
      <c r="N23" s="69"/>
      <c r="O23" s="53"/>
    </row>
    <row r="24" spans="2:20" s="48" customFormat="1" x14ac:dyDescent="0.2">
      <c r="B24" s="49"/>
      <c r="C24" s="69"/>
      <c r="D24" s="842"/>
      <c r="E24" s="71"/>
      <c r="F24" s="157"/>
      <c r="G24" s="71"/>
      <c r="H24" s="1129"/>
      <c r="I24" s="1129"/>
      <c r="J24" s="1129"/>
      <c r="K24" s="1129"/>
      <c r="L24" s="1129"/>
      <c r="M24" s="1129"/>
      <c r="N24" s="69"/>
      <c r="O24" s="53"/>
    </row>
    <row r="25" spans="2:20" s="48" customFormat="1" x14ac:dyDescent="0.2">
      <c r="B25" s="49"/>
      <c r="C25" s="69"/>
      <c r="D25" s="851" t="s">
        <v>6923</v>
      </c>
      <c r="E25" s="71"/>
      <c r="F25" s="157"/>
      <c r="G25" s="71"/>
      <c r="H25" s="1129"/>
      <c r="I25" s="1129"/>
      <c r="J25" s="1129"/>
      <c r="K25" s="1129"/>
      <c r="L25" s="1129"/>
      <c r="M25" s="1129"/>
      <c r="N25" s="69"/>
      <c r="O25" s="53"/>
      <c r="P25" s="1182" t="s">
        <v>7014</v>
      </c>
      <c r="Q25" s="1160"/>
    </row>
    <row r="26" spans="2:20" s="48" customFormat="1" x14ac:dyDescent="0.2">
      <c r="B26" s="49"/>
      <c r="C26" s="69"/>
      <c r="D26" s="839" t="s">
        <v>6924</v>
      </c>
      <c r="E26" s="71"/>
      <c r="F26" s="157"/>
      <c r="G26" s="71"/>
      <c r="H26" s="1130">
        <f>geg!G30*(tab!E34+tab!E35*pers!H14)+IF(geg!G33="ja",geg!G34*tab!E28,0)+VLOOKUP(geg!G53,MI2019groep,2,FALSE)-VLOOKUP(geg!G57,MI2019groep,2,FALSE)+geg!G30*tab!E54</f>
        <v>507851.2317</v>
      </c>
      <c r="I26" s="1130">
        <f>$H26*(1+tab!E39)</f>
        <v>507851.2317</v>
      </c>
      <c r="J26" s="1130">
        <f>$H26*(1+tab!F39)</f>
        <v>507851.2317</v>
      </c>
      <c r="K26" s="1129"/>
      <c r="L26" s="1129"/>
      <c r="M26" s="1129"/>
      <c r="N26" s="69"/>
      <c r="O26" s="53"/>
      <c r="P26" s="1172">
        <f>ROUND(geg!G30*(tab!E34+tab!E35*pers!H14),2)</f>
        <v>248462.74</v>
      </c>
      <c r="Q26" s="1173">
        <f>IF(geg!G33="ja",geg!G34*tab!E28,0)</f>
        <v>221984</v>
      </c>
      <c r="R26" s="1174">
        <f>VLOOKUP(geg!G53,MI2019groep,2,FALSE)</f>
        <v>120068</v>
      </c>
      <c r="S26" s="1174">
        <f>VLOOKUP(geg!G57,MI2019groep,2,FALSE)</f>
        <v>104206</v>
      </c>
      <c r="T26" s="1174">
        <f>geg!G30*tab!E54</f>
        <v>21542.489999999998</v>
      </c>
    </row>
    <row r="27" spans="2:20" s="48" customFormat="1" x14ac:dyDescent="0.2">
      <c r="B27" s="49"/>
      <c r="C27" s="69"/>
      <c r="D27" s="839" t="s">
        <v>6925</v>
      </c>
      <c r="E27" s="71"/>
      <c r="F27" s="157"/>
      <c r="G27" s="71"/>
      <c r="H27" s="1130">
        <f>H19</f>
        <v>353546.14680000005</v>
      </c>
      <c r="I27" s="1130">
        <f>I19</f>
        <v>353546.14680000005</v>
      </c>
      <c r="J27" s="1130">
        <f>J19</f>
        <v>353546.14680000005</v>
      </c>
      <c r="K27" s="1129"/>
      <c r="L27" s="1129"/>
      <c r="M27" s="1129"/>
      <c r="N27" s="69"/>
      <c r="O27" s="53"/>
      <c r="P27" s="1174"/>
      <c r="Q27" s="1173"/>
      <c r="R27" s="1174"/>
      <c r="S27" s="1174">
        <f>R26-S26</f>
        <v>15862</v>
      </c>
      <c r="T27" s="1174"/>
    </row>
    <row r="28" spans="2:20" s="48" customFormat="1" x14ac:dyDescent="0.2">
      <c r="B28" s="49"/>
      <c r="C28" s="69"/>
      <c r="D28" s="839" t="s">
        <v>6933</v>
      </c>
      <c r="E28" s="71"/>
      <c r="F28" s="157"/>
      <c r="G28" s="71"/>
      <c r="H28" s="1130">
        <f>(H26-H27)</f>
        <v>154305.08489999996</v>
      </c>
      <c r="I28" s="1130">
        <f>(I26-I27)</f>
        <v>154305.08489999996</v>
      </c>
      <c r="J28" s="1130">
        <f>(J26-J27)</f>
        <v>154305.08489999996</v>
      </c>
      <c r="K28" s="1129"/>
      <c r="L28" s="1129"/>
      <c r="M28" s="1129"/>
      <c r="N28" s="69"/>
      <c r="O28" s="53"/>
      <c r="P28" s="1173">
        <f>P26+Q26+R26-S26+T26</f>
        <v>507851.23</v>
      </c>
      <c r="Q28" s="1173"/>
      <c r="R28" s="1174"/>
      <c r="S28" s="1174"/>
      <c r="T28" s="1174"/>
    </row>
    <row r="29" spans="2:20" s="48" customFormat="1" x14ac:dyDescent="0.2">
      <c r="B29" s="49"/>
      <c r="C29" s="69"/>
      <c r="D29" s="839" t="s">
        <v>6930</v>
      </c>
      <c r="E29" s="71"/>
      <c r="F29" s="157"/>
      <c r="G29" s="71"/>
      <c r="H29" s="1146">
        <f>IF(($H26-$H27)&gt;0,tab!E37,IF(($H26-$H27)=0,0,tab!E38))</f>
        <v>0.75</v>
      </c>
      <c r="I29" s="1146">
        <f>IF(($H26-$H27)&gt;0,tab!F37,IF(($H26-$H27)=0,0,tab!F38))</f>
        <v>0.5</v>
      </c>
      <c r="J29" s="1146">
        <f>IF(($H26-$H27)&gt;0,tab!G37,IF(($H26-$H27)=0,0,tab!G38))</f>
        <v>0.25</v>
      </c>
      <c r="K29" s="1145"/>
      <c r="L29" s="1145"/>
      <c r="M29" s="1145"/>
      <c r="N29" s="69"/>
      <c r="O29" s="53"/>
      <c r="Q29" s="1160"/>
    </row>
    <row r="30" spans="2:20" s="48" customFormat="1" x14ac:dyDescent="0.2">
      <c r="B30" s="49"/>
      <c r="C30" s="69"/>
      <c r="D30" s="842" t="s">
        <v>6932</v>
      </c>
      <c r="E30" s="71"/>
      <c r="F30" s="1164"/>
      <c r="G30" s="71"/>
      <c r="H30" s="824">
        <f>$H28*H29</f>
        <v>115728.81367499997</v>
      </c>
      <c r="I30" s="824">
        <f>$H28*I29</f>
        <v>77152.542449999979</v>
      </c>
      <c r="J30" s="824">
        <f>$H28*J29</f>
        <v>38576.271224999989</v>
      </c>
      <c r="K30" s="1129"/>
      <c r="L30" s="1129"/>
      <c r="M30" s="1129"/>
      <c r="N30" s="69"/>
      <c r="O30" s="53"/>
    </row>
    <row r="31" spans="2:20" s="48" customFormat="1" x14ac:dyDescent="0.2">
      <c r="B31" s="49"/>
      <c r="C31" s="69"/>
      <c r="D31" s="842"/>
      <c r="E31" s="71"/>
      <c r="F31" s="157"/>
      <c r="G31" s="71"/>
      <c r="H31" s="1129"/>
      <c r="I31" s="1129"/>
      <c r="J31" s="1129"/>
      <c r="K31" s="1129"/>
      <c r="L31" s="1129"/>
      <c r="M31" s="1129"/>
      <c r="N31" s="69"/>
      <c r="O31" s="53"/>
    </row>
    <row r="32" spans="2:20" s="48" customFormat="1" x14ac:dyDescent="0.2">
      <c r="B32" s="49"/>
      <c r="C32" s="158"/>
      <c r="D32" s="838" t="s">
        <v>333</v>
      </c>
      <c r="E32" s="159"/>
      <c r="F32" s="157"/>
      <c r="G32" s="159"/>
      <c r="H32" s="160"/>
      <c r="I32" s="160"/>
      <c r="J32" s="160"/>
      <c r="K32" s="160"/>
      <c r="L32" s="160"/>
      <c r="M32" s="160"/>
      <c r="N32" s="158"/>
      <c r="O32" s="53"/>
    </row>
    <row r="33" spans="2:17" s="48" customFormat="1" x14ac:dyDescent="0.2">
      <c r="B33" s="49"/>
      <c r="C33" s="158"/>
      <c r="D33" s="837" t="s">
        <v>188</v>
      </c>
      <c r="E33" s="159"/>
      <c r="F33" s="151">
        <v>0</v>
      </c>
      <c r="G33" s="159"/>
      <c r="H33" s="686">
        <f>IF(geg!G27=0,0,tab!$E$51)</f>
        <v>18201.34</v>
      </c>
      <c r="I33" s="686">
        <f>IF(geg!H27=0,0,tab!$E$51)</f>
        <v>18201.34</v>
      </c>
      <c r="J33" s="686">
        <f>IF(geg!I27=0,0,tab!$E$51)</f>
        <v>18201.34</v>
      </c>
      <c r="K33" s="686">
        <f>IF(geg!J27=0,0,tab!$E$51)</f>
        <v>18201.34</v>
      </c>
      <c r="L33" s="686">
        <f>IF(geg!K27=0,0,tab!$E$51)</f>
        <v>18201.34</v>
      </c>
      <c r="M33" s="686">
        <f>IF(geg!L27=0,0,tab!$E$51)</f>
        <v>18201.34</v>
      </c>
      <c r="N33" s="158"/>
      <c r="O33" s="53"/>
    </row>
    <row r="34" spans="2:17" s="48" customFormat="1" x14ac:dyDescent="0.2">
      <c r="B34" s="49"/>
      <c r="C34" s="69"/>
      <c r="D34" s="837" t="s">
        <v>190</v>
      </c>
      <c r="E34" s="70"/>
      <c r="F34" s="151">
        <v>0</v>
      </c>
      <c r="G34" s="70"/>
      <c r="H34" s="720">
        <f>geg!G27*tab!$E$53</f>
        <v>234361.26</v>
      </c>
      <c r="I34" s="720">
        <f>geg!H27*tab!$E$53</f>
        <v>234361.26</v>
      </c>
      <c r="J34" s="720">
        <f>geg!I27*tab!$E$53</f>
        <v>234361.26</v>
      </c>
      <c r="K34" s="720">
        <f>geg!J27*tab!$E$53</f>
        <v>234361.26</v>
      </c>
      <c r="L34" s="720">
        <f>geg!K27*tab!$E$53</f>
        <v>234361.26</v>
      </c>
      <c r="M34" s="720">
        <f>geg!L27*tab!$E$53</f>
        <v>234361.26</v>
      </c>
      <c r="N34" s="69"/>
      <c r="O34" s="53"/>
    </row>
    <row r="35" spans="2:17" s="48" customFormat="1" x14ac:dyDescent="0.2">
      <c r="B35" s="49"/>
      <c r="C35" s="69"/>
      <c r="D35" s="839" t="s">
        <v>164</v>
      </c>
      <c r="E35" s="71"/>
      <c r="F35" s="151">
        <v>0</v>
      </c>
      <c r="G35" s="71"/>
      <c r="H35" s="720">
        <f>IF(geg!G27=0,0,IF((tab!$E$55-tab!$E$56*geg!G27)&lt;0,0,tab!$E$55-tab!$E$56*geg!G27))</f>
        <v>0</v>
      </c>
      <c r="I35" s="720">
        <f>IF(geg!H27=0,0,IF((tab!$E$55-tab!$E$56*geg!H27)&lt;0,0,tab!$E$55-tab!$E$56*geg!H27))</f>
        <v>0</v>
      </c>
      <c r="J35" s="720">
        <f>IF(geg!I27=0,0,IF((tab!$E$55-tab!$E$56*geg!I27)&lt;0,0,tab!$E$55-tab!$E$56*geg!I27))</f>
        <v>0</v>
      </c>
      <c r="K35" s="720">
        <f>IF(geg!J27=0,0,IF((tab!$E$55-tab!$E$56*geg!J27)&lt;0,0,tab!$E$55-tab!$E$56*geg!J27))</f>
        <v>0</v>
      </c>
      <c r="L35" s="720">
        <f>IF(geg!K27=0,0,IF((tab!$E$55-tab!$E$56*geg!K27)&lt;0,0,tab!$E$55-tab!$E$56*geg!K27))</f>
        <v>0</v>
      </c>
      <c r="M35" s="720">
        <f>IF(geg!L27=0,0,IF((tab!$E$55-tab!$E$56*geg!L27)&lt;0,0,tab!$E$55-tab!$E$56*geg!L27))</f>
        <v>0</v>
      </c>
      <c r="N35" s="69"/>
      <c r="O35" s="53"/>
    </row>
    <row r="36" spans="2:17" s="48" customFormat="1" x14ac:dyDescent="0.2">
      <c r="B36" s="49"/>
      <c r="C36" s="69"/>
      <c r="D36" s="839" t="s">
        <v>6</v>
      </c>
      <c r="E36" s="159"/>
      <c r="F36" s="151">
        <v>0</v>
      </c>
      <c r="G36" s="159"/>
      <c r="H36" s="720">
        <f>IF(geg!G27=0,0,IF(geg!G27&gt;194,0,tab!$E$52))</f>
        <v>0</v>
      </c>
      <c r="I36" s="720">
        <f>IF(geg!H27=0,0,IF(geg!H27&gt;194,0,tab!$E$52))</f>
        <v>0</v>
      </c>
      <c r="J36" s="720">
        <f>IF(geg!I27=0,0,IF(geg!I27&gt;194,0,tab!$E$52))</f>
        <v>0</v>
      </c>
      <c r="K36" s="720">
        <f>IF(geg!J27=0,0,IF(geg!J27&gt;194,0,tab!$E$52))</f>
        <v>0</v>
      </c>
      <c r="L36" s="720">
        <f>IF(geg!K27=0,0,IF(geg!K27&gt;194,0,tab!$E$52))</f>
        <v>0</v>
      </c>
      <c r="M36" s="720">
        <f>IF(geg!L27=0,0,IF(geg!L27&gt;194,0,tab!$E$52))</f>
        <v>0</v>
      </c>
      <c r="N36" s="69"/>
      <c r="O36" s="53"/>
    </row>
    <row r="37" spans="2:17" s="48" customFormat="1" x14ac:dyDescent="0.2">
      <c r="B37" s="49"/>
      <c r="C37" s="121"/>
      <c r="D37" s="842"/>
      <c r="E37" s="89"/>
      <c r="F37" s="157"/>
      <c r="G37" s="89"/>
      <c r="H37" s="719">
        <f t="shared" ref="H37:M37" si="1">SUM(H33:H36)</f>
        <v>252562.6</v>
      </c>
      <c r="I37" s="719">
        <f t="shared" si="1"/>
        <v>252562.6</v>
      </c>
      <c r="J37" s="719">
        <f t="shared" si="1"/>
        <v>252562.6</v>
      </c>
      <c r="K37" s="719">
        <f t="shared" si="1"/>
        <v>252562.6</v>
      </c>
      <c r="L37" s="719">
        <f t="shared" si="1"/>
        <v>252562.6</v>
      </c>
      <c r="M37" s="719">
        <f t="shared" si="1"/>
        <v>252562.6</v>
      </c>
      <c r="N37" s="121"/>
      <c r="O37" s="53"/>
    </row>
    <row r="38" spans="2:17" s="48" customFormat="1" x14ac:dyDescent="0.2">
      <c r="B38" s="49"/>
      <c r="C38" s="121"/>
      <c r="D38" s="838" t="s">
        <v>504</v>
      </c>
      <c r="E38" s="89"/>
      <c r="F38" s="157"/>
      <c r="G38" s="89"/>
      <c r="H38" s="162"/>
      <c r="I38" s="162"/>
      <c r="J38" s="162"/>
      <c r="K38" s="162"/>
      <c r="L38" s="162"/>
      <c r="M38" s="162"/>
      <c r="N38" s="121"/>
      <c r="O38" s="53"/>
      <c r="Q38" s="329"/>
    </row>
    <row r="39" spans="2:17" s="155" customFormat="1" x14ac:dyDescent="0.2">
      <c r="B39" s="94"/>
      <c r="C39" s="95"/>
      <c r="D39" s="839" t="s">
        <v>431</v>
      </c>
      <c r="E39" s="71"/>
      <c r="F39" s="151">
        <v>0</v>
      </c>
      <c r="G39" s="71"/>
      <c r="H39" s="682">
        <f>(geg!G27*tab!$E$60)</f>
        <v>61975.34</v>
      </c>
      <c r="I39" s="682">
        <f>(geg!H27*tab!$E$60)</f>
        <v>61975.34</v>
      </c>
      <c r="J39" s="682">
        <f>(geg!I27*tab!$E$60)</f>
        <v>61975.34</v>
      </c>
      <c r="K39" s="682">
        <f>(geg!J27*tab!$E$60)</f>
        <v>61975.34</v>
      </c>
      <c r="L39" s="682">
        <f>(geg!K27*tab!$E$60)</f>
        <v>61975.34</v>
      </c>
      <c r="M39" s="682">
        <f>(geg!L27*tab!$E$60)</f>
        <v>61975.34</v>
      </c>
      <c r="N39" s="95"/>
      <c r="O39" s="97"/>
      <c r="Q39" s="987"/>
    </row>
    <row r="40" spans="2:17" s="48" customFormat="1" x14ac:dyDescent="0.2">
      <c r="B40" s="49"/>
      <c r="C40" s="121"/>
      <c r="D40" s="850" t="s">
        <v>6937</v>
      </c>
      <c r="E40" s="71"/>
      <c r="F40" s="151">
        <v>0</v>
      </c>
      <c r="G40" s="71"/>
      <c r="H40" s="1151">
        <f>VLOOKUP(geg!G39,IGB,4,TRUE)</f>
        <v>0</v>
      </c>
      <c r="I40" s="1151">
        <f>VLOOKUP(geg!H39,IGB,4,TRUE)</f>
        <v>0</v>
      </c>
      <c r="J40" s="1151">
        <f>VLOOKUP(geg!I39,IGB,4,TRUE)</f>
        <v>0</v>
      </c>
      <c r="K40" s="1151">
        <f>VLOOKUP(geg!J39,IGB,4,TRUE)</f>
        <v>0</v>
      </c>
      <c r="L40" s="1151">
        <f>VLOOKUP(geg!K39,IGB,4,TRUE)</f>
        <v>0</v>
      </c>
      <c r="M40" s="1151">
        <f>VLOOKUP(geg!L39,IGB,4,TRUE)</f>
        <v>0</v>
      </c>
      <c r="N40" s="121"/>
      <c r="O40" s="53"/>
    </row>
    <row r="41" spans="2:17" s="48" customFormat="1" x14ac:dyDescent="0.2">
      <c r="B41" s="49"/>
      <c r="C41" s="121"/>
      <c r="D41" s="843"/>
      <c r="E41" s="71"/>
      <c r="F41" s="151">
        <v>0</v>
      </c>
      <c r="G41" s="71"/>
      <c r="H41" s="165">
        <v>0</v>
      </c>
      <c r="I41" s="165">
        <v>0</v>
      </c>
      <c r="J41" s="165">
        <v>0</v>
      </c>
      <c r="K41" s="165">
        <v>0</v>
      </c>
      <c r="L41" s="165">
        <v>0</v>
      </c>
      <c r="M41" s="165">
        <v>0</v>
      </c>
      <c r="N41" s="121"/>
      <c r="O41" s="53"/>
    </row>
    <row r="42" spans="2:17" s="48" customFormat="1" x14ac:dyDescent="0.2">
      <c r="B42" s="49"/>
      <c r="C42" s="121"/>
      <c r="D42" s="843"/>
      <c r="E42" s="71"/>
      <c r="F42" s="151">
        <v>0</v>
      </c>
      <c r="G42" s="71"/>
      <c r="H42" s="165">
        <v>0</v>
      </c>
      <c r="I42" s="165">
        <v>0</v>
      </c>
      <c r="J42" s="165">
        <v>0</v>
      </c>
      <c r="K42" s="165">
        <v>0</v>
      </c>
      <c r="L42" s="165">
        <v>0</v>
      </c>
      <c r="M42" s="165">
        <v>0</v>
      </c>
      <c r="N42" s="121"/>
      <c r="O42" s="53"/>
    </row>
    <row r="43" spans="2:17" s="48" customFormat="1" x14ac:dyDescent="0.2">
      <c r="B43" s="49"/>
      <c r="C43" s="121"/>
      <c r="D43" s="843"/>
      <c r="E43" s="71"/>
      <c r="F43" s="151">
        <v>0</v>
      </c>
      <c r="G43" s="71"/>
      <c r="H43" s="165">
        <v>0</v>
      </c>
      <c r="I43" s="165">
        <v>0</v>
      </c>
      <c r="J43" s="165">
        <v>0</v>
      </c>
      <c r="K43" s="165">
        <v>0</v>
      </c>
      <c r="L43" s="165">
        <v>0</v>
      </c>
      <c r="M43" s="165">
        <v>0</v>
      </c>
      <c r="N43" s="121"/>
      <c r="O43" s="53"/>
    </row>
    <row r="44" spans="2:17" s="48" customFormat="1" x14ac:dyDescent="0.2">
      <c r="B44" s="49"/>
      <c r="C44" s="121"/>
      <c r="D44" s="837"/>
      <c r="E44" s="71"/>
      <c r="F44" s="71"/>
      <c r="G44" s="71"/>
      <c r="H44" s="719">
        <f t="shared" ref="H44:M44" si="2">SUM(H39:H43)</f>
        <v>61975.34</v>
      </c>
      <c r="I44" s="719">
        <f t="shared" si="2"/>
        <v>61975.34</v>
      </c>
      <c r="J44" s="719">
        <f t="shared" si="2"/>
        <v>61975.34</v>
      </c>
      <c r="K44" s="719">
        <f t="shared" si="2"/>
        <v>61975.34</v>
      </c>
      <c r="L44" s="719">
        <f t="shared" si="2"/>
        <v>61975.34</v>
      </c>
      <c r="M44" s="719">
        <f t="shared" si="2"/>
        <v>61975.34</v>
      </c>
      <c r="N44" s="121"/>
      <c r="O44" s="53"/>
    </row>
    <row r="45" spans="2:17" s="48" customFormat="1" x14ac:dyDescent="0.2">
      <c r="B45" s="49"/>
      <c r="C45" s="121"/>
      <c r="D45" s="838" t="s">
        <v>543</v>
      </c>
      <c r="E45" s="89"/>
      <c r="F45" s="157"/>
      <c r="G45" s="89"/>
      <c r="H45" s="162"/>
      <c r="I45" s="162"/>
      <c r="J45" s="162"/>
      <c r="K45" s="162"/>
      <c r="L45" s="162"/>
      <c r="M45" s="162"/>
      <c r="N45" s="121"/>
      <c r="O45" s="53"/>
    </row>
    <row r="46" spans="2:17" s="48" customFormat="1" x14ac:dyDescent="0.2">
      <c r="B46" s="49"/>
      <c r="C46" s="121"/>
      <c r="D46" s="843"/>
      <c r="E46" s="71"/>
      <c r="F46" s="89"/>
      <c r="G46" s="71"/>
      <c r="H46" s="165">
        <v>0</v>
      </c>
      <c r="I46" s="165">
        <v>0</v>
      </c>
      <c r="J46" s="165">
        <v>0</v>
      </c>
      <c r="K46" s="165">
        <v>0</v>
      </c>
      <c r="L46" s="165">
        <v>0</v>
      </c>
      <c r="M46" s="165">
        <v>0</v>
      </c>
      <c r="N46" s="121"/>
      <c r="O46" s="53"/>
    </row>
    <row r="47" spans="2:17" s="48" customFormat="1" x14ac:dyDescent="0.2">
      <c r="B47" s="49"/>
      <c r="C47" s="121"/>
      <c r="D47" s="843"/>
      <c r="E47" s="71"/>
      <c r="F47" s="89"/>
      <c r="G47" s="71"/>
      <c r="H47" s="165">
        <v>0</v>
      </c>
      <c r="I47" s="165">
        <v>0</v>
      </c>
      <c r="J47" s="165">
        <v>0</v>
      </c>
      <c r="K47" s="165">
        <v>0</v>
      </c>
      <c r="L47" s="165">
        <v>0</v>
      </c>
      <c r="M47" s="165">
        <v>0</v>
      </c>
      <c r="N47" s="121"/>
      <c r="O47" s="53"/>
    </row>
    <row r="48" spans="2:17" s="48" customFormat="1" x14ac:dyDescent="0.2">
      <c r="B48" s="49"/>
      <c r="C48" s="121"/>
      <c r="D48" s="843"/>
      <c r="E48" s="71"/>
      <c r="F48" s="89"/>
      <c r="G48" s="71"/>
      <c r="H48" s="165">
        <v>0</v>
      </c>
      <c r="I48" s="165">
        <v>0</v>
      </c>
      <c r="J48" s="165">
        <v>0</v>
      </c>
      <c r="K48" s="165">
        <v>0</v>
      </c>
      <c r="L48" s="165">
        <v>0</v>
      </c>
      <c r="M48" s="165">
        <v>0</v>
      </c>
      <c r="N48" s="121"/>
      <c r="O48" s="53"/>
    </row>
    <row r="49" spans="2:17" s="48" customFormat="1" x14ac:dyDescent="0.2">
      <c r="B49" s="49"/>
      <c r="C49" s="121"/>
      <c r="D49" s="843"/>
      <c r="E49" s="71"/>
      <c r="F49" s="89"/>
      <c r="G49" s="71"/>
      <c r="H49" s="165">
        <v>0</v>
      </c>
      <c r="I49" s="165">
        <v>0</v>
      </c>
      <c r="J49" s="165">
        <v>0</v>
      </c>
      <c r="K49" s="165">
        <v>0</v>
      </c>
      <c r="L49" s="165">
        <v>0</v>
      </c>
      <c r="M49" s="165">
        <v>0</v>
      </c>
      <c r="N49" s="121"/>
      <c r="O49" s="53"/>
    </row>
    <row r="50" spans="2:17" s="48" customFormat="1" x14ac:dyDescent="0.2">
      <c r="B50" s="49"/>
      <c r="C50" s="121"/>
      <c r="D50" s="843"/>
      <c r="E50" s="71"/>
      <c r="F50" s="89"/>
      <c r="G50" s="71"/>
      <c r="H50" s="165">
        <v>0</v>
      </c>
      <c r="I50" s="165">
        <v>0</v>
      </c>
      <c r="J50" s="165">
        <v>0</v>
      </c>
      <c r="K50" s="165">
        <v>0</v>
      </c>
      <c r="L50" s="165">
        <v>0</v>
      </c>
      <c r="M50" s="165">
        <v>0</v>
      </c>
      <c r="N50" s="121"/>
      <c r="O50" s="53"/>
    </row>
    <row r="51" spans="2:17" s="48" customFormat="1" x14ac:dyDescent="0.2">
      <c r="B51" s="49"/>
      <c r="C51" s="121"/>
      <c r="D51" s="837"/>
      <c r="E51" s="71"/>
      <c r="F51" s="71"/>
      <c r="G51" s="71"/>
      <c r="H51" s="825">
        <f t="shared" ref="H51:M51" si="3">SUM(H46:H50)</f>
        <v>0</v>
      </c>
      <c r="I51" s="825">
        <f t="shared" si="3"/>
        <v>0</v>
      </c>
      <c r="J51" s="825">
        <f t="shared" si="3"/>
        <v>0</v>
      </c>
      <c r="K51" s="825">
        <f t="shared" si="3"/>
        <v>0</v>
      </c>
      <c r="L51" s="825">
        <f t="shared" si="3"/>
        <v>0</v>
      </c>
      <c r="M51" s="825">
        <f t="shared" si="3"/>
        <v>0</v>
      </c>
      <c r="N51" s="121"/>
      <c r="O51" s="53"/>
    </row>
    <row r="52" spans="2:17" s="48" customFormat="1" x14ac:dyDescent="0.2">
      <c r="B52" s="49"/>
      <c r="C52" s="121"/>
      <c r="D52" s="96" t="s">
        <v>13</v>
      </c>
      <c r="E52" s="71"/>
      <c r="F52" s="71"/>
      <c r="G52" s="71"/>
      <c r="H52" s="162"/>
      <c r="I52" s="162"/>
      <c r="J52" s="162"/>
      <c r="K52" s="162"/>
      <c r="L52" s="162"/>
      <c r="M52" s="162"/>
      <c r="N52" s="121"/>
      <c r="O52" s="53"/>
    </row>
    <row r="53" spans="2:17" s="155" customFormat="1" x14ac:dyDescent="0.2">
      <c r="B53" s="94"/>
      <c r="C53" s="121"/>
      <c r="D53" s="838" t="s">
        <v>14</v>
      </c>
      <c r="E53" s="89"/>
      <c r="F53" s="89"/>
      <c r="G53" s="89"/>
      <c r="H53" s="162"/>
      <c r="I53" s="162"/>
      <c r="J53" s="162"/>
      <c r="K53" s="162"/>
      <c r="L53" s="162"/>
      <c r="M53" s="162"/>
      <c r="N53" s="121"/>
      <c r="O53" s="97"/>
    </row>
    <row r="54" spans="2:17" s="155" customFormat="1" x14ac:dyDescent="0.2">
      <c r="B54" s="94"/>
      <c r="C54" s="121"/>
      <c r="D54" s="837" t="s">
        <v>15</v>
      </c>
      <c r="E54" s="89"/>
      <c r="F54" s="89"/>
      <c r="G54" s="89"/>
      <c r="H54" s="686">
        <f t="shared" ref="H54:M54" si="4">$F17*H17+$F18*H18+$F19*H19+$F20*H20+$F21*H21+$F22*H22+$F33*H33+$F34*H34+$F35*H35+$F36*H36+$F39*H39+$F40*H40+$F41*H41+$F42*H42+$F43*H43</f>
        <v>0</v>
      </c>
      <c r="I54" s="686">
        <f t="shared" si="4"/>
        <v>0</v>
      </c>
      <c r="J54" s="686">
        <f t="shared" si="4"/>
        <v>0</v>
      </c>
      <c r="K54" s="686">
        <f t="shared" si="4"/>
        <v>0</v>
      </c>
      <c r="L54" s="686">
        <f t="shared" si="4"/>
        <v>0</v>
      </c>
      <c r="M54" s="686">
        <f t="shared" si="4"/>
        <v>0</v>
      </c>
      <c r="N54" s="121"/>
      <c r="O54" s="97"/>
      <c r="Q54" s="42"/>
    </row>
    <row r="55" spans="2:17" s="155" customFormat="1" x14ac:dyDescent="0.2">
      <c r="B55" s="94"/>
      <c r="C55" s="121"/>
      <c r="D55" s="843"/>
      <c r="E55" s="89"/>
      <c r="F55" s="89"/>
      <c r="G55" s="89"/>
      <c r="H55" s="165">
        <v>0</v>
      </c>
      <c r="I55" s="165">
        <v>0</v>
      </c>
      <c r="J55" s="165">
        <v>0</v>
      </c>
      <c r="K55" s="165">
        <v>0</v>
      </c>
      <c r="L55" s="165">
        <v>0</v>
      </c>
      <c r="M55" s="165">
        <v>0</v>
      </c>
      <c r="N55" s="121"/>
      <c r="O55" s="97"/>
    </row>
    <row r="56" spans="2:17" x14ac:dyDescent="0.2">
      <c r="B56" s="49"/>
      <c r="C56" s="69"/>
      <c r="D56" s="843"/>
      <c r="E56" s="70"/>
      <c r="F56" s="70"/>
      <c r="G56" s="70"/>
      <c r="H56" s="165">
        <v>0</v>
      </c>
      <c r="I56" s="165">
        <v>0</v>
      </c>
      <c r="J56" s="165">
        <v>0</v>
      </c>
      <c r="K56" s="165">
        <v>0</v>
      </c>
      <c r="L56" s="165">
        <v>0</v>
      </c>
      <c r="M56" s="165">
        <v>0</v>
      </c>
      <c r="N56" s="69"/>
      <c r="O56" s="53"/>
    </row>
    <row r="57" spans="2:17" x14ac:dyDescent="0.2">
      <c r="B57" s="49"/>
      <c r="C57" s="69"/>
      <c r="D57" s="843"/>
      <c r="E57" s="70"/>
      <c r="F57" s="70"/>
      <c r="G57" s="70"/>
      <c r="H57" s="165">
        <v>0</v>
      </c>
      <c r="I57" s="165">
        <v>0</v>
      </c>
      <c r="J57" s="165">
        <v>0</v>
      </c>
      <c r="K57" s="165">
        <v>0</v>
      </c>
      <c r="L57" s="165">
        <v>0</v>
      </c>
      <c r="M57" s="165">
        <v>0</v>
      </c>
      <c r="N57" s="69"/>
      <c r="O57" s="53"/>
    </row>
    <row r="58" spans="2:17" x14ac:dyDescent="0.2">
      <c r="B58" s="49"/>
      <c r="C58" s="69"/>
      <c r="D58" s="843"/>
      <c r="E58" s="70"/>
      <c r="F58" s="70"/>
      <c r="G58" s="70"/>
      <c r="H58" s="165">
        <v>0</v>
      </c>
      <c r="I58" s="165">
        <v>0</v>
      </c>
      <c r="J58" s="165">
        <v>0</v>
      </c>
      <c r="K58" s="165">
        <v>0</v>
      </c>
      <c r="L58" s="165">
        <v>0</v>
      </c>
      <c r="M58" s="165">
        <v>0</v>
      </c>
      <c r="N58" s="69"/>
      <c r="O58" s="53"/>
    </row>
    <row r="59" spans="2:17" s="155" customFormat="1" x14ac:dyDescent="0.2">
      <c r="B59" s="94"/>
      <c r="C59" s="121"/>
      <c r="D59" s="837"/>
      <c r="E59" s="89"/>
      <c r="F59" s="89"/>
      <c r="G59" s="89"/>
      <c r="H59" s="719">
        <f t="shared" ref="H59:M59" si="5">SUM(H54:H58)</f>
        <v>0</v>
      </c>
      <c r="I59" s="719">
        <f t="shared" si="5"/>
        <v>0</v>
      </c>
      <c r="J59" s="719">
        <f t="shared" si="5"/>
        <v>0</v>
      </c>
      <c r="K59" s="719">
        <f t="shared" si="5"/>
        <v>0</v>
      </c>
      <c r="L59" s="719">
        <f t="shared" si="5"/>
        <v>0</v>
      </c>
      <c r="M59" s="719">
        <f t="shared" si="5"/>
        <v>0</v>
      </c>
      <c r="N59" s="121"/>
      <c r="O59" s="97"/>
    </row>
    <row r="60" spans="2:17" s="155" customFormat="1" x14ac:dyDescent="0.2">
      <c r="B60" s="94"/>
      <c r="C60" s="121"/>
      <c r="D60" s="399" t="s">
        <v>16</v>
      </c>
      <c r="E60" s="161"/>
      <c r="F60" s="166"/>
      <c r="G60" s="71"/>
      <c r="H60" s="167"/>
      <c r="I60" s="167"/>
      <c r="J60" s="167"/>
      <c r="K60" s="167"/>
      <c r="L60" s="167"/>
      <c r="M60" s="167"/>
      <c r="N60" s="121"/>
      <c r="O60" s="97"/>
    </row>
    <row r="61" spans="2:17" s="155" customFormat="1" x14ac:dyDescent="0.2">
      <c r="B61" s="94"/>
      <c r="C61" s="121"/>
      <c r="D61" s="843"/>
      <c r="E61" s="168"/>
      <c r="F61" s="169"/>
      <c r="G61" s="71"/>
      <c r="H61" s="165">
        <v>0</v>
      </c>
      <c r="I61" s="165">
        <v>0</v>
      </c>
      <c r="J61" s="165">
        <v>0</v>
      </c>
      <c r="K61" s="165">
        <v>0</v>
      </c>
      <c r="L61" s="165">
        <v>0</v>
      </c>
      <c r="M61" s="165">
        <v>0</v>
      </c>
      <c r="N61" s="121"/>
      <c r="O61" s="97"/>
    </row>
    <row r="62" spans="2:17" s="155" customFormat="1" x14ac:dyDescent="0.2">
      <c r="B62" s="94"/>
      <c r="C62" s="121"/>
      <c r="D62" s="843"/>
      <c r="E62" s="161"/>
      <c r="F62" s="166"/>
      <c r="G62" s="71"/>
      <c r="H62" s="165">
        <v>0</v>
      </c>
      <c r="I62" s="165">
        <v>0</v>
      </c>
      <c r="J62" s="165">
        <v>0</v>
      </c>
      <c r="K62" s="165">
        <v>0</v>
      </c>
      <c r="L62" s="165">
        <v>0</v>
      </c>
      <c r="M62" s="165">
        <v>0</v>
      </c>
      <c r="N62" s="121"/>
      <c r="O62" s="97"/>
    </row>
    <row r="63" spans="2:17" s="155" customFormat="1" x14ac:dyDescent="0.2">
      <c r="B63" s="94"/>
      <c r="C63" s="121"/>
      <c r="D63" s="843"/>
      <c r="E63" s="168"/>
      <c r="F63" s="169"/>
      <c r="G63" s="71"/>
      <c r="H63" s="165">
        <v>0</v>
      </c>
      <c r="I63" s="165">
        <v>0</v>
      </c>
      <c r="J63" s="165">
        <v>0</v>
      </c>
      <c r="K63" s="165">
        <v>0</v>
      </c>
      <c r="L63" s="165">
        <v>0</v>
      </c>
      <c r="M63" s="165">
        <v>0</v>
      </c>
      <c r="N63" s="121"/>
      <c r="O63" s="97"/>
    </row>
    <row r="64" spans="2:17" s="155" customFormat="1" x14ac:dyDescent="0.2">
      <c r="B64" s="94"/>
      <c r="C64" s="121"/>
      <c r="D64" s="843"/>
      <c r="E64" s="161"/>
      <c r="F64" s="166"/>
      <c r="G64" s="71"/>
      <c r="H64" s="165">
        <v>0</v>
      </c>
      <c r="I64" s="165">
        <v>0</v>
      </c>
      <c r="J64" s="165">
        <v>0</v>
      </c>
      <c r="K64" s="165">
        <v>0</v>
      </c>
      <c r="L64" s="165">
        <v>0</v>
      </c>
      <c r="M64" s="165">
        <v>0</v>
      </c>
      <c r="N64" s="121"/>
      <c r="O64" s="97"/>
    </row>
    <row r="65" spans="2:15" s="155" customFormat="1" x14ac:dyDescent="0.2">
      <c r="B65" s="94"/>
      <c r="C65" s="121"/>
      <c r="D65" s="843"/>
      <c r="E65" s="168"/>
      <c r="F65" s="169"/>
      <c r="G65" s="71"/>
      <c r="H65" s="165">
        <v>0</v>
      </c>
      <c r="I65" s="165">
        <v>0</v>
      </c>
      <c r="J65" s="165">
        <v>0</v>
      </c>
      <c r="K65" s="165">
        <v>0</v>
      </c>
      <c r="L65" s="165">
        <v>0</v>
      </c>
      <c r="M65" s="165">
        <v>0</v>
      </c>
      <c r="N65" s="121"/>
      <c r="O65" s="97"/>
    </row>
    <row r="66" spans="2:15" s="155" customFormat="1" x14ac:dyDescent="0.2">
      <c r="B66" s="94"/>
      <c r="C66" s="121"/>
      <c r="D66" s="837"/>
      <c r="E66" s="89"/>
      <c r="F66" s="89"/>
      <c r="G66" s="89"/>
      <c r="H66" s="719">
        <f t="shared" ref="H66:M66" si="6">SUM(H61:H65)</f>
        <v>0</v>
      </c>
      <c r="I66" s="719">
        <f t="shared" si="6"/>
        <v>0</v>
      </c>
      <c r="J66" s="719">
        <f t="shared" si="6"/>
        <v>0</v>
      </c>
      <c r="K66" s="719">
        <f t="shared" si="6"/>
        <v>0</v>
      </c>
      <c r="L66" s="719">
        <f t="shared" si="6"/>
        <v>0</v>
      </c>
      <c r="M66" s="719">
        <f t="shared" si="6"/>
        <v>0</v>
      </c>
      <c r="N66" s="121"/>
      <c r="O66" s="97"/>
    </row>
    <row r="67" spans="2:15" s="155" customFormat="1" x14ac:dyDescent="0.2">
      <c r="B67" s="94"/>
      <c r="C67" s="121"/>
      <c r="D67" s="839"/>
      <c r="E67" s="71"/>
      <c r="F67" s="71"/>
      <c r="G67" s="71"/>
      <c r="H67" s="74"/>
      <c r="I67" s="170"/>
      <c r="J67" s="98"/>
      <c r="K67" s="98"/>
      <c r="L67" s="98"/>
      <c r="M67" s="98"/>
      <c r="N67" s="121"/>
      <c r="O67" s="97"/>
    </row>
    <row r="68" spans="2:15" s="155" customFormat="1" x14ac:dyDescent="0.2">
      <c r="B68" s="94"/>
      <c r="C68" s="121"/>
      <c r="D68" s="399" t="s">
        <v>17</v>
      </c>
      <c r="E68" s="153"/>
      <c r="F68" s="153"/>
      <c r="G68" s="153"/>
      <c r="H68" s="719">
        <f t="shared" ref="H68:M68" si="7">H59-H66</f>
        <v>0</v>
      </c>
      <c r="I68" s="719">
        <f t="shared" si="7"/>
        <v>0</v>
      </c>
      <c r="J68" s="719">
        <f t="shared" si="7"/>
        <v>0</v>
      </c>
      <c r="K68" s="719">
        <f t="shared" si="7"/>
        <v>0</v>
      </c>
      <c r="L68" s="719">
        <f t="shared" si="7"/>
        <v>0</v>
      </c>
      <c r="M68" s="719">
        <f t="shared" si="7"/>
        <v>0</v>
      </c>
      <c r="N68" s="121"/>
      <c r="O68" s="97"/>
    </row>
    <row r="69" spans="2:15" s="155" customFormat="1" x14ac:dyDescent="0.2">
      <c r="B69" s="94"/>
      <c r="C69" s="121"/>
      <c r="D69" s="840"/>
      <c r="E69" s="89"/>
      <c r="F69" s="89"/>
      <c r="G69" s="89"/>
      <c r="H69" s="162"/>
      <c r="I69" s="162"/>
      <c r="J69" s="162"/>
      <c r="K69" s="162"/>
      <c r="L69" s="162"/>
      <c r="M69" s="162"/>
      <c r="N69" s="121"/>
      <c r="O69" s="97"/>
    </row>
    <row r="70" spans="2:15" s="155" customFormat="1" x14ac:dyDescent="0.2">
      <c r="B70" s="94"/>
      <c r="C70" s="121"/>
      <c r="D70" s="89"/>
      <c r="E70" s="89"/>
      <c r="F70" s="89"/>
      <c r="G70" s="89"/>
      <c r="H70" s="162"/>
      <c r="I70" s="162"/>
      <c r="J70" s="162"/>
      <c r="K70" s="162"/>
      <c r="L70" s="162"/>
      <c r="M70" s="162"/>
      <c r="N70" s="121"/>
      <c r="O70" s="97"/>
    </row>
    <row r="71" spans="2:15" x14ac:dyDescent="0.2">
      <c r="B71" s="49"/>
      <c r="C71" s="121"/>
      <c r="D71" s="89" t="s">
        <v>284</v>
      </c>
      <c r="E71" s="89"/>
      <c r="F71" s="89"/>
      <c r="G71" s="89"/>
      <c r="H71" s="716">
        <f t="shared" ref="H71:M71" si="8">H23+H30+H37+H44+H51-H68</f>
        <v>1960009.298675</v>
      </c>
      <c r="I71" s="716">
        <f t="shared" si="8"/>
        <v>1924119.66925</v>
      </c>
      <c r="J71" s="716">
        <f t="shared" si="8"/>
        <v>1899683.6180250002</v>
      </c>
      <c r="K71" s="716">
        <f t="shared" si="8"/>
        <v>1875247.5668000001</v>
      </c>
      <c r="L71" s="716">
        <f t="shared" si="8"/>
        <v>1889387.7868000001</v>
      </c>
      <c r="M71" s="716">
        <f t="shared" si="8"/>
        <v>1903528.0068000001</v>
      </c>
      <c r="N71" s="121"/>
      <c r="O71" s="53"/>
    </row>
    <row r="72" spans="2:15" s="48" customFormat="1" x14ac:dyDescent="0.2">
      <c r="B72" s="49"/>
      <c r="C72" s="171"/>
      <c r="D72" s="172"/>
      <c r="E72" s="172"/>
      <c r="F72" s="172"/>
      <c r="G72" s="172"/>
      <c r="H72" s="173"/>
      <c r="I72" s="173"/>
      <c r="J72" s="173"/>
      <c r="K72" s="173"/>
      <c r="L72" s="173"/>
      <c r="M72" s="173"/>
      <c r="N72" s="171"/>
      <c r="O72" s="53"/>
    </row>
    <row r="73" spans="2:15" s="48" customFormat="1" x14ac:dyDescent="0.2">
      <c r="B73" s="49"/>
      <c r="C73" s="50"/>
      <c r="D73" s="50"/>
      <c r="E73" s="50"/>
      <c r="F73" s="50"/>
      <c r="G73" s="50"/>
      <c r="H73" s="129"/>
      <c r="I73" s="129"/>
      <c r="J73" s="129"/>
      <c r="K73" s="129"/>
      <c r="L73" s="129"/>
      <c r="M73" s="129"/>
      <c r="N73" s="50"/>
      <c r="O73" s="53"/>
    </row>
    <row r="74" spans="2:15" s="48" customFormat="1" x14ac:dyDescent="0.2">
      <c r="B74" s="49"/>
      <c r="C74" s="117"/>
      <c r="D74" s="174"/>
      <c r="E74" s="174"/>
      <c r="F74" s="174"/>
      <c r="G74" s="174"/>
      <c r="H74" s="175"/>
      <c r="I74" s="175"/>
      <c r="J74" s="175"/>
      <c r="K74" s="175"/>
      <c r="L74" s="175"/>
      <c r="M74" s="175"/>
      <c r="N74" s="117"/>
      <c r="O74" s="53"/>
    </row>
    <row r="75" spans="2:15" s="48" customFormat="1" x14ac:dyDescent="0.2">
      <c r="B75" s="49"/>
      <c r="C75" s="69"/>
      <c r="D75" s="690" t="s">
        <v>363</v>
      </c>
      <c r="E75" s="140"/>
      <c r="F75" s="140"/>
      <c r="G75" s="140"/>
      <c r="H75" s="93"/>
      <c r="I75" s="93"/>
      <c r="J75" s="93"/>
      <c r="K75" s="93"/>
      <c r="L75" s="167"/>
      <c r="M75" s="167"/>
      <c r="N75" s="69"/>
      <c r="O75" s="53"/>
    </row>
    <row r="76" spans="2:15" s="48" customFormat="1" x14ac:dyDescent="0.2">
      <c r="B76" s="49"/>
      <c r="C76" s="69"/>
      <c r="D76" s="153"/>
      <c r="E76" s="140"/>
      <c r="F76" s="140"/>
      <c r="G76" s="140"/>
      <c r="H76" s="93"/>
      <c r="I76" s="93"/>
      <c r="J76" s="93"/>
      <c r="K76" s="93"/>
      <c r="L76" s="167"/>
      <c r="M76" s="167"/>
      <c r="N76" s="69"/>
      <c r="O76" s="53"/>
    </row>
    <row r="77" spans="2:15" s="48" customFormat="1" x14ac:dyDescent="0.2">
      <c r="B77" s="49"/>
      <c r="C77" s="69"/>
      <c r="D77" s="843"/>
      <c r="E77" s="140"/>
      <c r="F77" s="140"/>
      <c r="G77" s="140"/>
      <c r="H77" s="165">
        <v>0</v>
      </c>
      <c r="I77" s="165">
        <f t="shared" ref="I77:J81" si="9">H77</f>
        <v>0</v>
      </c>
      <c r="J77" s="165">
        <f t="shared" si="9"/>
        <v>0</v>
      </c>
      <c r="K77" s="165">
        <f t="shared" ref="K77:M81" si="10">J77</f>
        <v>0</v>
      </c>
      <c r="L77" s="165">
        <f t="shared" si="10"/>
        <v>0</v>
      </c>
      <c r="M77" s="165">
        <f t="shared" si="10"/>
        <v>0</v>
      </c>
      <c r="N77" s="69"/>
      <c r="O77" s="53"/>
    </row>
    <row r="78" spans="2:15" s="48" customFormat="1" x14ac:dyDescent="0.2">
      <c r="B78" s="49"/>
      <c r="C78" s="69"/>
      <c r="D78" s="843"/>
      <c r="E78" s="140"/>
      <c r="F78" s="140"/>
      <c r="G78" s="140"/>
      <c r="H78" s="165">
        <v>0</v>
      </c>
      <c r="I78" s="165">
        <f t="shared" si="9"/>
        <v>0</v>
      </c>
      <c r="J78" s="165">
        <f t="shared" si="9"/>
        <v>0</v>
      </c>
      <c r="K78" s="165">
        <f t="shared" si="10"/>
        <v>0</v>
      </c>
      <c r="L78" s="165">
        <f t="shared" si="10"/>
        <v>0</v>
      </c>
      <c r="M78" s="165">
        <f t="shared" si="10"/>
        <v>0</v>
      </c>
      <c r="N78" s="69"/>
      <c r="O78" s="53"/>
    </row>
    <row r="79" spans="2:15" s="48" customFormat="1" x14ac:dyDescent="0.2">
      <c r="B79" s="49"/>
      <c r="C79" s="69"/>
      <c r="D79" s="843"/>
      <c r="E79" s="140"/>
      <c r="F79" s="140"/>
      <c r="G79" s="140"/>
      <c r="H79" s="165">
        <v>0</v>
      </c>
      <c r="I79" s="165">
        <f t="shared" si="9"/>
        <v>0</v>
      </c>
      <c r="J79" s="165">
        <f t="shared" si="9"/>
        <v>0</v>
      </c>
      <c r="K79" s="165">
        <f t="shared" si="10"/>
        <v>0</v>
      </c>
      <c r="L79" s="165">
        <f t="shared" si="10"/>
        <v>0</v>
      </c>
      <c r="M79" s="165">
        <f t="shared" si="10"/>
        <v>0</v>
      </c>
      <c r="N79" s="69"/>
      <c r="O79" s="53"/>
    </row>
    <row r="80" spans="2:15" s="48" customFormat="1" x14ac:dyDescent="0.2">
      <c r="B80" s="49"/>
      <c r="C80" s="69"/>
      <c r="D80" s="843"/>
      <c r="E80" s="140"/>
      <c r="F80" s="140"/>
      <c r="G80" s="140"/>
      <c r="H80" s="165">
        <v>0</v>
      </c>
      <c r="I80" s="165">
        <f t="shared" si="9"/>
        <v>0</v>
      </c>
      <c r="J80" s="165">
        <f t="shared" si="9"/>
        <v>0</v>
      </c>
      <c r="K80" s="165">
        <f t="shared" si="10"/>
        <v>0</v>
      </c>
      <c r="L80" s="165">
        <f t="shared" si="10"/>
        <v>0</v>
      </c>
      <c r="M80" s="165">
        <f t="shared" si="10"/>
        <v>0</v>
      </c>
      <c r="N80" s="69"/>
      <c r="O80" s="53"/>
    </row>
    <row r="81" spans="2:15" s="48" customFormat="1" x14ac:dyDescent="0.2">
      <c r="B81" s="49"/>
      <c r="C81" s="69"/>
      <c r="D81" s="843"/>
      <c r="E81" s="140"/>
      <c r="F81" s="140"/>
      <c r="G81" s="140"/>
      <c r="H81" s="165">
        <v>0</v>
      </c>
      <c r="I81" s="165">
        <f t="shared" si="9"/>
        <v>0</v>
      </c>
      <c r="J81" s="165">
        <f t="shared" si="9"/>
        <v>0</v>
      </c>
      <c r="K81" s="165">
        <f t="shared" si="10"/>
        <v>0</v>
      </c>
      <c r="L81" s="165">
        <f t="shared" si="10"/>
        <v>0</v>
      </c>
      <c r="M81" s="165">
        <f t="shared" si="10"/>
        <v>0</v>
      </c>
      <c r="N81" s="69"/>
      <c r="O81" s="53"/>
    </row>
    <row r="82" spans="2:15" s="48" customFormat="1" x14ac:dyDescent="0.2">
      <c r="B82" s="49"/>
      <c r="C82" s="69"/>
      <c r="D82" s="839"/>
      <c r="E82" s="140"/>
      <c r="F82" s="140"/>
      <c r="G82" s="140"/>
      <c r="H82" s="167"/>
      <c r="I82" s="167"/>
      <c r="J82" s="167"/>
      <c r="K82" s="167"/>
      <c r="L82" s="167"/>
      <c r="M82" s="167"/>
      <c r="N82" s="69"/>
      <c r="O82" s="53"/>
    </row>
    <row r="83" spans="2:15" x14ac:dyDescent="0.2">
      <c r="B83" s="49"/>
      <c r="C83" s="69"/>
      <c r="D83" s="840" t="s">
        <v>284</v>
      </c>
      <c r="E83" s="96"/>
      <c r="F83" s="96"/>
      <c r="G83" s="96"/>
      <c r="H83" s="788">
        <f t="shared" ref="H83:M83" si="11">SUM(H77:H81)</f>
        <v>0</v>
      </c>
      <c r="I83" s="788">
        <f t="shared" si="11"/>
        <v>0</v>
      </c>
      <c r="J83" s="788">
        <f t="shared" si="11"/>
        <v>0</v>
      </c>
      <c r="K83" s="788">
        <f t="shared" si="11"/>
        <v>0</v>
      </c>
      <c r="L83" s="788">
        <f t="shared" si="11"/>
        <v>0</v>
      </c>
      <c r="M83" s="788">
        <f t="shared" si="11"/>
        <v>0</v>
      </c>
      <c r="N83" s="69"/>
      <c r="O83" s="53"/>
    </row>
    <row r="84" spans="2:15" x14ac:dyDescent="0.2">
      <c r="B84" s="49"/>
      <c r="C84" s="76"/>
      <c r="D84" s="844"/>
      <c r="E84" s="107"/>
      <c r="F84" s="107"/>
      <c r="G84" s="107"/>
      <c r="H84" s="143"/>
      <c r="I84" s="143"/>
      <c r="J84" s="143"/>
      <c r="K84" s="143"/>
      <c r="L84" s="143"/>
      <c r="M84" s="143"/>
      <c r="N84" s="76"/>
      <c r="O84" s="53"/>
    </row>
    <row r="85" spans="2:15" x14ac:dyDescent="0.2">
      <c r="B85" s="49"/>
      <c r="C85" s="50"/>
      <c r="D85" s="176"/>
      <c r="E85" s="176"/>
      <c r="F85" s="176"/>
      <c r="G85" s="176"/>
      <c r="H85" s="129"/>
      <c r="I85" s="129"/>
      <c r="J85" s="129"/>
      <c r="K85" s="129"/>
      <c r="L85" s="129"/>
      <c r="M85" s="129"/>
      <c r="N85" s="50"/>
      <c r="O85" s="53"/>
    </row>
    <row r="86" spans="2:15" s="155" customFormat="1" x14ac:dyDescent="0.2">
      <c r="B86" s="111"/>
      <c r="C86" s="112"/>
      <c r="D86" s="187"/>
      <c r="E86" s="187"/>
      <c r="F86" s="187"/>
      <c r="G86" s="187"/>
      <c r="H86" s="188"/>
      <c r="I86" s="188"/>
      <c r="J86" s="188"/>
      <c r="K86" s="188"/>
      <c r="L86" s="188"/>
      <c r="M86" s="188"/>
      <c r="N86" s="112"/>
      <c r="O86" s="115"/>
    </row>
    <row r="87" spans="2:15" s="155" customFormat="1" x14ac:dyDescent="0.2">
      <c r="B87" s="189"/>
      <c r="C87" s="190"/>
      <c r="D87" s="191"/>
      <c r="E87" s="191"/>
      <c r="F87" s="191"/>
      <c r="G87" s="191"/>
      <c r="H87" s="192"/>
      <c r="I87" s="192"/>
      <c r="J87" s="192"/>
      <c r="K87" s="192"/>
      <c r="L87" s="192"/>
      <c r="M87" s="192"/>
      <c r="N87" s="190"/>
      <c r="O87" s="193"/>
    </row>
    <row r="88" spans="2:15" s="155" customFormat="1" x14ac:dyDescent="0.2">
      <c r="B88" s="94"/>
      <c r="C88" s="108"/>
      <c r="D88" s="185"/>
      <c r="E88" s="185"/>
      <c r="F88" s="185"/>
      <c r="G88" s="185"/>
      <c r="H88" s="186"/>
      <c r="I88" s="186"/>
      <c r="J88" s="186"/>
      <c r="K88" s="186"/>
      <c r="L88" s="186"/>
      <c r="M88" s="186"/>
      <c r="N88" s="108"/>
      <c r="O88" s="97"/>
    </row>
    <row r="89" spans="2:15" s="155" customFormat="1" x14ac:dyDescent="0.2">
      <c r="B89" s="94"/>
      <c r="C89" s="108"/>
      <c r="D89" s="51"/>
      <c r="E89" s="51"/>
      <c r="F89" s="51"/>
      <c r="G89" s="51"/>
      <c r="H89" s="688" t="str">
        <f t="shared" ref="H89:M89" si="12">H8</f>
        <v>2019/20</v>
      </c>
      <c r="I89" s="688" t="str">
        <f t="shared" si="12"/>
        <v>2020/21</v>
      </c>
      <c r="J89" s="688" t="str">
        <f t="shared" si="12"/>
        <v>2021/22</v>
      </c>
      <c r="K89" s="688" t="str">
        <f t="shared" si="12"/>
        <v>2022/23</v>
      </c>
      <c r="L89" s="688" t="str">
        <f t="shared" si="12"/>
        <v>2023/24</v>
      </c>
      <c r="M89" s="688" t="str">
        <f t="shared" si="12"/>
        <v>2024/25</v>
      </c>
      <c r="N89" s="108"/>
      <c r="O89" s="97"/>
    </row>
    <row r="90" spans="2:15" s="155" customFormat="1" x14ac:dyDescent="0.2">
      <c r="B90" s="94"/>
      <c r="C90" s="108"/>
      <c r="D90" s="51"/>
      <c r="E90" s="51"/>
      <c r="F90" s="51"/>
      <c r="G90" s="51"/>
      <c r="H90" s="688"/>
      <c r="I90" s="688"/>
      <c r="J90" s="688"/>
      <c r="K90" s="688"/>
      <c r="L90" s="688"/>
      <c r="M90" s="688"/>
      <c r="N90" s="108"/>
      <c r="O90" s="97"/>
    </row>
    <row r="91" spans="2:15" s="155" customFormat="1" x14ac:dyDescent="0.2">
      <c r="B91" s="94"/>
      <c r="C91" s="66"/>
      <c r="D91" s="103"/>
      <c r="E91" s="103"/>
      <c r="F91" s="103"/>
      <c r="G91" s="103"/>
      <c r="H91" s="132"/>
      <c r="I91" s="132"/>
      <c r="J91" s="132"/>
      <c r="K91" s="132"/>
      <c r="L91" s="132"/>
      <c r="M91" s="132"/>
      <c r="N91" s="66"/>
      <c r="O91" s="97"/>
    </row>
    <row r="92" spans="2:15" s="155" customFormat="1" x14ac:dyDescent="0.2">
      <c r="B92" s="94"/>
      <c r="C92" s="69"/>
      <c r="D92" s="690" t="s">
        <v>247</v>
      </c>
      <c r="E92" s="70"/>
      <c r="F92" s="70"/>
      <c r="G92" s="70"/>
      <c r="H92" s="74"/>
      <c r="I92" s="74"/>
      <c r="J92" s="74"/>
      <c r="K92" s="74"/>
      <c r="L92" s="74"/>
      <c r="M92" s="74"/>
      <c r="N92" s="69"/>
      <c r="O92" s="97"/>
    </row>
    <row r="93" spans="2:15" s="155" customFormat="1" x14ac:dyDescent="0.2">
      <c r="B93" s="94"/>
      <c r="C93" s="69"/>
      <c r="D93" s="153"/>
      <c r="E93" s="70"/>
      <c r="F93" s="70"/>
      <c r="G93" s="70"/>
      <c r="H93" s="74"/>
      <c r="I93" s="74"/>
      <c r="J93" s="74"/>
      <c r="K93" s="74"/>
      <c r="L93" s="74"/>
      <c r="M93" s="74"/>
      <c r="N93" s="69"/>
      <c r="O93" s="97"/>
    </row>
    <row r="94" spans="2:15" s="155" customFormat="1" x14ac:dyDescent="0.2">
      <c r="B94" s="94"/>
      <c r="C94" s="69"/>
      <c r="D94" s="71" t="s">
        <v>12</v>
      </c>
      <c r="E94" s="70"/>
      <c r="F94" s="70"/>
      <c r="G94" s="70"/>
      <c r="H94" s="165">
        <v>0</v>
      </c>
      <c r="I94" s="165">
        <f t="shared" ref="I94:M101" si="13">H94</f>
        <v>0</v>
      </c>
      <c r="J94" s="165">
        <f t="shared" si="13"/>
        <v>0</v>
      </c>
      <c r="K94" s="165">
        <f t="shared" si="13"/>
        <v>0</v>
      </c>
      <c r="L94" s="165">
        <f t="shared" si="13"/>
        <v>0</v>
      </c>
      <c r="M94" s="165">
        <f t="shared" si="13"/>
        <v>0</v>
      </c>
      <c r="N94" s="69"/>
      <c r="O94" s="97"/>
    </row>
    <row r="95" spans="2:15" s="155" customFormat="1" x14ac:dyDescent="0.2">
      <c r="B95" s="94"/>
      <c r="C95" s="69"/>
      <c r="D95" s="71" t="s">
        <v>315</v>
      </c>
      <c r="E95" s="70"/>
      <c r="F95" s="70"/>
      <c r="G95" s="70"/>
      <c r="H95" s="165">
        <v>0</v>
      </c>
      <c r="I95" s="165">
        <f t="shared" si="13"/>
        <v>0</v>
      </c>
      <c r="J95" s="165">
        <f t="shared" si="13"/>
        <v>0</v>
      </c>
      <c r="K95" s="165">
        <f t="shared" si="13"/>
        <v>0</v>
      </c>
      <c r="L95" s="165">
        <f t="shared" si="13"/>
        <v>0</v>
      </c>
      <c r="M95" s="165">
        <f t="shared" si="13"/>
        <v>0</v>
      </c>
      <c r="N95" s="69"/>
      <c r="O95" s="97"/>
    </row>
    <row r="96" spans="2:15" s="155" customFormat="1" x14ac:dyDescent="0.2">
      <c r="B96" s="94"/>
      <c r="C96" s="69"/>
      <c r="D96" s="71" t="s">
        <v>350</v>
      </c>
      <c r="E96" s="70"/>
      <c r="F96" s="70"/>
      <c r="G96" s="70"/>
      <c r="H96" s="165">
        <v>0</v>
      </c>
      <c r="I96" s="165">
        <f t="shared" si="13"/>
        <v>0</v>
      </c>
      <c r="J96" s="165">
        <f t="shared" si="13"/>
        <v>0</v>
      </c>
      <c r="K96" s="165">
        <f t="shared" si="13"/>
        <v>0</v>
      </c>
      <c r="L96" s="165">
        <f t="shared" si="13"/>
        <v>0</v>
      </c>
      <c r="M96" s="165">
        <f t="shared" si="13"/>
        <v>0</v>
      </c>
      <c r="N96" s="69"/>
      <c r="O96" s="97"/>
    </row>
    <row r="97" spans="2:15" s="155" customFormat="1" x14ac:dyDescent="0.2">
      <c r="B97" s="94"/>
      <c r="C97" s="69"/>
      <c r="D97" s="668"/>
      <c r="E97" s="70"/>
      <c r="F97" s="70"/>
      <c r="G97" s="70"/>
      <c r="H97" s="165">
        <v>0</v>
      </c>
      <c r="I97" s="165">
        <f t="shared" si="13"/>
        <v>0</v>
      </c>
      <c r="J97" s="165">
        <f t="shared" si="13"/>
        <v>0</v>
      </c>
      <c r="K97" s="165">
        <f t="shared" si="13"/>
        <v>0</v>
      </c>
      <c r="L97" s="165">
        <f t="shared" si="13"/>
        <v>0</v>
      </c>
      <c r="M97" s="165">
        <f t="shared" si="13"/>
        <v>0</v>
      </c>
      <c r="N97" s="69"/>
      <c r="O97" s="97"/>
    </row>
    <row r="98" spans="2:15" s="155" customFormat="1" x14ac:dyDescent="0.2">
      <c r="B98" s="94"/>
      <c r="C98" s="69"/>
      <c r="D98" s="668"/>
      <c r="E98" s="70"/>
      <c r="F98" s="70"/>
      <c r="G98" s="70"/>
      <c r="H98" s="165">
        <v>0</v>
      </c>
      <c r="I98" s="165">
        <f t="shared" si="13"/>
        <v>0</v>
      </c>
      <c r="J98" s="165">
        <f t="shared" si="13"/>
        <v>0</v>
      </c>
      <c r="K98" s="165">
        <f t="shared" si="13"/>
        <v>0</v>
      </c>
      <c r="L98" s="165">
        <f t="shared" si="13"/>
        <v>0</v>
      </c>
      <c r="M98" s="165">
        <f t="shared" si="13"/>
        <v>0</v>
      </c>
      <c r="N98" s="69"/>
      <c r="O98" s="97"/>
    </row>
    <row r="99" spans="2:15" s="155" customFormat="1" x14ac:dyDescent="0.2">
      <c r="B99" s="94"/>
      <c r="C99" s="69"/>
      <c r="D99" s="164"/>
      <c r="E99" s="70"/>
      <c r="F99" s="70"/>
      <c r="G99" s="70"/>
      <c r="H99" s="165">
        <v>0</v>
      </c>
      <c r="I99" s="165">
        <f t="shared" si="13"/>
        <v>0</v>
      </c>
      <c r="J99" s="165">
        <f t="shared" si="13"/>
        <v>0</v>
      </c>
      <c r="K99" s="165">
        <f t="shared" si="13"/>
        <v>0</v>
      </c>
      <c r="L99" s="165">
        <f t="shared" si="13"/>
        <v>0</v>
      </c>
      <c r="M99" s="165">
        <f t="shared" si="13"/>
        <v>0</v>
      </c>
      <c r="N99" s="69"/>
      <c r="O99" s="97"/>
    </row>
    <row r="100" spans="2:15" s="155" customFormat="1" x14ac:dyDescent="0.2">
      <c r="B100" s="94"/>
      <c r="C100" s="69"/>
      <c r="D100" s="164"/>
      <c r="E100" s="70"/>
      <c r="F100" s="70"/>
      <c r="G100" s="70"/>
      <c r="H100" s="165">
        <v>0</v>
      </c>
      <c r="I100" s="165">
        <f t="shared" si="13"/>
        <v>0</v>
      </c>
      <c r="J100" s="165">
        <f t="shared" si="13"/>
        <v>0</v>
      </c>
      <c r="K100" s="165">
        <f t="shared" si="13"/>
        <v>0</v>
      </c>
      <c r="L100" s="165">
        <f t="shared" si="13"/>
        <v>0</v>
      </c>
      <c r="M100" s="165">
        <f t="shared" si="13"/>
        <v>0</v>
      </c>
      <c r="N100" s="69"/>
      <c r="O100" s="97"/>
    </row>
    <row r="101" spans="2:15" s="155" customFormat="1" x14ac:dyDescent="0.2">
      <c r="B101" s="94"/>
      <c r="C101" s="69"/>
      <c r="D101" s="164"/>
      <c r="E101" s="70"/>
      <c r="F101" s="70"/>
      <c r="G101" s="70"/>
      <c r="H101" s="165">
        <v>0</v>
      </c>
      <c r="I101" s="165">
        <f t="shared" si="13"/>
        <v>0</v>
      </c>
      <c r="J101" s="165">
        <f t="shared" si="13"/>
        <v>0</v>
      </c>
      <c r="K101" s="165">
        <f t="shared" si="13"/>
        <v>0</v>
      </c>
      <c r="L101" s="165">
        <f t="shared" si="13"/>
        <v>0</v>
      </c>
      <c r="M101" s="165">
        <f t="shared" si="13"/>
        <v>0</v>
      </c>
      <c r="N101" s="69"/>
      <c r="O101" s="97"/>
    </row>
    <row r="102" spans="2:15" s="155" customFormat="1" x14ac:dyDescent="0.2">
      <c r="B102" s="94"/>
      <c r="C102" s="69"/>
      <c r="D102" s="71"/>
      <c r="E102" s="70"/>
      <c r="F102" s="70"/>
      <c r="G102" s="70"/>
      <c r="H102" s="167"/>
      <c r="I102" s="167"/>
      <c r="J102" s="167"/>
      <c r="K102" s="167"/>
      <c r="L102" s="167"/>
      <c r="M102" s="167"/>
      <c r="N102" s="69"/>
      <c r="O102" s="97"/>
    </row>
    <row r="103" spans="2:15" s="155" customFormat="1" x14ac:dyDescent="0.2">
      <c r="B103" s="94"/>
      <c r="C103" s="69"/>
      <c r="D103" s="89" t="s">
        <v>284</v>
      </c>
      <c r="E103" s="96"/>
      <c r="F103" s="96"/>
      <c r="G103" s="96"/>
      <c r="H103" s="788">
        <f t="shared" ref="H103:M103" si="14">SUM(H94:H101)</f>
        <v>0</v>
      </c>
      <c r="I103" s="788">
        <f t="shared" si="14"/>
        <v>0</v>
      </c>
      <c r="J103" s="788">
        <f t="shared" si="14"/>
        <v>0</v>
      </c>
      <c r="K103" s="788">
        <f t="shared" si="14"/>
        <v>0</v>
      </c>
      <c r="L103" s="788">
        <f t="shared" si="14"/>
        <v>0</v>
      </c>
      <c r="M103" s="788">
        <f t="shared" si="14"/>
        <v>0</v>
      </c>
      <c r="N103" s="69"/>
      <c r="O103" s="97"/>
    </row>
    <row r="104" spans="2:15" s="155" customFormat="1" x14ac:dyDescent="0.2">
      <c r="B104" s="94"/>
      <c r="C104" s="177"/>
      <c r="D104" s="77"/>
      <c r="E104" s="142"/>
      <c r="F104" s="142"/>
      <c r="G104" s="142"/>
      <c r="H104" s="178"/>
      <c r="I104" s="178"/>
      <c r="J104" s="178"/>
      <c r="K104" s="178"/>
      <c r="L104" s="179"/>
      <c r="M104" s="179"/>
      <c r="N104" s="177"/>
      <c r="O104" s="97"/>
    </row>
    <row r="105" spans="2:15" s="155" customFormat="1" x14ac:dyDescent="0.2">
      <c r="B105" s="94"/>
      <c r="C105" s="108"/>
      <c r="D105" s="144"/>
      <c r="E105" s="144"/>
      <c r="F105" s="144"/>
      <c r="G105" s="144"/>
      <c r="H105" s="110"/>
      <c r="I105" s="110"/>
      <c r="J105" s="110"/>
      <c r="K105" s="110"/>
      <c r="L105" s="180"/>
      <c r="M105" s="180"/>
      <c r="N105" s="108"/>
      <c r="O105" s="97"/>
    </row>
    <row r="106" spans="2:15" s="155" customFormat="1" x14ac:dyDescent="0.2">
      <c r="B106" s="94"/>
      <c r="C106" s="181"/>
      <c r="D106" s="118"/>
      <c r="E106" s="118"/>
      <c r="F106" s="118"/>
      <c r="G106" s="118"/>
      <c r="H106" s="182"/>
      <c r="I106" s="182"/>
      <c r="J106" s="182"/>
      <c r="K106" s="182"/>
      <c r="L106" s="183"/>
      <c r="M106" s="183"/>
      <c r="N106" s="181"/>
      <c r="O106" s="97"/>
    </row>
    <row r="107" spans="2:15" s="155" customFormat="1" x14ac:dyDescent="0.2">
      <c r="B107" s="94"/>
      <c r="C107" s="95"/>
      <c r="D107" s="89" t="s">
        <v>357</v>
      </c>
      <c r="E107" s="89"/>
      <c r="F107" s="89"/>
      <c r="G107" s="89"/>
      <c r="H107" s="718">
        <f t="shared" ref="H107:M107" si="15">H71+H83+H103</f>
        <v>1960009.298675</v>
      </c>
      <c r="I107" s="718">
        <f t="shared" si="15"/>
        <v>1924119.66925</v>
      </c>
      <c r="J107" s="718">
        <f t="shared" si="15"/>
        <v>1899683.6180250002</v>
      </c>
      <c r="K107" s="718">
        <f t="shared" si="15"/>
        <v>1875247.5668000001</v>
      </c>
      <c r="L107" s="718">
        <f t="shared" si="15"/>
        <v>1889387.7868000001</v>
      </c>
      <c r="M107" s="718">
        <f t="shared" si="15"/>
        <v>1903528.0068000001</v>
      </c>
      <c r="N107" s="95"/>
      <c r="O107" s="97"/>
    </row>
    <row r="108" spans="2:15" s="155" customFormat="1" x14ac:dyDescent="0.2">
      <c r="B108" s="94"/>
      <c r="C108" s="177"/>
      <c r="D108" s="172"/>
      <c r="E108" s="172"/>
      <c r="F108" s="172"/>
      <c r="G108" s="172"/>
      <c r="H108" s="184"/>
      <c r="I108" s="184"/>
      <c r="J108" s="184"/>
      <c r="K108" s="184"/>
      <c r="L108" s="184"/>
      <c r="M108" s="184"/>
      <c r="N108" s="177"/>
      <c r="O108" s="97"/>
    </row>
    <row r="109" spans="2:15" s="155" customFormat="1" x14ac:dyDescent="0.2">
      <c r="B109" s="94"/>
      <c r="C109" s="108"/>
      <c r="D109" s="51"/>
      <c r="E109" s="51"/>
      <c r="F109" s="51"/>
      <c r="G109" s="51"/>
      <c r="H109" s="688"/>
      <c r="I109" s="688"/>
      <c r="J109" s="688"/>
      <c r="K109" s="688"/>
      <c r="L109" s="688"/>
      <c r="M109" s="688"/>
      <c r="N109" s="108"/>
      <c r="O109" s="97"/>
    </row>
    <row r="110" spans="2:15" s="155" customFormat="1" x14ac:dyDescent="0.2">
      <c r="B110" s="94"/>
      <c r="C110" s="108"/>
      <c r="D110" s="51"/>
      <c r="E110" s="51"/>
      <c r="F110" s="51"/>
      <c r="G110" s="51"/>
      <c r="H110" s="688"/>
      <c r="I110" s="688"/>
      <c r="J110" s="688"/>
      <c r="K110" s="688"/>
      <c r="L110" s="688"/>
      <c r="M110" s="688"/>
      <c r="N110" s="108"/>
      <c r="O110" s="97"/>
    </row>
    <row r="111" spans="2:15" x14ac:dyDescent="0.2">
      <c r="B111" s="49"/>
      <c r="C111" s="66"/>
      <c r="D111" s="67"/>
      <c r="E111" s="67"/>
      <c r="F111" s="67"/>
      <c r="G111" s="67"/>
      <c r="H111" s="704"/>
      <c r="I111" s="704"/>
      <c r="J111" s="704"/>
      <c r="K111" s="704"/>
      <c r="L111" s="704"/>
      <c r="M111" s="704"/>
      <c r="N111" s="66"/>
      <c r="O111" s="53"/>
    </row>
    <row r="112" spans="2:15" s="54" customFormat="1" x14ac:dyDescent="0.2">
      <c r="B112" s="79"/>
      <c r="C112" s="135"/>
      <c r="D112" s="690" t="s">
        <v>248</v>
      </c>
      <c r="E112" s="701"/>
      <c r="F112" s="701"/>
      <c r="G112" s="701"/>
      <c r="H112" s="703"/>
      <c r="I112" s="195"/>
      <c r="J112" s="195"/>
      <c r="K112" s="195"/>
      <c r="L112" s="195"/>
      <c r="M112" s="195"/>
      <c r="N112" s="135"/>
      <c r="O112" s="58"/>
    </row>
    <row r="113" spans="2:16" s="54" customFormat="1" x14ac:dyDescent="0.2">
      <c r="B113" s="79"/>
      <c r="C113" s="135"/>
      <c r="D113" s="701"/>
      <c r="E113" s="701"/>
      <c r="F113" s="702" t="s">
        <v>47</v>
      </c>
      <c r="G113" s="701"/>
      <c r="H113" s="703"/>
      <c r="I113" s="195"/>
      <c r="J113" s="195"/>
      <c r="K113" s="195"/>
      <c r="L113" s="195"/>
      <c r="M113" s="195"/>
      <c r="N113" s="135"/>
      <c r="O113" s="58"/>
    </row>
    <row r="114" spans="2:16" x14ac:dyDescent="0.2">
      <c r="B114" s="49"/>
      <c r="C114" s="69"/>
      <c r="D114" s="153" t="s">
        <v>494</v>
      </c>
      <c r="E114" s="71"/>
      <c r="F114" s="71"/>
      <c r="G114" s="71"/>
      <c r="H114" s="74"/>
      <c r="I114" s="74"/>
      <c r="J114" s="74"/>
      <c r="K114" s="74"/>
      <c r="L114" s="74"/>
      <c r="M114" s="74"/>
      <c r="N114" s="69"/>
      <c r="O114" s="53"/>
    </row>
    <row r="115" spans="2:16" x14ac:dyDescent="0.2">
      <c r="B115" s="49"/>
      <c r="C115" s="69"/>
      <c r="D115" s="845" t="s">
        <v>154</v>
      </c>
      <c r="E115" s="197"/>
      <c r="F115" s="198"/>
      <c r="G115" s="197"/>
      <c r="H115" s="686">
        <f>dir!T28</f>
        <v>0</v>
      </c>
      <c r="I115" s="686">
        <f>dir!T52</f>
        <v>0</v>
      </c>
      <c r="J115" s="686">
        <f>dir!T75</f>
        <v>0</v>
      </c>
      <c r="K115" s="686">
        <f>dir!T97</f>
        <v>0</v>
      </c>
      <c r="L115" s="686">
        <f>dir!T119</f>
        <v>0</v>
      </c>
      <c r="M115" s="686">
        <f>dir!T141</f>
        <v>0</v>
      </c>
      <c r="N115" s="69"/>
      <c r="O115" s="53"/>
    </row>
    <row r="116" spans="2:16" x14ac:dyDescent="0.2">
      <c r="B116" s="49"/>
      <c r="C116" s="69"/>
      <c r="D116" s="845" t="s">
        <v>172</v>
      </c>
      <c r="E116" s="197"/>
      <c r="F116" s="198"/>
      <c r="G116" s="197"/>
      <c r="H116" s="686">
        <f>op!T71</f>
        <v>7507.2</v>
      </c>
      <c r="I116" s="686">
        <f>op!T139</f>
        <v>7507.2</v>
      </c>
      <c r="J116" s="686">
        <f>op!T206</f>
        <v>7507.2</v>
      </c>
      <c r="K116" s="686">
        <f>op!T273</f>
        <v>7507.2</v>
      </c>
      <c r="L116" s="686">
        <f>op!T340</f>
        <v>7507.2</v>
      </c>
      <c r="M116" s="686">
        <f>op!T407</f>
        <v>7507.2</v>
      </c>
      <c r="N116" s="69"/>
      <c r="O116" s="53"/>
    </row>
    <row r="117" spans="2:16" x14ac:dyDescent="0.2">
      <c r="B117" s="49"/>
      <c r="C117" s="69"/>
      <c r="D117" s="841" t="s">
        <v>458</v>
      </c>
      <c r="E117" s="197"/>
      <c r="F117" s="198"/>
      <c r="G117" s="197"/>
      <c r="H117" s="686">
        <f>obp!T36</f>
        <v>0</v>
      </c>
      <c r="I117" s="686">
        <f>obp!T69</f>
        <v>0</v>
      </c>
      <c r="J117" s="686">
        <f>obp!T101</f>
        <v>0</v>
      </c>
      <c r="K117" s="686">
        <f>obp!T133</f>
        <v>0</v>
      </c>
      <c r="L117" s="686">
        <f>obp!T165</f>
        <v>0</v>
      </c>
      <c r="M117" s="686">
        <f>obp!T197</f>
        <v>0</v>
      </c>
      <c r="N117" s="69"/>
      <c r="O117" s="53"/>
    </row>
    <row r="118" spans="2:16" x14ac:dyDescent="0.2">
      <c r="B118" s="49"/>
      <c r="C118" s="69"/>
      <c r="D118" s="846"/>
      <c r="E118" s="197"/>
      <c r="F118" s="197"/>
      <c r="G118" s="197"/>
      <c r="H118" s="717">
        <f t="shared" ref="H118:M118" si="16">SUM(H115:H117)</f>
        <v>7507.2</v>
      </c>
      <c r="I118" s="717">
        <f t="shared" si="16"/>
        <v>7507.2</v>
      </c>
      <c r="J118" s="717">
        <f t="shared" si="16"/>
        <v>7507.2</v>
      </c>
      <c r="K118" s="717">
        <f t="shared" si="16"/>
        <v>7507.2</v>
      </c>
      <c r="L118" s="717">
        <f t="shared" si="16"/>
        <v>7507.2</v>
      </c>
      <c r="M118" s="717">
        <f t="shared" si="16"/>
        <v>7507.2</v>
      </c>
      <c r="N118" s="69"/>
      <c r="O118" s="53"/>
    </row>
    <row r="119" spans="2:16" x14ac:dyDescent="0.2">
      <c r="B119" s="49"/>
      <c r="C119" s="121"/>
      <c r="D119" s="399" t="s">
        <v>338</v>
      </c>
      <c r="E119" s="71"/>
      <c r="F119" s="200"/>
      <c r="G119" s="71"/>
      <c r="H119" s="87"/>
      <c r="I119" s="87"/>
      <c r="J119" s="87"/>
      <c r="K119" s="87"/>
      <c r="L119" s="87"/>
      <c r="M119" s="87"/>
      <c r="N119" s="121"/>
      <c r="O119" s="53"/>
    </row>
    <row r="120" spans="2:16" x14ac:dyDescent="0.2">
      <c r="B120" s="49"/>
      <c r="C120" s="69"/>
      <c r="D120" s="839" t="s">
        <v>506</v>
      </c>
      <c r="E120" s="71"/>
      <c r="F120" s="198"/>
      <c r="G120" s="71"/>
      <c r="H120" s="165">
        <v>0</v>
      </c>
      <c r="I120" s="165">
        <v>0</v>
      </c>
      <c r="J120" s="202">
        <v>0</v>
      </c>
      <c r="K120" s="202">
        <v>0</v>
      </c>
      <c r="L120" s="202">
        <v>0</v>
      </c>
      <c r="M120" s="202">
        <v>0</v>
      </c>
      <c r="N120" s="69"/>
      <c r="O120" s="201"/>
      <c r="P120" s="42" t="s">
        <v>462</v>
      </c>
    </row>
    <row r="121" spans="2:16" x14ac:dyDescent="0.2">
      <c r="B121" s="49"/>
      <c r="C121" s="69"/>
      <c r="D121" s="1163"/>
      <c r="E121" s="71"/>
      <c r="F121" s="198"/>
      <c r="G121" s="71"/>
      <c r="H121" s="1106">
        <v>0</v>
      </c>
      <c r="I121" s="1106">
        <v>0</v>
      </c>
      <c r="J121" s="1106">
        <v>0</v>
      </c>
      <c r="K121" s="1106">
        <v>0</v>
      </c>
      <c r="L121" s="1106">
        <v>0</v>
      </c>
      <c r="M121" s="1106">
        <v>0</v>
      </c>
      <c r="N121" s="69"/>
      <c r="O121" s="201"/>
    </row>
    <row r="122" spans="2:16" x14ac:dyDescent="0.2">
      <c r="B122" s="49"/>
      <c r="C122" s="69"/>
      <c r="D122" s="1163"/>
      <c r="E122" s="71"/>
      <c r="F122" s="198"/>
      <c r="G122" s="71"/>
      <c r="H122" s="165">
        <v>0</v>
      </c>
      <c r="I122" s="165">
        <v>0</v>
      </c>
      <c r="J122" s="165">
        <v>0</v>
      </c>
      <c r="K122" s="165">
        <v>0</v>
      </c>
      <c r="L122" s="165">
        <v>0</v>
      </c>
      <c r="M122" s="165">
        <v>0</v>
      </c>
      <c r="N122" s="69"/>
      <c r="O122" s="201"/>
    </row>
    <row r="123" spans="2:16" x14ac:dyDescent="0.2">
      <c r="B123" s="49"/>
      <c r="C123" s="69"/>
      <c r="D123" s="75"/>
      <c r="E123" s="153"/>
      <c r="F123" s="198"/>
      <c r="G123" s="153"/>
      <c r="H123" s="165">
        <v>0</v>
      </c>
      <c r="I123" s="165">
        <f t="shared" ref="I123:I133" si="17">H123</f>
        <v>0</v>
      </c>
      <c r="J123" s="202">
        <f t="shared" ref="J123:J133" si="18">I123</f>
        <v>0</v>
      </c>
      <c r="K123" s="202">
        <f t="shared" ref="K123:M133" si="19">J123</f>
        <v>0</v>
      </c>
      <c r="L123" s="202">
        <f t="shared" si="19"/>
        <v>0</v>
      </c>
      <c r="M123" s="202">
        <f t="shared" si="19"/>
        <v>0</v>
      </c>
      <c r="N123" s="69"/>
      <c r="O123" s="201"/>
    </row>
    <row r="124" spans="2:16" x14ac:dyDescent="0.2">
      <c r="B124" s="49"/>
      <c r="C124" s="69"/>
      <c r="D124" s="75"/>
      <c r="E124" s="71"/>
      <c r="F124" s="198"/>
      <c r="G124" s="71"/>
      <c r="H124" s="203">
        <v>0</v>
      </c>
      <c r="I124" s="165">
        <f t="shared" si="17"/>
        <v>0</v>
      </c>
      <c r="J124" s="202">
        <f t="shared" si="18"/>
        <v>0</v>
      </c>
      <c r="K124" s="202">
        <f t="shared" si="19"/>
        <v>0</v>
      </c>
      <c r="L124" s="202">
        <f t="shared" si="19"/>
        <v>0</v>
      </c>
      <c r="M124" s="202">
        <f t="shared" si="19"/>
        <v>0</v>
      </c>
      <c r="N124" s="69"/>
      <c r="O124" s="201"/>
    </row>
    <row r="125" spans="2:16" x14ac:dyDescent="0.2">
      <c r="B125" s="49"/>
      <c r="C125" s="69"/>
      <c r="D125" s="75"/>
      <c r="E125" s="71"/>
      <c r="F125" s="198"/>
      <c r="G125" s="71"/>
      <c r="H125" s="203">
        <v>0</v>
      </c>
      <c r="I125" s="165">
        <f t="shared" si="17"/>
        <v>0</v>
      </c>
      <c r="J125" s="202">
        <f t="shared" si="18"/>
        <v>0</v>
      </c>
      <c r="K125" s="202">
        <f t="shared" si="19"/>
        <v>0</v>
      </c>
      <c r="L125" s="202">
        <f t="shared" si="19"/>
        <v>0</v>
      </c>
      <c r="M125" s="202">
        <f t="shared" si="19"/>
        <v>0</v>
      </c>
      <c r="N125" s="69"/>
      <c r="O125" s="201"/>
    </row>
    <row r="126" spans="2:16" x14ac:dyDescent="0.2">
      <c r="B126" s="49"/>
      <c r="C126" s="69"/>
      <c r="D126" s="75"/>
      <c r="E126" s="71"/>
      <c r="F126" s="198"/>
      <c r="G126" s="71"/>
      <c r="H126" s="203">
        <v>0</v>
      </c>
      <c r="I126" s="165">
        <f t="shared" si="17"/>
        <v>0</v>
      </c>
      <c r="J126" s="202">
        <f t="shared" si="18"/>
        <v>0</v>
      </c>
      <c r="K126" s="202">
        <f t="shared" si="19"/>
        <v>0</v>
      </c>
      <c r="L126" s="202">
        <f t="shared" si="19"/>
        <v>0</v>
      </c>
      <c r="M126" s="202">
        <f t="shared" si="19"/>
        <v>0</v>
      </c>
      <c r="N126" s="69"/>
      <c r="O126" s="201"/>
    </row>
    <row r="127" spans="2:16" x14ac:dyDescent="0.2">
      <c r="B127" s="49"/>
      <c r="C127" s="69"/>
      <c r="D127" s="75"/>
      <c r="E127" s="71"/>
      <c r="F127" s="198"/>
      <c r="G127" s="71"/>
      <c r="H127" s="203">
        <v>0</v>
      </c>
      <c r="I127" s="165">
        <f t="shared" si="17"/>
        <v>0</v>
      </c>
      <c r="J127" s="202">
        <f t="shared" si="18"/>
        <v>0</v>
      </c>
      <c r="K127" s="202">
        <f t="shared" si="19"/>
        <v>0</v>
      </c>
      <c r="L127" s="202">
        <f t="shared" si="19"/>
        <v>0</v>
      </c>
      <c r="M127" s="202">
        <f t="shared" si="19"/>
        <v>0</v>
      </c>
      <c r="N127" s="69"/>
      <c r="O127" s="201"/>
    </row>
    <row r="128" spans="2:16" x14ac:dyDescent="0.2">
      <c r="B128" s="49"/>
      <c r="C128" s="69"/>
      <c r="D128" s="75"/>
      <c r="E128" s="71"/>
      <c r="F128" s="198"/>
      <c r="G128" s="71"/>
      <c r="H128" s="203">
        <v>0</v>
      </c>
      <c r="I128" s="165">
        <f t="shared" si="17"/>
        <v>0</v>
      </c>
      <c r="J128" s="202">
        <f t="shared" si="18"/>
        <v>0</v>
      </c>
      <c r="K128" s="202">
        <f t="shared" si="19"/>
        <v>0</v>
      </c>
      <c r="L128" s="202">
        <f t="shared" si="19"/>
        <v>0</v>
      </c>
      <c r="M128" s="202">
        <f t="shared" si="19"/>
        <v>0</v>
      </c>
      <c r="N128" s="69"/>
      <c r="O128" s="201"/>
    </row>
    <row r="129" spans="2:15" x14ac:dyDescent="0.2">
      <c r="B129" s="49"/>
      <c r="C129" s="69"/>
      <c r="D129" s="75"/>
      <c r="E129" s="71"/>
      <c r="F129" s="198"/>
      <c r="G129" s="71"/>
      <c r="H129" s="203">
        <v>0</v>
      </c>
      <c r="I129" s="165">
        <f t="shared" si="17"/>
        <v>0</v>
      </c>
      <c r="J129" s="202">
        <f t="shared" si="18"/>
        <v>0</v>
      </c>
      <c r="K129" s="202">
        <f t="shared" si="19"/>
        <v>0</v>
      </c>
      <c r="L129" s="202">
        <f t="shared" si="19"/>
        <v>0</v>
      </c>
      <c r="M129" s="202">
        <f t="shared" si="19"/>
        <v>0</v>
      </c>
      <c r="N129" s="69"/>
      <c r="O129" s="201"/>
    </row>
    <row r="130" spans="2:15" x14ac:dyDescent="0.2">
      <c r="B130" s="49"/>
      <c r="C130" s="69"/>
      <c r="D130" s="75"/>
      <c r="E130" s="71"/>
      <c r="F130" s="198"/>
      <c r="G130" s="71"/>
      <c r="H130" s="203">
        <v>0</v>
      </c>
      <c r="I130" s="165">
        <f t="shared" si="17"/>
        <v>0</v>
      </c>
      <c r="J130" s="202">
        <f t="shared" si="18"/>
        <v>0</v>
      </c>
      <c r="K130" s="202">
        <f t="shared" si="19"/>
        <v>0</v>
      </c>
      <c r="L130" s="202">
        <f t="shared" si="19"/>
        <v>0</v>
      </c>
      <c r="M130" s="202">
        <f t="shared" si="19"/>
        <v>0</v>
      </c>
      <c r="N130" s="69"/>
      <c r="O130" s="201"/>
    </row>
    <row r="131" spans="2:15" x14ac:dyDescent="0.2">
      <c r="B131" s="49"/>
      <c r="C131" s="69"/>
      <c r="D131" s="75"/>
      <c r="E131" s="71"/>
      <c r="F131" s="198"/>
      <c r="G131" s="71"/>
      <c r="H131" s="203">
        <v>0</v>
      </c>
      <c r="I131" s="165">
        <f t="shared" si="17"/>
        <v>0</v>
      </c>
      <c r="J131" s="202">
        <f t="shared" si="18"/>
        <v>0</v>
      </c>
      <c r="K131" s="202">
        <f t="shared" si="19"/>
        <v>0</v>
      </c>
      <c r="L131" s="202">
        <f t="shared" si="19"/>
        <v>0</v>
      </c>
      <c r="M131" s="202">
        <f t="shared" si="19"/>
        <v>0</v>
      </c>
      <c r="N131" s="69"/>
      <c r="O131" s="201"/>
    </row>
    <row r="132" spans="2:15" x14ac:dyDescent="0.2">
      <c r="B132" s="49"/>
      <c r="C132" s="69"/>
      <c r="D132" s="75"/>
      <c r="E132" s="71"/>
      <c r="F132" s="198"/>
      <c r="G132" s="71"/>
      <c r="H132" s="203">
        <v>0</v>
      </c>
      <c r="I132" s="165">
        <f t="shared" si="17"/>
        <v>0</v>
      </c>
      <c r="J132" s="202">
        <f t="shared" si="18"/>
        <v>0</v>
      </c>
      <c r="K132" s="202">
        <f t="shared" si="19"/>
        <v>0</v>
      </c>
      <c r="L132" s="202">
        <f t="shared" si="19"/>
        <v>0</v>
      </c>
      <c r="M132" s="202">
        <f t="shared" si="19"/>
        <v>0</v>
      </c>
      <c r="N132" s="69"/>
      <c r="O132" s="201"/>
    </row>
    <row r="133" spans="2:15" x14ac:dyDescent="0.2">
      <c r="B133" s="49"/>
      <c r="C133" s="69"/>
      <c r="D133" s="75"/>
      <c r="E133" s="71"/>
      <c r="F133" s="198"/>
      <c r="G133" s="71"/>
      <c r="H133" s="203">
        <v>0</v>
      </c>
      <c r="I133" s="165">
        <f t="shared" si="17"/>
        <v>0</v>
      </c>
      <c r="J133" s="202">
        <f t="shared" si="18"/>
        <v>0</v>
      </c>
      <c r="K133" s="202">
        <f t="shared" si="19"/>
        <v>0</v>
      </c>
      <c r="L133" s="202">
        <f t="shared" si="19"/>
        <v>0</v>
      </c>
      <c r="M133" s="202">
        <f t="shared" si="19"/>
        <v>0</v>
      </c>
      <c r="N133" s="69"/>
      <c r="O133" s="201"/>
    </row>
    <row r="134" spans="2:15" x14ac:dyDescent="0.2">
      <c r="B134" s="49"/>
      <c r="C134" s="76"/>
      <c r="D134" s="67"/>
      <c r="E134" s="67"/>
      <c r="F134" s="67"/>
      <c r="G134" s="172"/>
      <c r="H134" s="1047">
        <f t="shared" ref="H134:M134" si="20">SUM(H120:H133)</f>
        <v>0</v>
      </c>
      <c r="I134" s="1047">
        <f t="shared" si="20"/>
        <v>0</v>
      </c>
      <c r="J134" s="1047">
        <f t="shared" si="20"/>
        <v>0</v>
      </c>
      <c r="K134" s="1047">
        <f t="shared" si="20"/>
        <v>0</v>
      </c>
      <c r="L134" s="1047">
        <f t="shared" si="20"/>
        <v>0</v>
      </c>
      <c r="M134" s="1047">
        <f t="shared" si="20"/>
        <v>0</v>
      </c>
      <c r="N134" s="76"/>
      <c r="O134" s="201"/>
    </row>
    <row r="135" spans="2:15" x14ac:dyDescent="0.2">
      <c r="B135" s="94"/>
      <c r="C135" s="66"/>
      <c r="D135" s="67"/>
      <c r="E135" s="67"/>
      <c r="F135" s="67"/>
      <c r="G135" s="67"/>
      <c r="H135" s="132"/>
      <c r="I135" s="132"/>
      <c r="J135" s="132"/>
      <c r="K135" s="132"/>
      <c r="L135" s="132"/>
      <c r="M135" s="132"/>
      <c r="N135" s="66"/>
      <c r="O135" s="97"/>
    </row>
    <row r="136" spans="2:15" x14ac:dyDescent="0.2">
      <c r="B136" s="49"/>
      <c r="C136" s="121"/>
      <c r="D136" s="96" t="s">
        <v>358</v>
      </c>
      <c r="E136" s="96"/>
      <c r="F136" s="96"/>
      <c r="G136" s="96"/>
      <c r="H136" s="716">
        <f t="shared" ref="H136:M136" si="21">H118+H134</f>
        <v>7507.2</v>
      </c>
      <c r="I136" s="716">
        <f t="shared" si="21"/>
        <v>7507.2</v>
      </c>
      <c r="J136" s="716">
        <f t="shared" si="21"/>
        <v>7507.2</v>
      </c>
      <c r="K136" s="716">
        <f t="shared" si="21"/>
        <v>7507.2</v>
      </c>
      <c r="L136" s="716">
        <f t="shared" si="21"/>
        <v>7507.2</v>
      </c>
      <c r="M136" s="716">
        <f t="shared" si="21"/>
        <v>7507.2</v>
      </c>
      <c r="N136" s="121"/>
      <c r="O136" s="53"/>
    </row>
    <row r="137" spans="2:15" x14ac:dyDescent="0.2">
      <c r="B137" s="116"/>
      <c r="C137" s="76"/>
      <c r="D137" s="77"/>
      <c r="E137" s="77"/>
      <c r="F137" s="77"/>
      <c r="G137" s="77"/>
      <c r="H137" s="143"/>
      <c r="I137" s="143"/>
      <c r="J137" s="143"/>
      <c r="K137" s="143"/>
      <c r="L137" s="143"/>
      <c r="M137" s="143"/>
      <c r="N137" s="76"/>
      <c r="O137" s="122"/>
    </row>
    <row r="138" spans="2:15" x14ac:dyDescent="0.2">
      <c r="B138" s="49"/>
      <c r="C138" s="50"/>
      <c r="D138" s="50"/>
      <c r="E138" s="50"/>
      <c r="F138" s="50"/>
      <c r="G138" s="50"/>
      <c r="H138" s="129"/>
      <c r="I138" s="129"/>
      <c r="J138" s="129"/>
      <c r="K138" s="129"/>
      <c r="L138" s="129"/>
      <c r="M138" s="129"/>
      <c r="N138" s="50"/>
      <c r="O138" s="53"/>
    </row>
    <row r="139" spans="2:15" x14ac:dyDescent="0.2">
      <c r="B139" s="49"/>
      <c r="C139" s="50"/>
      <c r="D139" s="50"/>
      <c r="E139" s="50"/>
      <c r="F139" s="50"/>
      <c r="G139" s="50"/>
      <c r="H139" s="129"/>
      <c r="I139" s="129"/>
      <c r="J139" s="129"/>
      <c r="K139" s="129"/>
      <c r="L139" s="129"/>
      <c r="M139" s="129"/>
      <c r="N139" s="50"/>
      <c r="O139" s="53"/>
    </row>
    <row r="140" spans="2:15" x14ac:dyDescent="0.2">
      <c r="B140" s="49"/>
      <c r="C140" s="66"/>
      <c r="D140" s="67"/>
      <c r="E140" s="67"/>
      <c r="F140" s="67"/>
      <c r="G140" s="67"/>
      <c r="H140" s="132"/>
      <c r="I140" s="132"/>
      <c r="J140" s="132"/>
      <c r="K140" s="132"/>
      <c r="L140" s="132"/>
      <c r="M140" s="132"/>
      <c r="N140" s="66"/>
      <c r="O140" s="53"/>
    </row>
    <row r="141" spans="2:15" x14ac:dyDescent="0.2">
      <c r="B141" s="49"/>
      <c r="C141" s="69"/>
      <c r="D141" s="690" t="s">
        <v>359</v>
      </c>
      <c r="E141" s="71"/>
      <c r="F141" s="71"/>
      <c r="G141" s="71"/>
      <c r="H141" s="716">
        <f t="shared" ref="H141:M141" si="22">H107-H136</f>
        <v>1952502.098675</v>
      </c>
      <c r="I141" s="716">
        <f t="shared" si="22"/>
        <v>1916612.4692500001</v>
      </c>
      <c r="J141" s="716">
        <f t="shared" si="22"/>
        <v>1892176.4180250003</v>
      </c>
      <c r="K141" s="716">
        <f t="shared" si="22"/>
        <v>1867740.3668000002</v>
      </c>
      <c r="L141" s="716">
        <f t="shared" si="22"/>
        <v>1881880.5868000002</v>
      </c>
      <c r="M141" s="716">
        <f t="shared" si="22"/>
        <v>1896020.8068000001</v>
      </c>
      <c r="N141" s="69"/>
      <c r="O141" s="53"/>
    </row>
    <row r="142" spans="2:15" x14ac:dyDescent="0.2">
      <c r="B142" s="49"/>
      <c r="C142" s="69"/>
      <c r="D142" s="71"/>
      <c r="E142" s="71"/>
      <c r="F142" s="71"/>
      <c r="G142" s="71"/>
      <c r="H142" s="74"/>
      <c r="I142" s="74"/>
      <c r="J142" s="74"/>
      <c r="K142" s="74"/>
      <c r="L142" s="74"/>
      <c r="M142" s="74"/>
      <c r="N142" s="69"/>
      <c r="O142" s="53"/>
    </row>
    <row r="143" spans="2:15" x14ac:dyDescent="0.2">
      <c r="B143" s="49"/>
      <c r="C143" s="50"/>
      <c r="D143" s="50"/>
      <c r="E143" s="50"/>
      <c r="F143" s="50"/>
      <c r="G143" s="50"/>
      <c r="H143" s="129"/>
      <c r="I143" s="129"/>
      <c r="J143" s="129"/>
      <c r="K143" s="129"/>
      <c r="L143" s="129"/>
      <c r="M143" s="129"/>
      <c r="N143" s="50"/>
      <c r="O143" s="53"/>
    </row>
    <row r="144" spans="2:15" s="155" customFormat="1" x14ac:dyDescent="0.2">
      <c r="B144" s="111"/>
      <c r="C144" s="112"/>
      <c r="D144" s="187"/>
      <c r="E144" s="187"/>
      <c r="F144" s="187"/>
      <c r="G144" s="187"/>
      <c r="H144" s="188"/>
      <c r="I144" s="188"/>
      <c r="J144" s="188"/>
      <c r="K144" s="188"/>
      <c r="L144" s="188"/>
      <c r="M144" s="188"/>
      <c r="N144" s="112"/>
      <c r="O144" s="115"/>
    </row>
    <row r="149" spans="3:14" x14ac:dyDescent="0.2">
      <c r="C149" s="48"/>
      <c r="D149" s="752"/>
      <c r="E149" s="752"/>
      <c r="F149" s="752"/>
      <c r="G149" s="752"/>
      <c r="H149" s="753"/>
      <c r="I149" s="753"/>
      <c r="J149" s="753"/>
      <c r="K149" s="753"/>
      <c r="L149" s="754"/>
      <c r="M149" s="754"/>
      <c r="N149" s="48"/>
    </row>
    <row r="150" spans="3:14" x14ac:dyDescent="0.2">
      <c r="C150" s="134"/>
      <c r="D150" s="705" t="s">
        <v>204</v>
      </c>
      <c r="E150" s="705"/>
      <c r="F150" s="705"/>
      <c r="G150" s="705"/>
      <c r="H150" s="706"/>
      <c r="I150" s="707">
        <f>J9</f>
        <v>2020</v>
      </c>
      <c r="J150" s="707">
        <f>I150+1</f>
        <v>2021</v>
      </c>
      <c r="K150" s="707">
        <f>J150+1</f>
        <v>2022</v>
      </c>
      <c r="L150" s="707">
        <f>K150+1</f>
        <v>2023</v>
      </c>
      <c r="M150" s="707">
        <f>L150+1</f>
        <v>2024</v>
      </c>
      <c r="N150" s="134"/>
    </row>
    <row r="151" spans="3:14" x14ac:dyDescent="0.2">
      <c r="C151" s="48"/>
      <c r="D151" s="708"/>
      <c r="E151" s="708"/>
      <c r="F151" s="708"/>
      <c r="G151" s="708"/>
      <c r="H151" s="706"/>
      <c r="I151" s="709"/>
      <c r="J151" s="709"/>
      <c r="K151" s="709"/>
      <c r="L151" s="709"/>
      <c r="M151" s="709"/>
      <c r="N151" s="48"/>
    </row>
    <row r="152" spans="3:14" x14ac:dyDescent="0.2">
      <c r="C152" s="48"/>
      <c r="D152" s="710" t="s">
        <v>83</v>
      </c>
      <c r="E152" s="708"/>
      <c r="F152" s="708"/>
      <c r="G152" s="708"/>
      <c r="H152" s="711"/>
      <c r="I152" s="711">
        <f>7/12*H71+5/12*I71</f>
        <v>1945055.2864145837</v>
      </c>
      <c r="J152" s="711">
        <f>7/12*I71+5/12*J71</f>
        <v>1913937.9812395836</v>
      </c>
      <c r="K152" s="711">
        <f>7/12*J71+5/12*K71</f>
        <v>1889501.9300145837</v>
      </c>
      <c r="L152" s="711">
        <f>7/12*K71+5/12*L71</f>
        <v>1881139.3251333337</v>
      </c>
      <c r="M152" s="711">
        <f>7/12*L71+5/12*M71</f>
        <v>1895279.5451333337</v>
      </c>
      <c r="N152" s="48"/>
    </row>
    <row r="153" spans="3:14" x14ac:dyDescent="0.2">
      <c r="C153" s="48"/>
      <c r="D153" s="710" t="s">
        <v>463</v>
      </c>
      <c r="E153" s="714"/>
      <c r="F153" s="714"/>
      <c r="G153" s="714"/>
      <c r="H153" s="715"/>
      <c r="I153" s="712">
        <f>7/12*H51+5/12*I51</f>
        <v>0</v>
      </c>
      <c r="J153" s="712">
        <f>7/12*I51+5/12*J51</f>
        <v>0</v>
      </c>
      <c r="K153" s="712">
        <f>7/12*J51+5/12*K51</f>
        <v>0</v>
      </c>
      <c r="L153" s="712">
        <f>7/12*K51+5/12*L51</f>
        <v>0</v>
      </c>
      <c r="M153" s="712">
        <f>7/12*L51+5/12*M51</f>
        <v>0</v>
      </c>
      <c r="N153" s="48"/>
    </row>
    <row r="154" spans="3:14" x14ac:dyDescent="0.2">
      <c r="C154" s="48"/>
      <c r="D154" s="710" t="s">
        <v>363</v>
      </c>
      <c r="E154" s="708"/>
      <c r="F154" s="708"/>
      <c r="G154" s="708"/>
      <c r="H154" s="709"/>
      <c r="I154" s="711">
        <f>(7/12*H83)+(5/12*I83)</f>
        <v>0</v>
      </c>
      <c r="J154" s="711">
        <f>(7/12*I83)+(5/12*J83)</f>
        <v>0</v>
      </c>
      <c r="K154" s="711">
        <f>(7/12*J83)+(5/12*K83)</f>
        <v>0</v>
      </c>
      <c r="L154" s="711">
        <f>(7/12*K83)+(5/12*L83)</f>
        <v>0</v>
      </c>
      <c r="M154" s="711">
        <f>(7/12*L83)+(5/12*M83)</f>
        <v>0</v>
      </c>
      <c r="N154" s="48"/>
    </row>
    <row r="155" spans="3:14" x14ac:dyDescent="0.2">
      <c r="C155" s="48"/>
      <c r="D155" s="710" t="s">
        <v>370</v>
      </c>
      <c r="E155" s="708"/>
      <c r="F155" s="708"/>
      <c r="G155" s="708"/>
      <c r="H155" s="709"/>
      <c r="I155" s="711">
        <f t="shared" ref="I155:M157" si="23">(7/12*H94)+(5/12*I94)</f>
        <v>0</v>
      </c>
      <c r="J155" s="711">
        <f t="shared" si="23"/>
        <v>0</v>
      </c>
      <c r="K155" s="711">
        <f t="shared" si="23"/>
        <v>0</v>
      </c>
      <c r="L155" s="711">
        <f t="shared" si="23"/>
        <v>0</v>
      </c>
      <c r="M155" s="711">
        <f t="shared" si="23"/>
        <v>0</v>
      </c>
      <c r="N155" s="48"/>
    </row>
    <row r="156" spans="3:14" x14ac:dyDescent="0.2">
      <c r="C156" s="48"/>
      <c r="D156" s="710" t="s">
        <v>313</v>
      </c>
      <c r="E156" s="708"/>
      <c r="F156" s="708"/>
      <c r="G156" s="708"/>
      <c r="H156" s="709"/>
      <c r="I156" s="711">
        <f t="shared" si="23"/>
        <v>0</v>
      </c>
      <c r="J156" s="711">
        <f t="shared" si="23"/>
        <v>0</v>
      </c>
      <c r="K156" s="711">
        <f t="shared" si="23"/>
        <v>0</v>
      </c>
      <c r="L156" s="711">
        <f t="shared" si="23"/>
        <v>0</v>
      </c>
      <c r="M156" s="711">
        <f t="shared" si="23"/>
        <v>0</v>
      </c>
      <c r="N156" s="48"/>
    </row>
    <row r="157" spans="3:14" x14ac:dyDescent="0.2">
      <c r="C157" s="48"/>
      <c r="D157" s="710" t="s">
        <v>314</v>
      </c>
      <c r="E157" s="708"/>
      <c r="F157" s="708"/>
      <c r="G157" s="708"/>
      <c r="H157" s="709"/>
      <c r="I157" s="711">
        <f t="shared" si="23"/>
        <v>0</v>
      </c>
      <c r="J157" s="711">
        <f t="shared" si="23"/>
        <v>0</v>
      </c>
      <c r="K157" s="711">
        <f t="shared" si="23"/>
        <v>0</v>
      </c>
      <c r="L157" s="711">
        <f t="shared" si="23"/>
        <v>0</v>
      </c>
      <c r="M157" s="711">
        <f t="shared" si="23"/>
        <v>0</v>
      </c>
      <c r="N157" s="48"/>
    </row>
    <row r="158" spans="3:14" x14ac:dyDescent="0.2">
      <c r="C158" s="48"/>
      <c r="D158" s="710" t="s">
        <v>247</v>
      </c>
      <c r="E158" s="708"/>
      <c r="F158" s="708"/>
      <c r="G158" s="708"/>
      <c r="H158" s="709"/>
      <c r="I158" s="711">
        <f>(7/12*H103)+(5/12*I103)-I155</f>
        <v>0</v>
      </c>
      <c r="J158" s="711">
        <f>(7/12*I103)+(5/12*J103)-J155</f>
        <v>0</v>
      </c>
      <c r="K158" s="711">
        <f>(7/12*J103)+(5/12*K103)-K155</f>
        <v>0</v>
      </c>
      <c r="L158" s="711">
        <f>(7/12*K103)+(5/12*L103)-L155</f>
        <v>0</v>
      </c>
      <c r="M158" s="711">
        <f>(7/12*L103)+(5/12*M103)-M155</f>
        <v>0</v>
      </c>
      <c r="N158" s="48"/>
    </row>
    <row r="159" spans="3:14" x14ac:dyDescent="0.2">
      <c r="C159" s="48"/>
      <c r="D159" s="710" t="s">
        <v>371</v>
      </c>
      <c r="E159" s="708"/>
      <c r="F159" s="708"/>
      <c r="G159" s="708"/>
      <c r="H159" s="709"/>
      <c r="I159" s="711">
        <f>(7/12*H68)+(5/12*I68)</f>
        <v>0</v>
      </c>
      <c r="J159" s="711">
        <f>(7/12*I68)+(5/12*J68)</f>
        <v>0</v>
      </c>
      <c r="K159" s="711">
        <f>(7/12*J68)+(5/12*K68)</f>
        <v>0</v>
      </c>
      <c r="L159" s="711">
        <f>(7/12*K68)+(5/12*L68)</f>
        <v>0</v>
      </c>
      <c r="M159" s="711">
        <f>(7/12*L68)+(5/12*M68)</f>
        <v>0</v>
      </c>
      <c r="N159" s="48"/>
    </row>
    <row r="160" spans="3:14" x14ac:dyDescent="0.2">
      <c r="C160" s="48"/>
      <c r="D160" s="710" t="s">
        <v>196</v>
      </c>
      <c r="E160" s="710"/>
      <c r="F160" s="710"/>
      <c r="G160" s="710"/>
      <c r="H160" s="709"/>
      <c r="I160" s="712">
        <f>(7/12*(H115)+(5/12*(I115)))</f>
        <v>0</v>
      </c>
      <c r="J160" s="712">
        <f>(7/12*(I115)+(5/12*(J115)))</f>
        <v>0</v>
      </c>
      <c r="K160" s="712">
        <f>(7/12*(J115)+(5/12*(K115)))</f>
        <v>0</v>
      </c>
      <c r="L160" s="712">
        <f>(7/12*(K115)+(5/12*(L115)))</f>
        <v>0</v>
      </c>
      <c r="M160" s="712">
        <f>(7/12*(L115)+(5/12*(M115)))</f>
        <v>0</v>
      </c>
      <c r="N160" s="48"/>
    </row>
    <row r="161" spans="3:14" x14ac:dyDescent="0.2">
      <c r="C161" s="48"/>
      <c r="D161" s="710" t="s">
        <v>195</v>
      </c>
      <c r="E161" s="710"/>
      <c r="F161" s="710"/>
      <c r="G161" s="710"/>
      <c r="H161" s="709"/>
      <c r="I161" s="712">
        <f t="shared" ref="I161:M162" si="24">(7/12*H116)+(5/12*I116)</f>
        <v>7507.2</v>
      </c>
      <c r="J161" s="712">
        <f>(7/12*I116)+(5/12*J116)</f>
        <v>7507.2</v>
      </c>
      <c r="K161" s="712">
        <f t="shared" si="24"/>
        <v>7507.2</v>
      </c>
      <c r="L161" s="712">
        <f t="shared" si="24"/>
        <v>7507.2</v>
      </c>
      <c r="M161" s="712">
        <f t="shared" si="24"/>
        <v>7507.2</v>
      </c>
      <c r="N161" s="48"/>
    </row>
    <row r="162" spans="3:14" x14ac:dyDescent="0.2">
      <c r="C162" s="48"/>
      <c r="D162" s="710" t="s">
        <v>194</v>
      </c>
      <c r="E162" s="710"/>
      <c r="F162" s="710"/>
      <c r="G162" s="710"/>
      <c r="H162" s="709"/>
      <c r="I162" s="712">
        <f t="shared" si="24"/>
        <v>0</v>
      </c>
      <c r="J162" s="712">
        <f>(7/12*I117)+(5/12*J117)</f>
        <v>0</v>
      </c>
      <c r="K162" s="712">
        <f t="shared" si="24"/>
        <v>0</v>
      </c>
      <c r="L162" s="712">
        <f t="shared" si="24"/>
        <v>0</v>
      </c>
      <c r="M162" s="712">
        <f t="shared" si="24"/>
        <v>0</v>
      </c>
      <c r="N162" s="48"/>
    </row>
    <row r="163" spans="3:14" x14ac:dyDescent="0.2">
      <c r="C163" s="48"/>
      <c r="D163" s="710" t="s">
        <v>205</v>
      </c>
      <c r="E163" s="710"/>
      <c r="F163" s="710"/>
      <c r="G163" s="710"/>
      <c r="H163" s="709"/>
      <c r="I163" s="712">
        <f>(7/12*H118)+(5/12*I118)</f>
        <v>7507.2</v>
      </c>
      <c r="J163" s="712">
        <f>(7/12*I118)+(5/12*J118)</f>
        <v>7507.2</v>
      </c>
      <c r="K163" s="712">
        <f>(7/12*J118)+(5/12*K118)</f>
        <v>7507.2</v>
      </c>
      <c r="L163" s="712">
        <f>(7/12*K118)+(5/12*L118)</f>
        <v>7507.2</v>
      </c>
      <c r="M163" s="712">
        <f>(7/12*L118)+(5/12*M118)</f>
        <v>7507.2</v>
      </c>
      <c r="N163" s="48"/>
    </row>
    <row r="164" spans="3:14" x14ac:dyDescent="0.2">
      <c r="C164" s="204"/>
      <c r="D164" s="710" t="s">
        <v>338</v>
      </c>
      <c r="E164" s="713"/>
      <c r="F164" s="713"/>
      <c r="G164" s="713"/>
      <c r="H164" s="709"/>
      <c r="I164" s="712">
        <f>7/12*(pers!H134-H121-H122)+5/12*pers!I134</f>
        <v>0</v>
      </c>
      <c r="J164" s="711">
        <f>(7/12*pers!I134)+(5/12*pers!J134)</f>
        <v>0</v>
      </c>
      <c r="K164" s="711">
        <f>(7/12*pers!J134)+(5/12*pers!K134)</f>
        <v>0</v>
      </c>
      <c r="L164" s="711">
        <f>(7/12*pers!K134)+(5/12*pers!L134)</f>
        <v>0</v>
      </c>
      <c r="M164" s="711">
        <f>(7/12*pers!L134)+(5/12*pers!M134)</f>
        <v>0</v>
      </c>
      <c r="N164" s="204"/>
    </row>
    <row r="165" spans="3:14" x14ac:dyDescent="0.2">
      <c r="D165" s="710" t="s">
        <v>93</v>
      </c>
      <c r="E165" s="714"/>
      <c r="F165" s="714"/>
      <c r="G165" s="714"/>
      <c r="H165" s="715"/>
      <c r="I165" s="712">
        <f>7/12*(dir!AH28+op!AH71+obp!AH36)+5/12*(dir!AH52+op!AH139+obp!AH69)</f>
        <v>123.16500000000002</v>
      </c>
      <c r="J165" s="712">
        <f>7/12*(dir!AH52+op!AH139+obp!AH69)+5/12*(dir!AH75+op!AH206+obp!AH101)</f>
        <v>0</v>
      </c>
      <c r="K165" s="712">
        <f>7/12*(dir!AH75+op!AH206+obp!AH101)+5/12*(dir!AH97+op!AH273+obp!AH133)</f>
        <v>0</v>
      </c>
      <c r="L165" s="712">
        <f>7/12*(dir!AH97+op!AH273+obp!AH133)+5/12*(dir!AH119+op!AH340+obp!AH165)</f>
        <v>0</v>
      </c>
      <c r="M165" s="712">
        <f>7/12*(dir!AH119+op!AH340+obp!AH165)+5/12*(dir!AH141+op!AH407+obp!AH197)</f>
        <v>0</v>
      </c>
    </row>
    <row r="166" spans="3:14" x14ac:dyDescent="0.2">
      <c r="D166" s="710" t="s">
        <v>94</v>
      </c>
      <c r="E166" s="714"/>
      <c r="F166" s="714"/>
      <c r="G166" s="714"/>
      <c r="H166" s="715"/>
      <c r="I166" s="712">
        <f>7/12*H120+5/12*I120</f>
        <v>0</v>
      </c>
      <c r="J166" s="712">
        <f>(7/12*pers!I120)+(5/12*pers!J120)</f>
        <v>0</v>
      </c>
      <c r="K166" s="712">
        <f>(7/12*pers!J120)+(5/12*pers!K120)</f>
        <v>0</v>
      </c>
      <c r="L166" s="712">
        <f>(7/12*pers!K120)+(5/12*pers!L120)</f>
        <v>0</v>
      </c>
      <c r="M166" s="712">
        <f>(7/12*pers!L120)+(5/12*pers!M120)</f>
        <v>0</v>
      </c>
    </row>
    <row r="167" spans="3:14" x14ac:dyDescent="0.2">
      <c r="D167" s="714" t="s">
        <v>376</v>
      </c>
      <c r="E167" s="714"/>
      <c r="F167" s="714"/>
      <c r="G167" s="714"/>
      <c r="H167" s="715"/>
      <c r="I167" s="712">
        <f>(7/12*pers!H107)+(5/12*pers!I107)</f>
        <v>1945055.2864145837</v>
      </c>
      <c r="J167" s="712">
        <f>(7/12*pers!I107)+(5/12*pers!J107)</f>
        <v>1913937.9812395836</v>
      </c>
      <c r="K167" s="712">
        <f>(7/12*pers!J107)+(5/12*pers!K107)</f>
        <v>1889501.9300145837</v>
      </c>
      <c r="L167" s="712">
        <f>(7/12*pers!K107)+(5/12*pers!L107)</f>
        <v>1881139.3251333337</v>
      </c>
      <c r="M167" s="712">
        <f>(7/12*pers!L107)+(5/12*pers!M107)</f>
        <v>1895279.5451333337</v>
      </c>
    </row>
    <row r="168" spans="3:14" x14ac:dyDescent="0.2">
      <c r="D168" s="714" t="s">
        <v>377</v>
      </c>
      <c r="E168" s="714"/>
      <c r="F168" s="714"/>
      <c r="G168" s="714"/>
      <c r="H168" s="715"/>
      <c r="I168" s="712">
        <f>7/12*(pers!H136-H121-H122)+5/12*pers!I136</f>
        <v>7507.2</v>
      </c>
      <c r="J168" s="712">
        <f>(7/12*pers!I136)+(5/12*pers!J136)</f>
        <v>7507.2</v>
      </c>
      <c r="K168" s="712">
        <f>(7/12*pers!J136)+(5/12*pers!K136)</f>
        <v>7507.2</v>
      </c>
      <c r="L168" s="712">
        <f>(7/12*pers!K136)+(5/12*pers!L136)</f>
        <v>7507.2</v>
      </c>
      <c r="M168" s="712">
        <f>(7/12*pers!L136)+(5/12*pers!M136)</f>
        <v>7507.2</v>
      </c>
    </row>
    <row r="169" spans="3:14" x14ac:dyDescent="0.2">
      <c r="D169" s="714"/>
      <c r="E169" s="714"/>
      <c r="F169" s="714"/>
      <c r="G169" s="714"/>
      <c r="H169" s="715"/>
      <c r="I169" s="715"/>
      <c r="J169" s="715"/>
      <c r="K169" s="715"/>
      <c r="L169" s="715"/>
      <c r="M169" s="715"/>
    </row>
    <row r="1176" spans="4:32" x14ac:dyDescent="0.2">
      <c r="D1176" s="206"/>
      <c r="E1176" s="206"/>
      <c r="F1176" s="206"/>
      <c r="G1176" s="206"/>
      <c r="H1176" s="207"/>
      <c r="I1176" s="207"/>
      <c r="J1176" s="207"/>
      <c r="K1176" s="207"/>
      <c r="L1176" s="207"/>
      <c r="M1176" s="207"/>
      <c r="O1176" s="206"/>
      <c r="P1176" s="206"/>
      <c r="Q1176" s="206"/>
      <c r="R1176" s="206"/>
      <c r="S1176" s="206"/>
      <c r="T1176" s="206"/>
      <c r="U1176" s="206"/>
      <c r="V1176" s="206"/>
      <c r="W1176" s="206"/>
      <c r="X1176" s="206"/>
      <c r="Y1176" s="206"/>
      <c r="Z1176" s="206"/>
      <c r="AA1176" s="206"/>
      <c r="AB1176" s="206"/>
      <c r="AC1176" s="206"/>
      <c r="AD1176" s="206"/>
      <c r="AE1176" s="206"/>
      <c r="AF1176" s="206"/>
    </row>
    <row r="1177" spans="4:32" x14ac:dyDescent="0.2">
      <c r="D1177" s="206"/>
      <c r="E1177" s="206"/>
      <c r="F1177" s="206"/>
      <c r="G1177" s="206"/>
      <c r="H1177" s="207"/>
      <c r="I1177" s="207"/>
      <c r="J1177" s="207"/>
      <c r="K1177" s="207"/>
      <c r="L1177" s="207"/>
      <c r="M1177" s="207"/>
      <c r="O1177" s="206"/>
      <c r="P1177" s="206"/>
      <c r="Q1177" s="206"/>
      <c r="R1177" s="206"/>
      <c r="S1177" s="206"/>
      <c r="T1177" s="206"/>
      <c r="U1177" s="206"/>
      <c r="V1177" s="206"/>
      <c r="W1177" s="206"/>
      <c r="X1177" s="206"/>
      <c r="Y1177" s="206"/>
      <c r="Z1177" s="206"/>
      <c r="AA1177" s="206"/>
      <c r="AB1177" s="206"/>
      <c r="AC1177" s="206"/>
      <c r="AD1177" s="206"/>
      <c r="AE1177" s="206"/>
      <c r="AF1177" s="206"/>
    </row>
    <row r="1178" spans="4:32" x14ac:dyDescent="0.2">
      <c r="D1178" s="206"/>
      <c r="E1178" s="206"/>
      <c r="F1178" s="206"/>
      <c r="G1178" s="206"/>
      <c r="H1178" s="207"/>
      <c r="I1178" s="207"/>
      <c r="J1178" s="207"/>
      <c r="K1178" s="207"/>
      <c r="L1178" s="207"/>
      <c r="M1178" s="207"/>
      <c r="O1178" s="206"/>
      <c r="P1178" s="206"/>
      <c r="Q1178" s="206"/>
      <c r="R1178" s="206"/>
      <c r="S1178" s="206"/>
      <c r="T1178" s="206"/>
      <c r="U1178" s="206"/>
      <c r="V1178" s="206"/>
      <c r="W1178" s="206"/>
      <c r="X1178" s="206"/>
      <c r="Y1178" s="206"/>
      <c r="Z1178" s="206"/>
      <c r="AA1178" s="206"/>
      <c r="AB1178" s="206"/>
      <c r="AC1178" s="206"/>
      <c r="AD1178" s="206"/>
      <c r="AE1178" s="206"/>
      <c r="AF1178" s="206"/>
    </row>
    <row r="1179" spans="4:32" x14ac:dyDescent="0.2">
      <c r="D1179" s="206"/>
      <c r="E1179" s="206"/>
      <c r="F1179" s="206"/>
      <c r="G1179" s="206"/>
      <c r="H1179" s="207"/>
      <c r="I1179" s="207"/>
      <c r="J1179" s="207"/>
      <c r="K1179" s="207"/>
      <c r="L1179" s="207"/>
      <c r="M1179" s="207"/>
      <c r="O1179" s="206"/>
      <c r="P1179" s="206"/>
      <c r="Q1179" s="206"/>
      <c r="R1179" s="206"/>
      <c r="S1179" s="206"/>
      <c r="T1179" s="206"/>
      <c r="U1179" s="206"/>
      <c r="V1179" s="206"/>
      <c r="W1179" s="206"/>
      <c r="X1179" s="206"/>
      <c r="Y1179" s="206"/>
      <c r="Z1179" s="206"/>
      <c r="AA1179" s="206"/>
      <c r="AB1179" s="206"/>
      <c r="AC1179" s="206"/>
      <c r="AD1179" s="206"/>
      <c r="AE1179" s="206"/>
      <c r="AF1179" s="206"/>
    </row>
    <row r="1180" spans="4:32" x14ac:dyDescent="0.2">
      <c r="D1180" s="206"/>
      <c r="E1180" s="206"/>
      <c r="F1180" s="206"/>
      <c r="G1180" s="206"/>
      <c r="H1180" s="207"/>
      <c r="I1180" s="207"/>
      <c r="J1180" s="207"/>
      <c r="K1180" s="207"/>
      <c r="L1180" s="207"/>
      <c r="M1180" s="207"/>
      <c r="O1180" s="206"/>
      <c r="P1180" s="206"/>
      <c r="Q1180" s="206"/>
      <c r="R1180" s="206"/>
      <c r="S1180" s="206"/>
      <c r="T1180" s="206"/>
      <c r="U1180" s="206"/>
      <c r="V1180" s="206"/>
      <c r="W1180" s="206"/>
      <c r="X1180" s="206"/>
      <c r="Y1180" s="206"/>
      <c r="Z1180" s="206"/>
      <c r="AA1180" s="206"/>
      <c r="AB1180" s="206"/>
      <c r="AC1180" s="206"/>
      <c r="AD1180" s="206"/>
      <c r="AE1180" s="206"/>
      <c r="AF1180" s="206"/>
    </row>
    <row r="1181" spans="4:32" x14ac:dyDescent="0.2">
      <c r="D1181" s="206"/>
      <c r="E1181" s="206"/>
      <c r="F1181" s="206"/>
      <c r="G1181" s="206"/>
      <c r="H1181" s="207"/>
      <c r="I1181" s="207"/>
      <c r="J1181" s="207"/>
      <c r="K1181" s="207"/>
      <c r="L1181" s="207"/>
      <c r="M1181" s="207"/>
      <c r="O1181" s="206"/>
      <c r="P1181" s="206"/>
      <c r="Q1181" s="206"/>
      <c r="R1181" s="206"/>
      <c r="S1181" s="206"/>
      <c r="T1181" s="206"/>
      <c r="U1181" s="206"/>
      <c r="V1181" s="206"/>
      <c r="W1181" s="206"/>
      <c r="X1181" s="206"/>
      <c r="Y1181" s="206"/>
      <c r="Z1181" s="206"/>
      <c r="AA1181" s="206"/>
      <c r="AB1181" s="206"/>
      <c r="AC1181" s="206"/>
      <c r="AD1181" s="206"/>
      <c r="AE1181" s="206"/>
      <c r="AF1181" s="206"/>
    </row>
    <row r="1182" spans="4:32" x14ac:dyDescent="0.2">
      <c r="D1182" s="206"/>
      <c r="E1182" s="206"/>
      <c r="F1182" s="206"/>
      <c r="G1182" s="206"/>
      <c r="H1182" s="207"/>
      <c r="I1182" s="207"/>
      <c r="J1182" s="207"/>
      <c r="K1182" s="207"/>
      <c r="L1182" s="207"/>
      <c r="M1182" s="207"/>
      <c r="O1182" s="206"/>
      <c r="P1182" s="206"/>
      <c r="Q1182" s="206"/>
      <c r="R1182" s="206"/>
      <c r="S1182" s="206"/>
      <c r="T1182" s="206"/>
      <c r="U1182" s="206"/>
      <c r="V1182" s="206"/>
      <c r="W1182" s="206"/>
      <c r="X1182" s="206"/>
      <c r="Y1182" s="206"/>
      <c r="Z1182" s="206"/>
      <c r="AA1182" s="206"/>
      <c r="AB1182" s="206"/>
      <c r="AC1182" s="206"/>
      <c r="AD1182" s="206"/>
      <c r="AE1182" s="206"/>
      <c r="AF1182" s="206"/>
    </row>
    <row r="1183" spans="4:32" x14ac:dyDescent="0.2">
      <c r="D1183" s="206"/>
      <c r="E1183" s="206"/>
      <c r="F1183" s="206"/>
      <c r="G1183" s="206"/>
      <c r="H1183" s="207"/>
      <c r="I1183" s="207"/>
      <c r="J1183" s="207"/>
      <c r="K1183" s="207"/>
      <c r="L1183" s="207"/>
      <c r="M1183" s="207"/>
      <c r="O1183" s="206"/>
      <c r="P1183" s="206"/>
      <c r="Q1183" s="206"/>
      <c r="R1183" s="206"/>
      <c r="S1183" s="206"/>
      <c r="T1183" s="206"/>
      <c r="U1183" s="206"/>
      <c r="V1183" s="206"/>
      <c r="W1183" s="206"/>
      <c r="X1183" s="206"/>
      <c r="Y1183" s="206"/>
      <c r="Z1183" s="206"/>
      <c r="AA1183" s="206"/>
      <c r="AB1183" s="206"/>
      <c r="AC1183" s="206"/>
      <c r="AD1183" s="206"/>
      <c r="AE1183" s="206"/>
      <c r="AF1183" s="206"/>
    </row>
    <row r="1184" spans="4:32" x14ac:dyDescent="0.2">
      <c r="D1184" s="206"/>
      <c r="E1184" s="206"/>
      <c r="F1184" s="206"/>
      <c r="G1184" s="206"/>
      <c r="H1184" s="207"/>
      <c r="I1184" s="207"/>
      <c r="J1184" s="207"/>
      <c r="K1184" s="207"/>
      <c r="L1184" s="207"/>
      <c r="M1184" s="207"/>
      <c r="O1184" s="206"/>
      <c r="P1184" s="206"/>
      <c r="Q1184" s="206"/>
      <c r="R1184" s="206"/>
      <c r="S1184" s="206"/>
      <c r="T1184" s="206"/>
      <c r="U1184" s="206"/>
      <c r="V1184" s="206"/>
      <c r="W1184" s="206"/>
      <c r="X1184" s="206"/>
      <c r="Y1184" s="206"/>
      <c r="Z1184" s="206"/>
      <c r="AA1184" s="206"/>
      <c r="AB1184" s="206"/>
      <c r="AC1184" s="206"/>
      <c r="AD1184" s="206"/>
      <c r="AE1184" s="206"/>
      <c r="AF1184" s="206"/>
    </row>
    <row r="1185" spans="4:32" x14ac:dyDescent="0.2">
      <c r="D1185" s="206"/>
      <c r="E1185" s="206"/>
      <c r="F1185" s="206"/>
      <c r="G1185" s="206"/>
      <c r="H1185" s="207"/>
      <c r="I1185" s="207"/>
      <c r="J1185" s="207"/>
      <c r="K1185" s="207"/>
      <c r="L1185" s="207"/>
      <c r="M1185" s="207"/>
      <c r="O1185" s="206"/>
      <c r="P1185" s="206"/>
      <c r="Q1185" s="206"/>
      <c r="R1185" s="206"/>
      <c r="S1185" s="206"/>
      <c r="T1185" s="206"/>
      <c r="U1185" s="206"/>
      <c r="V1185" s="206"/>
      <c r="W1185" s="206"/>
      <c r="X1185" s="206"/>
      <c r="Y1185" s="206"/>
      <c r="Z1185" s="206"/>
      <c r="AA1185" s="206"/>
      <c r="AB1185" s="206"/>
      <c r="AC1185" s="206"/>
      <c r="AD1185" s="206"/>
      <c r="AE1185" s="206"/>
      <c r="AF1185" s="206"/>
    </row>
    <row r="1186" spans="4:32" x14ac:dyDescent="0.2">
      <c r="D1186" s="206"/>
      <c r="E1186" s="206"/>
      <c r="F1186" s="206"/>
      <c r="G1186" s="206"/>
      <c r="H1186" s="207"/>
      <c r="I1186" s="207"/>
      <c r="J1186" s="207"/>
      <c r="K1186" s="207"/>
      <c r="L1186" s="207"/>
      <c r="M1186" s="207"/>
      <c r="O1186" s="206"/>
      <c r="P1186" s="206"/>
      <c r="Q1186" s="206"/>
      <c r="R1186" s="206"/>
      <c r="S1186" s="206"/>
      <c r="T1186" s="206"/>
      <c r="U1186" s="206"/>
      <c r="V1186" s="206"/>
      <c r="W1186" s="206"/>
      <c r="X1186" s="206"/>
      <c r="Y1186" s="206"/>
      <c r="Z1186" s="206"/>
      <c r="AA1186" s="206"/>
      <c r="AB1186" s="206"/>
      <c r="AC1186" s="206"/>
      <c r="AD1186" s="206"/>
      <c r="AE1186" s="206"/>
      <c r="AF1186" s="206"/>
    </row>
    <row r="1187" spans="4:32" x14ac:dyDescent="0.2">
      <c r="D1187" s="206"/>
      <c r="E1187" s="206"/>
      <c r="F1187" s="206"/>
      <c r="G1187" s="206"/>
      <c r="H1187" s="207"/>
      <c r="I1187" s="207"/>
      <c r="J1187" s="207"/>
      <c r="K1187" s="207"/>
      <c r="L1187" s="207"/>
      <c r="M1187" s="207"/>
      <c r="O1187" s="206"/>
      <c r="P1187" s="206"/>
      <c r="Q1187" s="206"/>
      <c r="R1187" s="206"/>
      <c r="S1187" s="206"/>
      <c r="T1187" s="206"/>
      <c r="U1187" s="206"/>
      <c r="V1187" s="206"/>
      <c r="W1187" s="206"/>
      <c r="X1187" s="206"/>
      <c r="Y1187" s="206"/>
      <c r="Z1187" s="206"/>
      <c r="AA1187" s="206"/>
      <c r="AB1187" s="206"/>
      <c r="AC1187" s="206"/>
      <c r="AD1187" s="206"/>
      <c r="AE1187" s="206"/>
      <c r="AF1187" s="206"/>
    </row>
    <row r="1188" spans="4:32" x14ac:dyDescent="0.2">
      <c r="D1188" s="206"/>
      <c r="E1188" s="206"/>
      <c r="F1188" s="206"/>
      <c r="G1188" s="206"/>
      <c r="H1188" s="207"/>
      <c r="I1188" s="207"/>
      <c r="J1188" s="207"/>
      <c r="K1188" s="207"/>
      <c r="L1188" s="207"/>
      <c r="M1188" s="207"/>
      <c r="O1188" s="206"/>
      <c r="P1188" s="206"/>
      <c r="Q1188" s="206"/>
      <c r="R1188" s="206"/>
      <c r="S1188" s="206"/>
      <c r="T1188" s="206"/>
      <c r="U1188" s="206"/>
      <c r="V1188" s="206"/>
      <c r="W1188" s="206"/>
      <c r="X1188" s="206"/>
      <c r="Y1188" s="206"/>
      <c r="Z1188" s="206"/>
      <c r="AA1188" s="206"/>
      <c r="AB1188" s="206"/>
      <c r="AC1188" s="206"/>
      <c r="AD1188" s="206"/>
      <c r="AE1188" s="206"/>
      <c r="AF1188" s="206"/>
    </row>
    <row r="1189" spans="4:32" x14ac:dyDescent="0.2">
      <c r="D1189" s="206"/>
      <c r="E1189" s="206"/>
      <c r="F1189" s="206"/>
      <c r="G1189" s="206"/>
      <c r="H1189" s="207"/>
      <c r="I1189" s="207"/>
      <c r="J1189" s="207"/>
      <c r="K1189" s="207"/>
      <c r="L1189" s="207"/>
      <c r="M1189" s="207"/>
      <c r="O1189" s="206"/>
      <c r="P1189" s="206"/>
      <c r="Q1189" s="206"/>
      <c r="R1189" s="206"/>
      <c r="S1189" s="206"/>
      <c r="T1189" s="206"/>
      <c r="U1189" s="206"/>
      <c r="V1189" s="206"/>
      <c r="W1189" s="206"/>
      <c r="X1189" s="206"/>
      <c r="Y1189" s="206"/>
      <c r="Z1189" s="206"/>
      <c r="AA1189" s="206"/>
      <c r="AB1189" s="206"/>
      <c r="AC1189" s="206"/>
      <c r="AD1189" s="206"/>
      <c r="AE1189" s="206"/>
      <c r="AF1189" s="206"/>
    </row>
    <row r="1190" spans="4:32" x14ac:dyDescent="0.2">
      <c r="D1190" s="206"/>
      <c r="E1190" s="206"/>
      <c r="F1190" s="206"/>
      <c r="G1190" s="206"/>
      <c r="H1190" s="207"/>
      <c r="I1190" s="207"/>
      <c r="J1190" s="207"/>
      <c r="K1190" s="207"/>
      <c r="L1190" s="207"/>
      <c r="M1190" s="207"/>
      <c r="O1190" s="206"/>
      <c r="P1190" s="206"/>
      <c r="Q1190" s="206"/>
      <c r="R1190" s="206"/>
      <c r="S1190" s="206"/>
      <c r="T1190" s="206"/>
      <c r="U1190" s="206"/>
      <c r="V1190" s="206"/>
      <c r="W1190" s="206"/>
      <c r="X1190" s="206"/>
      <c r="Y1190" s="206"/>
      <c r="Z1190" s="206"/>
      <c r="AA1190" s="206"/>
      <c r="AB1190" s="206"/>
      <c r="AC1190" s="206"/>
      <c r="AD1190" s="206"/>
      <c r="AE1190" s="206"/>
      <c r="AF1190" s="206"/>
    </row>
    <row r="1191" spans="4:32" x14ac:dyDescent="0.2">
      <c r="D1191" s="206"/>
      <c r="E1191" s="206"/>
      <c r="F1191" s="206"/>
      <c r="G1191" s="206"/>
      <c r="H1191" s="207"/>
      <c r="I1191" s="207"/>
      <c r="J1191" s="207"/>
      <c r="K1191" s="207"/>
      <c r="L1191" s="207"/>
      <c r="M1191" s="207"/>
      <c r="O1191" s="206"/>
      <c r="P1191" s="206"/>
      <c r="Q1191" s="206"/>
      <c r="R1191" s="206"/>
      <c r="S1191" s="206"/>
      <c r="T1191" s="206"/>
      <c r="U1191" s="206"/>
      <c r="V1191" s="206"/>
      <c r="W1191" s="206"/>
      <c r="X1191" s="206"/>
      <c r="Y1191" s="206"/>
      <c r="Z1191" s="206"/>
      <c r="AA1191" s="206"/>
      <c r="AB1191" s="206"/>
      <c r="AC1191" s="206"/>
      <c r="AD1191" s="206"/>
      <c r="AE1191" s="206"/>
      <c r="AF1191" s="206"/>
    </row>
    <row r="1192" spans="4:32" x14ac:dyDescent="0.2">
      <c r="D1192" s="206"/>
      <c r="E1192" s="206"/>
      <c r="F1192" s="206"/>
      <c r="G1192" s="206"/>
      <c r="H1192" s="207"/>
      <c r="I1192" s="207"/>
      <c r="J1192" s="207"/>
      <c r="K1192" s="207"/>
      <c r="L1192" s="207"/>
      <c r="M1192" s="207"/>
      <c r="O1192" s="206"/>
      <c r="P1192" s="206"/>
      <c r="Q1192" s="206"/>
      <c r="R1192" s="206"/>
      <c r="S1192" s="206"/>
      <c r="T1192" s="206"/>
      <c r="U1192" s="206"/>
      <c r="V1192" s="206"/>
      <c r="W1192" s="206"/>
      <c r="X1192" s="206"/>
      <c r="Y1192" s="206"/>
      <c r="Z1192" s="206"/>
      <c r="AA1192" s="206"/>
      <c r="AB1192" s="206"/>
      <c r="AC1192" s="206"/>
      <c r="AD1192" s="206"/>
      <c r="AE1192" s="206"/>
      <c r="AF1192" s="206"/>
    </row>
    <row r="1193" spans="4:32" x14ac:dyDescent="0.2">
      <c r="D1193" s="206"/>
      <c r="E1193" s="206"/>
      <c r="F1193" s="206"/>
      <c r="G1193" s="206"/>
      <c r="H1193" s="207"/>
      <c r="I1193" s="207"/>
      <c r="J1193" s="207"/>
      <c r="K1193" s="207"/>
      <c r="L1193" s="207"/>
      <c r="M1193" s="207"/>
      <c r="O1193" s="206"/>
      <c r="P1193" s="206"/>
      <c r="Q1193" s="206"/>
      <c r="R1193" s="206"/>
      <c r="S1193" s="206"/>
      <c r="T1193" s="206"/>
      <c r="U1193" s="206"/>
      <c r="V1193" s="206"/>
      <c r="W1193" s="206"/>
      <c r="X1193" s="206"/>
      <c r="Y1193" s="206"/>
      <c r="Z1193" s="206"/>
      <c r="AA1193" s="206"/>
      <c r="AB1193" s="206"/>
      <c r="AC1193" s="206"/>
      <c r="AD1193" s="206"/>
      <c r="AE1193" s="206"/>
      <c r="AF1193" s="206"/>
    </row>
    <row r="1194" spans="4:32" x14ac:dyDescent="0.2">
      <c r="D1194" s="206"/>
      <c r="E1194" s="206"/>
      <c r="F1194" s="206"/>
      <c r="G1194" s="206"/>
      <c r="H1194" s="207"/>
      <c r="I1194" s="207"/>
      <c r="J1194" s="207"/>
      <c r="K1194" s="207"/>
      <c r="L1194" s="207"/>
      <c r="M1194" s="207"/>
      <c r="O1194" s="206"/>
      <c r="P1194" s="206"/>
      <c r="Q1194" s="206"/>
      <c r="R1194" s="206"/>
      <c r="S1194" s="206"/>
      <c r="T1194" s="206"/>
      <c r="U1194" s="206"/>
      <c r="V1194" s="206"/>
      <c r="W1194" s="206"/>
      <c r="X1194" s="206"/>
      <c r="Y1194" s="206"/>
      <c r="Z1194" s="206"/>
      <c r="AA1194" s="206"/>
      <c r="AB1194" s="206"/>
      <c r="AC1194" s="206"/>
      <c r="AD1194" s="206"/>
      <c r="AE1194" s="206"/>
      <c r="AF1194" s="206"/>
    </row>
    <row r="1195" spans="4:32" x14ac:dyDescent="0.2">
      <c r="D1195" s="206"/>
      <c r="E1195" s="206"/>
      <c r="F1195" s="206"/>
      <c r="G1195" s="206"/>
      <c r="H1195" s="207"/>
      <c r="I1195" s="207"/>
      <c r="J1195" s="207"/>
      <c r="K1195" s="207"/>
      <c r="L1195" s="207"/>
      <c r="M1195" s="207"/>
      <c r="O1195" s="206"/>
      <c r="P1195" s="206"/>
      <c r="Q1195" s="206"/>
      <c r="R1195" s="206"/>
      <c r="S1195" s="206"/>
      <c r="T1195" s="206"/>
      <c r="U1195" s="206"/>
      <c r="V1195" s="206"/>
      <c r="W1195" s="206"/>
      <c r="X1195" s="206"/>
      <c r="Y1195" s="206"/>
      <c r="Z1195" s="206"/>
      <c r="AA1195" s="206"/>
      <c r="AB1195" s="206"/>
      <c r="AC1195" s="206"/>
      <c r="AD1195" s="206"/>
      <c r="AE1195" s="206"/>
      <c r="AF1195" s="206"/>
    </row>
    <row r="1196" spans="4:32" x14ac:dyDescent="0.2">
      <c r="D1196" s="206"/>
      <c r="E1196" s="206"/>
      <c r="F1196" s="206"/>
      <c r="G1196" s="206"/>
      <c r="H1196" s="207"/>
      <c r="I1196" s="207"/>
      <c r="J1196" s="207"/>
      <c r="K1196" s="207"/>
      <c r="L1196" s="207"/>
      <c r="M1196" s="207"/>
      <c r="O1196" s="206"/>
      <c r="P1196" s="206"/>
      <c r="Q1196" s="206"/>
      <c r="R1196" s="206"/>
      <c r="S1196" s="206"/>
      <c r="T1196" s="206"/>
      <c r="U1196" s="206"/>
      <c r="V1196" s="206"/>
      <c r="W1196" s="206"/>
      <c r="X1196" s="206"/>
      <c r="Y1196" s="206"/>
      <c r="Z1196" s="206"/>
      <c r="AA1196" s="206"/>
      <c r="AB1196" s="206"/>
      <c r="AC1196" s="206"/>
      <c r="AD1196" s="206"/>
      <c r="AE1196" s="206"/>
      <c r="AF1196" s="206"/>
    </row>
    <row r="1197" spans="4:32" x14ac:dyDescent="0.2">
      <c r="D1197" s="206"/>
      <c r="E1197" s="206"/>
      <c r="F1197" s="206"/>
      <c r="G1197" s="206"/>
      <c r="H1197" s="207"/>
      <c r="I1197" s="207"/>
      <c r="J1197" s="207"/>
      <c r="K1197" s="207"/>
      <c r="L1197" s="207"/>
      <c r="M1197" s="207"/>
      <c r="O1197" s="206"/>
      <c r="P1197" s="206"/>
      <c r="Q1197" s="206"/>
      <c r="R1197" s="206"/>
      <c r="S1197" s="206"/>
      <c r="T1197" s="206"/>
      <c r="U1197" s="206"/>
      <c r="V1197" s="206"/>
      <c r="W1197" s="206"/>
      <c r="X1197" s="206"/>
      <c r="Y1197" s="206"/>
      <c r="Z1197" s="206"/>
      <c r="AA1197" s="206"/>
      <c r="AB1197" s="206"/>
      <c r="AC1197" s="206"/>
      <c r="AD1197" s="206"/>
      <c r="AE1197" s="206"/>
      <c r="AF1197" s="206"/>
    </row>
    <row r="1198" spans="4:32" x14ac:dyDescent="0.2">
      <c r="D1198" s="206"/>
      <c r="E1198" s="206"/>
      <c r="F1198" s="206"/>
      <c r="G1198" s="206"/>
      <c r="H1198" s="207"/>
      <c r="I1198" s="207"/>
      <c r="J1198" s="207"/>
      <c r="K1198" s="207"/>
      <c r="L1198" s="207"/>
      <c r="M1198" s="207"/>
      <c r="O1198" s="206"/>
      <c r="P1198" s="206"/>
      <c r="Q1198" s="206"/>
      <c r="R1198" s="206"/>
      <c r="S1198" s="206"/>
      <c r="T1198" s="206"/>
      <c r="U1198" s="206"/>
      <c r="V1198" s="206"/>
      <c r="W1198" s="206"/>
      <c r="X1198" s="206"/>
      <c r="Y1198" s="206"/>
      <c r="Z1198" s="206"/>
      <c r="AA1198" s="206"/>
      <c r="AB1198" s="206"/>
      <c r="AC1198" s="206"/>
      <c r="AD1198" s="206"/>
      <c r="AE1198" s="206"/>
      <c r="AF1198" s="206"/>
    </row>
    <row r="1199" spans="4:32" x14ac:dyDescent="0.2">
      <c r="D1199" s="206"/>
      <c r="E1199" s="206"/>
      <c r="F1199" s="206"/>
      <c r="G1199" s="206"/>
      <c r="H1199" s="207"/>
      <c r="I1199" s="207"/>
      <c r="J1199" s="207"/>
      <c r="K1199" s="207"/>
      <c r="L1199" s="207"/>
      <c r="M1199" s="207"/>
      <c r="O1199" s="206"/>
      <c r="P1199" s="206"/>
      <c r="Q1199" s="206"/>
      <c r="R1199" s="206"/>
      <c r="S1199" s="206"/>
      <c r="T1199" s="206"/>
      <c r="U1199" s="206"/>
      <c r="V1199" s="206"/>
      <c r="W1199" s="206"/>
      <c r="X1199" s="206"/>
      <c r="Y1199" s="206"/>
      <c r="Z1199" s="206"/>
      <c r="AA1199" s="206"/>
      <c r="AB1199" s="206"/>
      <c r="AC1199" s="206"/>
      <c r="AD1199" s="206"/>
      <c r="AE1199" s="206"/>
      <c r="AF1199" s="206"/>
    </row>
    <row r="1200" spans="4:32" x14ac:dyDescent="0.2">
      <c r="D1200" s="206"/>
      <c r="E1200" s="206"/>
      <c r="F1200" s="206"/>
      <c r="G1200" s="206"/>
      <c r="H1200" s="207"/>
      <c r="I1200" s="207"/>
      <c r="J1200" s="207"/>
      <c r="K1200" s="207"/>
      <c r="L1200" s="207"/>
      <c r="M1200" s="207"/>
      <c r="O1200" s="206"/>
      <c r="P1200" s="206"/>
      <c r="Q1200" s="206"/>
      <c r="R1200" s="206"/>
      <c r="S1200" s="206"/>
      <c r="T1200" s="206"/>
      <c r="U1200" s="206"/>
      <c r="V1200" s="206"/>
      <c r="W1200" s="206"/>
      <c r="X1200" s="206"/>
      <c r="Y1200" s="206"/>
      <c r="Z1200" s="206"/>
      <c r="AA1200" s="206"/>
      <c r="AB1200" s="206"/>
      <c r="AC1200" s="206"/>
      <c r="AD1200" s="206"/>
      <c r="AE1200" s="206"/>
      <c r="AF1200" s="206"/>
    </row>
    <row r="1201" spans="4:32" x14ac:dyDescent="0.2">
      <c r="D1201" s="206"/>
      <c r="E1201" s="206"/>
      <c r="F1201" s="206"/>
      <c r="G1201" s="206"/>
      <c r="H1201" s="207"/>
      <c r="I1201" s="207"/>
      <c r="J1201" s="207"/>
      <c r="K1201" s="207"/>
      <c r="L1201" s="207"/>
      <c r="M1201" s="207"/>
      <c r="O1201" s="206"/>
      <c r="P1201" s="206"/>
      <c r="Q1201" s="206"/>
      <c r="R1201" s="206"/>
      <c r="S1201" s="206"/>
      <c r="T1201" s="206"/>
      <c r="U1201" s="206"/>
      <c r="V1201" s="206"/>
      <c r="W1201" s="206"/>
      <c r="X1201" s="206"/>
      <c r="Y1201" s="206"/>
      <c r="Z1201" s="206"/>
      <c r="AA1201" s="206"/>
      <c r="AB1201" s="206"/>
      <c r="AC1201" s="206"/>
      <c r="AD1201" s="206"/>
      <c r="AE1201" s="206"/>
      <c r="AF1201" s="206"/>
    </row>
    <row r="1202" spans="4:32" x14ac:dyDescent="0.2">
      <c r="D1202" s="206"/>
      <c r="E1202" s="206"/>
      <c r="F1202" s="206"/>
      <c r="G1202" s="206"/>
      <c r="H1202" s="207"/>
      <c r="I1202" s="207"/>
      <c r="J1202" s="207"/>
      <c r="K1202" s="207"/>
      <c r="L1202" s="207"/>
      <c r="M1202" s="207"/>
      <c r="O1202" s="206"/>
      <c r="P1202" s="206"/>
      <c r="Q1202" s="206"/>
      <c r="R1202" s="206"/>
      <c r="S1202" s="206"/>
      <c r="T1202" s="206"/>
      <c r="U1202" s="206"/>
      <c r="V1202" s="206"/>
      <c r="W1202" s="206"/>
      <c r="X1202" s="206"/>
      <c r="Y1202" s="206"/>
      <c r="Z1202" s="206"/>
      <c r="AA1202" s="206"/>
      <c r="AB1202" s="206"/>
      <c r="AC1202" s="206"/>
      <c r="AD1202" s="206"/>
      <c r="AE1202" s="206"/>
      <c r="AF1202" s="206"/>
    </row>
    <row r="1203" spans="4:32" x14ac:dyDescent="0.2">
      <c r="D1203" s="206"/>
      <c r="E1203" s="206"/>
      <c r="F1203" s="206"/>
      <c r="G1203" s="206"/>
      <c r="H1203" s="207"/>
      <c r="I1203" s="207"/>
      <c r="J1203" s="207"/>
      <c r="K1203" s="207"/>
      <c r="L1203" s="207"/>
      <c r="M1203" s="207"/>
      <c r="O1203" s="206"/>
      <c r="P1203" s="206"/>
      <c r="Q1203" s="206"/>
      <c r="R1203" s="206"/>
      <c r="S1203" s="206"/>
      <c r="T1203" s="206"/>
      <c r="U1203" s="206"/>
      <c r="V1203" s="206"/>
      <c r="W1203" s="206"/>
      <c r="X1203" s="206"/>
      <c r="Y1203" s="206"/>
      <c r="Z1203" s="206"/>
      <c r="AA1203" s="206"/>
      <c r="AB1203" s="206"/>
      <c r="AC1203" s="206"/>
      <c r="AD1203" s="206"/>
      <c r="AE1203" s="206"/>
      <c r="AF1203" s="206"/>
    </row>
    <row r="1204" spans="4:32" x14ac:dyDescent="0.2">
      <c r="D1204" s="206"/>
      <c r="E1204" s="206"/>
      <c r="F1204" s="206"/>
      <c r="G1204" s="206"/>
      <c r="H1204" s="207"/>
      <c r="I1204" s="207"/>
      <c r="J1204" s="207"/>
      <c r="K1204" s="207"/>
      <c r="L1204" s="207"/>
      <c r="M1204" s="207"/>
      <c r="O1204" s="206"/>
      <c r="P1204" s="206"/>
      <c r="Q1204" s="206"/>
      <c r="R1204" s="206"/>
      <c r="S1204" s="206"/>
      <c r="T1204" s="206"/>
      <c r="U1204" s="206"/>
      <c r="V1204" s="206"/>
      <c r="W1204" s="206"/>
      <c r="X1204" s="206"/>
      <c r="Y1204" s="206"/>
      <c r="Z1204" s="206"/>
      <c r="AA1204" s="206"/>
      <c r="AB1204" s="206"/>
      <c r="AC1204" s="206"/>
      <c r="AD1204" s="206"/>
      <c r="AE1204" s="206"/>
      <c r="AF1204" s="206"/>
    </row>
    <row r="1205" spans="4:32" x14ac:dyDescent="0.2">
      <c r="D1205" s="206"/>
      <c r="E1205" s="206"/>
      <c r="F1205" s="206"/>
      <c r="G1205" s="206"/>
      <c r="H1205" s="207"/>
      <c r="I1205" s="207"/>
      <c r="J1205" s="207"/>
      <c r="K1205" s="207"/>
      <c r="L1205" s="207"/>
      <c r="M1205" s="207"/>
      <c r="O1205" s="206"/>
      <c r="P1205" s="206"/>
      <c r="Q1205" s="206"/>
      <c r="R1205" s="206"/>
      <c r="S1205" s="206"/>
      <c r="T1205" s="206"/>
      <c r="U1205" s="206"/>
      <c r="V1205" s="206"/>
      <c r="W1205" s="206"/>
      <c r="X1205" s="206"/>
      <c r="Y1205" s="206"/>
      <c r="Z1205" s="206"/>
      <c r="AA1205" s="206"/>
      <c r="AB1205" s="206"/>
      <c r="AC1205" s="206"/>
      <c r="AD1205" s="206"/>
      <c r="AE1205" s="206"/>
      <c r="AF1205" s="206"/>
    </row>
    <row r="1206" spans="4:32" x14ac:dyDescent="0.2">
      <c r="D1206" s="206"/>
      <c r="E1206" s="206"/>
      <c r="F1206" s="206"/>
      <c r="G1206" s="206"/>
      <c r="H1206" s="207"/>
      <c r="I1206" s="207"/>
      <c r="J1206" s="207"/>
      <c r="K1206" s="207"/>
      <c r="L1206" s="207"/>
      <c r="M1206" s="207"/>
      <c r="O1206" s="206"/>
      <c r="P1206" s="206"/>
      <c r="Q1206" s="206"/>
      <c r="R1206" s="206"/>
      <c r="S1206" s="206"/>
      <c r="T1206" s="206"/>
      <c r="U1206" s="206"/>
      <c r="V1206" s="206"/>
      <c r="W1206" s="206"/>
      <c r="X1206" s="206"/>
      <c r="Y1206" s="206"/>
      <c r="Z1206" s="206"/>
      <c r="AA1206" s="206"/>
      <c r="AB1206" s="206"/>
      <c r="AC1206" s="206"/>
      <c r="AD1206" s="206"/>
      <c r="AE1206" s="206"/>
      <c r="AF1206" s="206"/>
    </row>
    <row r="1207" spans="4:32" x14ac:dyDescent="0.2">
      <c r="D1207" s="206"/>
      <c r="E1207" s="206"/>
      <c r="F1207" s="206"/>
      <c r="G1207" s="206"/>
      <c r="H1207" s="207"/>
      <c r="I1207" s="207"/>
      <c r="J1207" s="207"/>
      <c r="K1207" s="207"/>
      <c r="L1207" s="207"/>
      <c r="M1207" s="207"/>
      <c r="O1207" s="206"/>
      <c r="P1207" s="206"/>
      <c r="Q1207" s="206"/>
      <c r="R1207" s="206"/>
      <c r="S1207" s="206"/>
      <c r="T1207" s="206"/>
      <c r="U1207" s="206"/>
      <c r="V1207" s="206"/>
      <c r="W1207" s="206"/>
      <c r="X1207" s="206"/>
      <c r="Y1207" s="206"/>
      <c r="Z1207" s="206"/>
      <c r="AA1207" s="206"/>
      <c r="AB1207" s="206"/>
      <c r="AC1207" s="206"/>
      <c r="AD1207" s="206"/>
      <c r="AE1207" s="206"/>
      <c r="AF1207" s="206"/>
    </row>
    <row r="1208" spans="4:32" x14ac:dyDescent="0.2">
      <c r="D1208" s="206"/>
      <c r="E1208" s="206"/>
      <c r="F1208" s="206"/>
      <c r="G1208" s="206"/>
      <c r="H1208" s="207"/>
      <c r="I1208" s="207"/>
      <c r="J1208" s="207"/>
      <c r="K1208" s="207"/>
      <c r="L1208" s="207"/>
      <c r="M1208" s="207"/>
      <c r="O1208" s="206"/>
      <c r="P1208" s="206"/>
      <c r="Q1208" s="206"/>
      <c r="R1208" s="206"/>
      <c r="S1208" s="206"/>
      <c r="T1208" s="206"/>
      <c r="U1208" s="206"/>
      <c r="V1208" s="206"/>
      <c r="W1208" s="206"/>
      <c r="X1208" s="206"/>
      <c r="Y1208" s="206"/>
      <c r="Z1208" s="206"/>
      <c r="AA1208" s="206"/>
      <c r="AB1208" s="206"/>
      <c r="AC1208" s="206"/>
      <c r="AD1208" s="206"/>
      <c r="AE1208" s="206"/>
      <c r="AF1208" s="206"/>
    </row>
    <row r="1209" spans="4:32" x14ac:dyDescent="0.2">
      <c r="D1209" s="206"/>
      <c r="E1209" s="206"/>
      <c r="F1209" s="206"/>
      <c r="G1209" s="206"/>
      <c r="H1209" s="207"/>
      <c r="I1209" s="207"/>
      <c r="J1209" s="207"/>
      <c r="K1209" s="207"/>
      <c r="L1209" s="207"/>
      <c r="M1209" s="207"/>
      <c r="O1209" s="206"/>
      <c r="P1209" s="206"/>
      <c r="Q1209" s="206"/>
      <c r="R1209" s="206"/>
      <c r="S1209" s="206"/>
      <c r="T1209" s="206"/>
      <c r="U1209" s="206"/>
      <c r="V1209" s="206"/>
      <c r="W1209" s="206"/>
      <c r="X1209" s="206"/>
      <c r="Y1209" s="206"/>
      <c r="Z1209" s="206"/>
      <c r="AA1209" s="206"/>
      <c r="AB1209" s="206"/>
      <c r="AC1209" s="206"/>
      <c r="AD1209" s="206"/>
      <c r="AE1209" s="206"/>
      <c r="AF1209" s="206"/>
    </row>
    <row r="1210" spans="4:32" x14ac:dyDescent="0.2">
      <c r="D1210" s="206"/>
      <c r="E1210" s="206"/>
      <c r="F1210" s="206"/>
      <c r="G1210" s="206"/>
      <c r="H1210" s="207"/>
      <c r="I1210" s="207"/>
      <c r="J1210" s="207"/>
      <c r="K1210" s="207"/>
      <c r="L1210" s="207"/>
      <c r="M1210" s="207"/>
      <c r="O1210" s="206"/>
      <c r="P1210" s="206"/>
      <c r="Q1210" s="206"/>
      <c r="R1210" s="206"/>
      <c r="S1210" s="206"/>
      <c r="T1210" s="206"/>
      <c r="U1210" s="206"/>
      <c r="V1210" s="206"/>
      <c r="W1210" s="206"/>
      <c r="X1210" s="206"/>
      <c r="Y1210" s="206"/>
      <c r="Z1210" s="206"/>
      <c r="AA1210" s="206"/>
      <c r="AB1210" s="206"/>
      <c r="AC1210" s="206"/>
      <c r="AD1210" s="206"/>
      <c r="AE1210" s="206"/>
      <c r="AF1210" s="206"/>
    </row>
    <row r="1211" spans="4:32" x14ac:dyDescent="0.2">
      <c r="D1211" s="206"/>
      <c r="E1211" s="206"/>
      <c r="F1211" s="206"/>
      <c r="G1211" s="206"/>
      <c r="H1211" s="207"/>
      <c r="I1211" s="207"/>
      <c r="J1211" s="207"/>
      <c r="K1211" s="207"/>
      <c r="L1211" s="207"/>
      <c r="M1211" s="207"/>
      <c r="O1211" s="206"/>
      <c r="P1211" s="206"/>
      <c r="Q1211" s="206"/>
      <c r="R1211" s="206"/>
      <c r="S1211" s="206"/>
      <c r="T1211" s="206"/>
      <c r="U1211" s="206"/>
      <c r="V1211" s="206"/>
      <c r="W1211" s="206"/>
      <c r="X1211" s="206"/>
      <c r="Y1211" s="206"/>
      <c r="Z1211" s="206"/>
      <c r="AA1211" s="206"/>
      <c r="AB1211" s="206"/>
      <c r="AC1211" s="206"/>
      <c r="AD1211" s="206"/>
      <c r="AE1211" s="206"/>
      <c r="AF1211" s="206"/>
    </row>
    <row r="1212" spans="4:32" x14ac:dyDescent="0.2">
      <c r="D1212" s="206"/>
      <c r="E1212" s="206"/>
      <c r="F1212" s="206"/>
      <c r="G1212" s="206"/>
      <c r="H1212" s="207"/>
      <c r="I1212" s="207"/>
      <c r="J1212" s="207"/>
      <c r="K1212" s="207"/>
      <c r="L1212" s="207"/>
      <c r="M1212" s="207"/>
      <c r="O1212" s="206"/>
      <c r="P1212" s="206"/>
      <c r="Q1212" s="206"/>
      <c r="R1212" s="206"/>
      <c r="S1212" s="206"/>
      <c r="T1212" s="206"/>
      <c r="U1212" s="206"/>
      <c r="V1212" s="206"/>
      <c r="W1212" s="206"/>
      <c r="X1212" s="206"/>
      <c r="Y1212" s="206"/>
      <c r="Z1212" s="206"/>
      <c r="AA1212" s="206"/>
      <c r="AB1212" s="206"/>
      <c r="AC1212" s="206"/>
      <c r="AD1212" s="206"/>
      <c r="AE1212" s="206"/>
      <c r="AF1212" s="206"/>
    </row>
    <row r="1213" spans="4:32" x14ac:dyDescent="0.2">
      <c r="D1213" s="206"/>
      <c r="E1213" s="206"/>
      <c r="F1213" s="206"/>
      <c r="G1213" s="206"/>
      <c r="H1213" s="207"/>
      <c r="I1213" s="207"/>
      <c r="J1213" s="207"/>
      <c r="K1213" s="207"/>
      <c r="L1213" s="207"/>
      <c r="M1213" s="207"/>
      <c r="O1213" s="206"/>
      <c r="P1213" s="206"/>
      <c r="Q1213" s="206"/>
      <c r="R1213" s="206"/>
      <c r="S1213" s="206"/>
      <c r="T1213" s="206"/>
      <c r="U1213" s="206"/>
      <c r="V1213" s="206"/>
      <c r="W1213" s="206"/>
      <c r="X1213" s="206"/>
      <c r="Y1213" s="206"/>
      <c r="Z1213" s="206"/>
      <c r="AA1213" s="206"/>
      <c r="AB1213" s="206"/>
      <c r="AC1213" s="206"/>
      <c r="AD1213" s="206"/>
      <c r="AE1213" s="206"/>
      <c r="AF1213" s="206"/>
    </row>
    <row r="1214" spans="4:32" x14ac:dyDescent="0.2">
      <c r="D1214" s="206"/>
      <c r="E1214" s="206"/>
      <c r="F1214" s="206"/>
      <c r="G1214" s="206"/>
      <c r="H1214" s="207"/>
      <c r="I1214" s="207"/>
      <c r="J1214" s="207"/>
      <c r="K1214" s="207"/>
      <c r="L1214" s="207"/>
      <c r="M1214" s="207"/>
      <c r="O1214" s="206"/>
      <c r="P1214" s="206"/>
      <c r="Q1214" s="206"/>
      <c r="R1214" s="206"/>
      <c r="S1214" s="206"/>
      <c r="T1214" s="206"/>
      <c r="U1214" s="206"/>
      <c r="V1214" s="206"/>
      <c r="W1214" s="206"/>
      <c r="X1214" s="206"/>
      <c r="Y1214" s="206"/>
      <c r="Z1214" s="206"/>
      <c r="AA1214" s="206"/>
      <c r="AB1214" s="206"/>
      <c r="AC1214" s="206"/>
      <c r="AD1214" s="206"/>
      <c r="AE1214" s="206"/>
      <c r="AF1214" s="206"/>
    </row>
    <row r="1215" spans="4:32" x14ac:dyDescent="0.2">
      <c r="D1215" s="206"/>
      <c r="E1215" s="206"/>
      <c r="F1215" s="206"/>
      <c r="G1215" s="206"/>
      <c r="H1215" s="207"/>
      <c r="I1215" s="207"/>
      <c r="J1215" s="207"/>
      <c r="K1215" s="207"/>
      <c r="L1215" s="207"/>
      <c r="M1215" s="207"/>
      <c r="O1215" s="206"/>
      <c r="P1215" s="206"/>
      <c r="Q1215" s="206"/>
      <c r="R1215" s="206"/>
      <c r="S1215" s="206"/>
      <c r="T1215" s="206"/>
      <c r="U1215" s="206"/>
      <c r="V1215" s="206"/>
      <c r="W1215" s="206"/>
      <c r="X1215" s="206"/>
      <c r="Y1215" s="206"/>
      <c r="Z1215" s="206"/>
      <c r="AA1215" s="206"/>
      <c r="AB1215" s="206"/>
      <c r="AC1215" s="206"/>
      <c r="AD1215" s="206"/>
      <c r="AE1215" s="206"/>
      <c r="AF1215" s="206"/>
    </row>
    <row r="1216" spans="4:32" x14ac:dyDescent="0.2">
      <c r="D1216" s="206"/>
      <c r="E1216" s="206"/>
      <c r="F1216" s="206"/>
      <c r="G1216" s="206"/>
      <c r="H1216" s="207"/>
      <c r="I1216" s="207"/>
      <c r="J1216" s="207"/>
      <c r="K1216" s="207"/>
      <c r="L1216" s="207"/>
      <c r="M1216" s="207"/>
      <c r="O1216" s="206"/>
      <c r="P1216" s="206"/>
      <c r="Q1216" s="206"/>
      <c r="R1216" s="206"/>
      <c r="S1216" s="206"/>
      <c r="T1216" s="206"/>
      <c r="U1216" s="206"/>
      <c r="V1216" s="206"/>
      <c r="W1216" s="206"/>
      <c r="X1216" s="206"/>
      <c r="Y1216" s="206"/>
      <c r="Z1216" s="206"/>
      <c r="AA1216" s="206"/>
      <c r="AB1216" s="206"/>
      <c r="AC1216" s="206"/>
      <c r="AD1216" s="206"/>
      <c r="AE1216" s="206"/>
      <c r="AF1216" s="206"/>
    </row>
    <row r="1217" spans="4:32" x14ac:dyDescent="0.2">
      <c r="D1217" s="206"/>
      <c r="E1217" s="206"/>
      <c r="F1217" s="206"/>
      <c r="G1217" s="206"/>
      <c r="H1217" s="207"/>
      <c r="I1217" s="207"/>
      <c r="J1217" s="207"/>
      <c r="K1217" s="207"/>
      <c r="L1217" s="207"/>
      <c r="M1217" s="207"/>
      <c r="O1217" s="206"/>
      <c r="P1217" s="206"/>
      <c r="Q1217" s="206"/>
      <c r="R1217" s="206"/>
      <c r="S1217" s="206"/>
      <c r="T1217" s="206"/>
      <c r="U1217" s="206"/>
      <c r="V1217" s="206"/>
      <c r="W1217" s="206"/>
      <c r="X1217" s="206"/>
      <c r="Y1217" s="206"/>
      <c r="Z1217" s="206"/>
      <c r="AA1217" s="206"/>
      <c r="AB1217" s="206"/>
      <c r="AC1217" s="206"/>
      <c r="AD1217" s="206"/>
      <c r="AE1217" s="206"/>
      <c r="AF1217" s="206"/>
    </row>
    <row r="1218" spans="4:32" x14ac:dyDescent="0.2">
      <c r="D1218" s="206"/>
      <c r="E1218" s="206"/>
      <c r="F1218" s="206"/>
      <c r="G1218" s="206"/>
      <c r="H1218" s="207"/>
      <c r="I1218" s="207"/>
      <c r="J1218" s="207"/>
      <c r="K1218" s="207"/>
      <c r="L1218" s="207"/>
      <c r="M1218" s="207"/>
      <c r="O1218" s="206"/>
      <c r="P1218" s="206"/>
      <c r="Q1218" s="206"/>
      <c r="R1218" s="206"/>
      <c r="S1218" s="206"/>
      <c r="T1218" s="206"/>
      <c r="U1218" s="206"/>
      <c r="V1218" s="206"/>
      <c r="W1218" s="206"/>
      <c r="X1218" s="206"/>
      <c r="Y1218" s="206"/>
      <c r="Z1218" s="206"/>
      <c r="AA1218" s="206"/>
      <c r="AB1218" s="206"/>
      <c r="AC1218" s="206"/>
      <c r="AD1218" s="206"/>
      <c r="AE1218" s="206"/>
      <c r="AF1218" s="206"/>
    </row>
    <row r="1219" spans="4:32" x14ac:dyDescent="0.2">
      <c r="D1219" s="206"/>
      <c r="E1219" s="206"/>
      <c r="F1219" s="206"/>
      <c r="G1219" s="206"/>
      <c r="H1219" s="207"/>
      <c r="I1219" s="207"/>
      <c r="J1219" s="207"/>
      <c r="K1219" s="207"/>
      <c r="L1219" s="207"/>
      <c r="M1219" s="207"/>
      <c r="O1219" s="206"/>
      <c r="P1219" s="206"/>
      <c r="Q1219" s="206"/>
      <c r="R1219" s="206"/>
      <c r="S1219" s="206"/>
      <c r="T1219" s="206"/>
      <c r="U1219" s="206"/>
      <c r="V1219" s="206"/>
      <c r="W1219" s="206"/>
      <c r="X1219" s="206"/>
      <c r="Y1219" s="206"/>
      <c r="Z1219" s="206"/>
      <c r="AA1219" s="206"/>
      <c r="AB1219" s="206"/>
      <c r="AC1219" s="206"/>
      <c r="AD1219" s="206"/>
      <c r="AE1219" s="206"/>
      <c r="AF1219" s="206"/>
    </row>
    <row r="1220" spans="4:32" x14ac:dyDescent="0.2">
      <c r="D1220" s="206"/>
      <c r="E1220" s="206"/>
      <c r="F1220" s="206"/>
      <c r="G1220" s="206"/>
      <c r="H1220" s="207"/>
      <c r="I1220" s="207"/>
      <c r="J1220" s="207"/>
      <c r="K1220" s="207"/>
      <c r="L1220" s="207"/>
      <c r="M1220" s="207"/>
      <c r="O1220" s="206"/>
      <c r="P1220" s="206"/>
      <c r="Q1220" s="206"/>
      <c r="R1220" s="206"/>
      <c r="S1220" s="206"/>
      <c r="T1220" s="206"/>
      <c r="U1220" s="206"/>
      <c r="V1220" s="206"/>
      <c r="W1220" s="206"/>
      <c r="X1220" s="206"/>
      <c r="Y1220" s="206"/>
      <c r="Z1220" s="206"/>
      <c r="AA1220" s="206"/>
      <c r="AB1220" s="206"/>
      <c r="AC1220" s="206"/>
      <c r="AD1220" s="206"/>
      <c r="AE1220" s="206"/>
      <c r="AF1220" s="206"/>
    </row>
    <row r="1221" spans="4:32" x14ac:dyDescent="0.2">
      <c r="D1221" s="206"/>
      <c r="E1221" s="206"/>
      <c r="F1221" s="206"/>
      <c r="G1221" s="206"/>
      <c r="H1221" s="207"/>
      <c r="I1221" s="207"/>
      <c r="J1221" s="207"/>
      <c r="K1221" s="207"/>
      <c r="L1221" s="207"/>
      <c r="M1221" s="207"/>
      <c r="O1221" s="206"/>
      <c r="P1221" s="206"/>
      <c r="Q1221" s="206"/>
      <c r="R1221" s="206"/>
      <c r="S1221" s="206"/>
      <c r="T1221" s="206"/>
      <c r="U1221" s="206"/>
      <c r="V1221" s="206"/>
      <c r="W1221" s="206"/>
      <c r="X1221" s="206"/>
      <c r="Y1221" s="206"/>
      <c r="Z1221" s="206"/>
      <c r="AA1221" s="206"/>
      <c r="AB1221" s="206"/>
      <c r="AC1221" s="206"/>
      <c r="AD1221" s="206"/>
      <c r="AE1221" s="206"/>
      <c r="AF1221" s="206"/>
    </row>
    <row r="1222" spans="4:32" x14ac:dyDescent="0.2">
      <c r="D1222" s="206"/>
      <c r="E1222" s="206"/>
      <c r="F1222" s="206"/>
      <c r="G1222" s="206"/>
      <c r="H1222" s="207"/>
      <c r="I1222" s="207"/>
      <c r="J1222" s="207"/>
      <c r="K1222" s="207"/>
      <c r="L1222" s="207"/>
      <c r="M1222" s="207"/>
      <c r="O1222" s="206"/>
      <c r="P1222" s="206"/>
      <c r="Q1222" s="206"/>
      <c r="R1222" s="206"/>
      <c r="S1222" s="206"/>
      <c r="T1222" s="206"/>
      <c r="U1222" s="206"/>
      <c r="V1222" s="206"/>
      <c r="W1222" s="206"/>
      <c r="X1222" s="206"/>
      <c r="Y1222" s="206"/>
      <c r="Z1222" s="206"/>
      <c r="AA1222" s="206"/>
      <c r="AB1222" s="206"/>
      <c r="AC1222" s="206"/>
      <c r="AD1222" s="206"/>
      <c r="AE1222" s="206"/>
      <c r="AF1222" s="206"/>
    </row>
    <row r="1223" spans="4:32" x14ac:dyDescent="0.2">
      <c r="D1223" s="206"/>
      <c r="E1223" s="206"/>
      <c r="F1223" s="206"/>
      <c r="G1223" s="206"/>
      <c r="H1223" s="207"/>
      <c r="I1223" s="207"/>
      <c r="J1223" s="207"/>
      <c r="K1223" s="207"/>
      <c r="L1223" s="207"/>
      <c r="M1223" s="207"/>
      <c r="O1223" s="206"/>
      <c r="P1223" s="206"/>
      <c r="Q1223" s="206"/>
      <c r="R1223" s="206"/>
      <c r="S1223" s="206"/>
      <c r="T1223" s="206"/>
      <c r="U1223" s="206"/>
      <c r="V1223" s="206"/>
      <c r="W1223" s="206"/>
      <c r="X1223" s="206"/>
      <c r="Y1223" s="206"/>
      <c r="Z1223" s="206"/>
      <c r="AA1223" s="206"/>
      <c r="AB1223" s="206"/>
      <c r="AC1223" s="206"/>
      <c r="AD1223" s="206"/>
      <c r="AE1223" s="206"/>
      <c r="AF1223" s="206"/>
    </row>
    <row r="1224" spans="4:32" x14ac:dyDescent="0.2">
      <c r="D1224" s="206"/>
      <c r="E1224" s="206"/>
      <c r="F1224" s="206"/>
      <c r="G1224" s="206"/>
      <c r="H1224" s="207"/>
      <c r="I1224" s="207"/>
      <c r="J1224" s="207"/>
      <c r="K1224" s="207"/>
      <c r="L1224" s="207"/>
      <c r="M1224" s="207"/>
      <c r="O1224" s="206"/>
      <c r="P1224" s="206"/>
      <c r="Q1224" s="206"/>
      <c r="R1224" s="206"/>
      <c r="S1224" s="206"/>
      <c r="T1224" s="206"/>
      <c r="U1224" s="206"/>
      <c r="V1224" s="206"/>
      <c r="W1224" s="206"/>
      <c r="X1224" s="206"/>
      <c r="Y1224" s="206"/>
      <c r="Z1224" s="206"/>
      <c r="AA1224" s="206"/>
      <c r="AB1224" s="206"/>
      <c r="AC1224" s="206"/>
      <c r="AD1224" s="206"/>
      <c r="AE1224" s="206"/>
      <c r="AF1224" s="206"/>
    </row>
    <row r="1225" spans="4:32" x14ac:dyDescent="0.2">
      <c r="D1225" s="206"/>
      <c r="E1225" s="206"/>
      <c r="F1225" s="206"/>
      <c r="G1225" s="206"/>
      <c r="H1225" s="207"/>
      <c r="I1225" s="207"/>
      <c r="J1225" s="207"/>
      <c r="K1225" s="207"/>
      <c r="L1225" s="207"/>
      <c r="M1225" s="207"/>
      <c r="O1225" s="206"/>
      <c r="P1225" s="206"/>
      <c r="Q1225" s="206"/>
      <c r="R1225" s="206"/>
      <c r="S1225" s="206"/>
      <c r="T1225" s="206"/>
      <c r="U1225" s="206"/>
      <c r="V1225" s="206"/>
      <c r="W1225" s="206"/>
      <c r="X1225" s="206"/>
      <c r="Y1225" s="206"/>
      <c r="Z1225" s="206"/>
      <c r="AA1225" s="206"/>
      <c r="AB1225" s="206"/>
      <c r="AC1225" s="206"/>
      <c r="AD1225" s="206"/>
      <c r="AE1225" s="206"/>
      <c r="AF1225" s="206"/>
    </row>
    <row r="1226" spans="4:32" x14ac:dyDescent="0.2">
      <c r="D1226" s="206"/>
      <c r="E1226" s="206"/>
      <c r="F1226" s="206"/>
      <c r="G1226" s="206"/>
      <c r="H1226" s="207"/>
      <c r="I1226" s="207"/>
      <c r="J1226" s="207"/>
      <c r="K1226" s="207"/>
      <c r="L1226" s="207"/>
      <c r="M1226" s="207"/>
      <c r="O1226" s="206"/>
      <c r="P1226" s="206"/>
      <c r="Q1226" s="206"/>
      <c r="R1226" s="206"/>
      <c r="S1226" s="206"/>
      <c r="T1226" s="206"/>
      <c r="U1226" s="206"/>
      <c r="V1226" s="206"/>
      <c r="W1226" s="206"/>
      <c r="X1226" s="206"/>
      <c r="Y1226" s="206"/>
      <c r="Z1226" s="206"/>
      <c r="AA1226" s="206"/>
      <c r="AB1226" s="206"/>
      <c r="AC1226" s="206"/>
      <c r="AD1226" s="206"/>
      <c r="AE1226" s="206"/>
      <c r="AF1226" s="206"/>
    </row>
    <row r="1227" spans="4:32" x14ac:dyDescent="0.2">
      <c r="D1227" s="206"/>
      <c r="E1227" s="206"/>
      <c r="F1227" s="206"/>
      <c r="G1227" s="206"/>
      <c r="H1227" s="207"/>
      <c r="I1227" s="207"/>
      <c r="J1227" s="207"/>
      <c r="K1227" s="207"/>
      <c r="L1227" s="207"/>
      <c r="M1227" s="207"/>
      <c r="O1227" s="206"/>
      <c r="P1227" s="206"/>
      <c r="Q1227" s="206"/>
      <c r="R1227" s="206"/>
      <c r="S1227" s="206"/>
      <c r="T1227" s="206"/>
      <c r="U1227" s="206"/>
      <c r="V1227" s="206"/>
      <c r="W1227" s="206"/>
      <c r="X1227" s="206"/>
      <c r="Y1227" s="206"/>
      <c r="Z1227" s="206"/>
      <c r="AA1227" s="206"/>
      <c r="AB1227" s="206"/>
      <c r="AC1227" s="206"/>
      <c r="AD1227" s="206"/>
      <c r="AE1227" s="206"/>
      <c r="AF1227" s="206"/>
    </row>
    <row r="1228" spans="4:32" x14ac:dyDescent="0.2">
      <c r="D1228" s="206"/>
      <c r="E1228" s="206"/>
      <c r="F1228" s="206"/>
      <c r="G1228" s="206"/>
      <c r="H1228" s="207"/>
      <c r="I1228" s="207"/>
      <c r="J1228" s="207"/>
      <c r="K1228" s="207"/>
      <c r="L1228" s="207"/>
      <c r="M1228" s="207"/>
      <c r="O1228" s="206"/>
      <c r="P1228" s="206"/>
      <c r="Q1228" s="206"/>
      <c r="R1228" s="206"/>
      <c r="S1228" s="206"/>
      <c r="T1228" s="206"/>
      <c r="U1228" s="206"/>
      <c r="V1228" s="206"/>
      <c r="W1228" s="206"/>
      <c r="X1228" s="206"/>
      <c r="Y1228" s="206"/>
      <c r="Z1228" s="206"/>
      <c r="AA1228" s="206"/>
      <c r="AB1228" s="206"/>
      <c r="AC1228" s="206"/>
      <c r="AD1228" s="206"/>
      <c r="AE1228" s="206"/>
      <c r="AF1228" s="206"/>
    </row>
    <row r="1229" spans="4:32" x14ac:dyDescent="0.2">
      <c r="D1229" s="206"/>
      <c r="E1229" s="206"/>
      <c r="F1229" s="206"/>
      <c r="G1229" s="206"/>
      <c r="H1229" s="207"/>
      <c r="I1229" s="207"/>
      <c r="J1229" s="207"/>
      <c r="K1229" s="207"/>
      <c r="L1229" s="207"/>
      <c r="M1229" s="207"/>
      <c r="O1229" s="206"/>
      <c r="P1229" s="206"/>
      <c r="Q1229" s="206"/>
      <c r="R1229" s="206"/>
      <c r="S1229" s="206"/>
      <c r="T1229" s="206"/>
      <c r="U1229" s="206"/>
      <c r="V1229" s="206"/>
      <c r="W1229" s="206"/>
      <c r="X1229" s="206"/>
      <c r="Y1229" s="206"/>
      <c r="Z1229" s="206"/>
      <c r="AA1229" s="206"/>
      <c r="AB1229" s="206"/>
      <c r="AC1229" s="206"/>
      <c r="AD1229" s="206"/>
      <c r="AE1229" s="206"/>
      <c r="AF1229" s="206"/>
    </row>
    <row r="1230" spans="4:32" x14ac:dyDescent="0.2">
      <c r="D1230" s="206"/>
      <c r="E1230" s="206"/>
      <c r="F1230" s="206"/>
      <c r="G1230" s="206"/>
      <c r="H1230" s="207"/>
      <c r="I1230" s="207"/>
      <c r="J1230" s="207"/>
      <c r="K1230" s="207"/>
      <c r="L1230" s="207"/>
      <c r="M1230" s="207"/>
      <c r="O1230" s="206"/>
      <c r="P1230" s="206"/>
      <c r="Q1230" s="206"/>
      <c r="R1230" s="206"/>
      <c r="S1230" s="206"/>
      <c r="T1230" s="206"/>
      <c r="U1230" s="206"/>
      <c r="V1230" s="206"/>
      <c r="W1230" s="206"/>
      <c r="X1230" s="206"/>
      <c r="Y1230" s="206"/>
      <c r="Z1230" s="206"/>
      <c r="AA1230" s="206"/>
      <c r="AB1230" s="206"/>
      <c r="AC1230" s="206"/>
      <c r="AD1230" s="206"/>
      <c r="AE1230" s="206"/>
      <c r="AF1230" s="206"/>
    </row>
    <row r="1231" spans="4:32" x14ac:dyDescent="0.2">
      <c r="D1231" s="206"/>
      <c r="E1231" s="206"/>
      <c r="F1231" s="206"/>
      <c r="G1231" s="206"/>
      <c r="H1231" s="207"/>
      <c r="I1231" s="207"/>
      <c r="J1231" s="207"/>
      <c r="K1231" s="207"/>
      <c r="L1231" s="207"/>
      <c r="M1231" s="207"/>
      <c r="O1231" s="206"/>
      <c r="P1231" s="206"/>
      <c r="Q1231" s="206"/>
      <c r="R1231" s="206"/>
      <c r="S1231" s="206"/>
      <c r="T1231" s="206"/>
      <c r="U1231" s="206"/>
      <c r="V1231" s="206"/>
      <c r="W1231" s="206"/>
      <c r="X1231" s="206"/>
      <c r="Y1231" s="206"/>
      <c r="Z1231" s="206"/>
      <c r="AA1231" s="206"/>
      <c r="AB1231" s="206"/>
      <c r="AC1231" s="206"/>
      <c r="AD1231" s="206"/>
      <c r="AE1231" s="206"/>
      <c r="AF1231" s="206"/>
    </row>
    <row r="1232" spans="4:32" x14ac:dyDescent="0.2">
      <c r="D1232" s="206"/>
      <c r="E1232" s="206"/>
      <c r="F1232" s="206"/>
      <c r="G1232" s="206"/>
      <c r="H1232" s="207"/>
      <c r="I1232" s="207"/>
      <c r="J1232" s="207"/>
      <c r="K1232" s="207"/>
      <c r="L1232" s="207"/>
      <c r="M1232" s="207"/>
      <c r="O1232" s="206"/>
      <c r="P1232" s="206"/>
      <c r="Q1232" s="206"/>
      <c r="R1232" s="206"/>
      <c r="S1232" s="206"/>
      <c r="T1232" s="206"/>
      <c r="U1232" s="206"/>
      <c r="V1232" s="206"/>
      <c r="W1232" s="206"/>
      <c r="X1232" s="206"/>
      <c r="Y1232" s="206"/>
      <c r="Z1232" s="206"/>
      <c r="AA1232" s="206"/>
      <c r="AB1232" s="206"/>
      <c r="AC1232" s="206"/>
      <c r="AD1232" s="206"/>
      <c r="AE1232" s="206"/>
      <c r="AF1232" s="206"/>
    </row>
    <row r="1233" spans="4:32" x14ac:dyDescent="0.2">
      <c r="D1233" s="206"/>
      <c r="E1233" s="206"/>
      <c r="F1233" s="206"/>
      <c r="G1233" s="206"/>
      <c r="H1233" s="207"/>
      <c r="I1233" s="207"/>
      <c r="J1233" s="207"/>
      <c r="K1233" s="207"/>
      <c r="L1233" s="207"/>
      <c r="M1233" s="207"/>
      <c r="O1233" s="206"/>
      <c r="P1233" s="206"/>
      <c r="Q1233" s="206"/>
      <c r="R1233" s="206"/>
      <c r="S1233" s="206"/>
      <c r="T1233" s="206"/>
      <c r="U1233" s="206"/>
      <c r="V1233" s="206"/>
      <c r="W1233" s="206"/>
      <c r="X1233" s="206"/>
      <c r="Y1233" s="206"/>
      <c r="Z1233" s="206"/>
      <c r="AA1233" s="206"/>
      <c r="AB1233" s="206"/>
      <c r="AC1233" s="206"/>
      <c r="AD1233" s="206"/>
      <c r="AE1233" s="206"/>
      <c r="AF1233" s="206"/>
    </row>
    <row r="1234" spans="4:32" x14ac:dyDescent="0.2">
      <c r="D1234" s="206"/>
      <c r="E1234" s="206"/>
      <c r="F1234" s="206"/>
      <c r="G1234" s="206"/>
      <c r="H1234" s="207"/>
      <c r="I1234" s="207"/>
      <c r="J1234" s="207"/>
      <c r="K1234" s="207"/>
      <c r="L1234" s="207"/>
      <c r="M1234" s="207"/>
      <c r="O1234" s="206"/>
      <c r="P1234" s="206"/>
      <c r="Q1234" s="206"/>
      <c r="R1234" s="206"/>
      <c r="S1234" s="206"/>
      <c r="T1234" s="206"/>
      <c r="U1234" s="206"/>
      <c r="V1234" s="206"/>
      <c r="W1234" s="206"/>
      <c r="X1234" s="206"/>
      <c r="Y1234" s="206"/>
      <c r="Z1234" s="206"/>
      <c r="AA1234" s="206"/>
      <c r="AB1234" s="206"/>
      <c r="AC1234" s="206"/>
      <c r="AD1234" s="206"/>
      <c r="AE1234" s="206"/>
      <c r="AF1234" s="206"/>
    </row>
    <row r="1235" spans="4:32" x14ac:dyDescent="0.2">
      <c r="D1235" s="206"/>
      <c r="E1235" s="206"/>
      <c r="F1235" s="206"/>
      <c r="G1235" s="206"/>
      <c r="H1235" s="207"/>
      <c r="I1235" s="207"/>
      <c r="J1235" s="207"/>
      <c r="K1235" s="207"/>
      <c r="L1235" s="207"/>
      <c r="M1235" s="207"/>
      <c r="O1235" s="206"/>
      <c r="P1235" s="206"/>
      <c r="Q1235" s="206"/>
      <c r="R1235" s="206"/>
      <c r="S1235" s="206"/>
      <c r="T1235" s="206"/>
      <c r="U1235" s="206"/>
      <c r="V1235" s="206"/>
      <c r="W1235" s="206"/>
      <c r="X1235" s="206"/>
      <c r="Y1235" s="206"/>
      <c r="Z1235" s="206"/>
      <c r="AA1235" s="206"/>
      <c r="AB1235" s="206"/>
      <c r="AC1235" s="206"/>
      <c r="AD1235" s="206"/>
      <c r="AE1235" s="206"/>
      <c r="AF1235" s="206"/>
    </row>
    <row r="1236" spans="4:32" x14ac:dyDescent="0.2">
      <c r="D1236" s="206"/>
      <c r="E1236" s="206"/>
      <c r="F1236" s="206"/>
      <c r="G1236" s="206"/>
      <c r="H1236" s="207"/>
      <c r="I1236" s="207"/>
      <c r="J1236" s="207"/>
      <c r="K1236" s="207"/>
      <c r="L1236" s="207"/>
      <c r="M1236" s="207"/>
      <c r="O1236" s="206"/>
      <c r="P1236" s="206"/>
      <c r="Q1236" s="206"/>
      <c r="R1236" s="206"/>
      <c r="S1236" s="206"/>
      <c r="T1236" s="206"/>
      <c r="U1236" s="206"/>
      <c r="V1236" s="206"/>
      <c r="W1236" s="206"/>
      <c r="X1236" s="206"/>
      <c r="Y1236" s="206"/>
      <c r="Z1236" s="206"/>
      <c r="AA1236" s="206"/>
      <c r="AB1236" s="206"/>
      <c r="AC1236" s="206"/>
      <c r="AD1236" s="206"/>
      <c r="AE1236" s="206"/>
      <c r="AF1236" s="206"/>
    </row>
    <row r="1237" spans="4:32" x14ac:dyDescent="0.2">
      <c r="D1237" s="206"/>
      <c r="E1237" s="206"/>
      <c r="F1237" s="206"/>
      <c r="G1237" s="206"/>
      <c r="H1237" s="207"/>
      <c r="I1237" s="207"/>
      <c r="J1237" s="207"/>
      <c r="K1237" s="207"/>
      <c r="L1237" s="207"/>
      <c r="M1237" s="207"/>
      <c r="O1237" s="206"/>
      <c r="P1237" s="206"/>
      <c r="Q1237" s="206"/>
      <c r="R1237" s="206"/>
      <c r="S1237" s="206"/>
      <c r="T1237" s="206"/>
      <c r="U1237" s="206"/>
      <c r="V1237" s="206"/>
      <c r="W1237" s="206"/>
      <c r="X1237" s="206"/>
      <c r="Y1237" s="206"/>
      <c r="Z1237" s="206"/>
      <c r="AA1237" s="206"/>
      <c r="AB1237" s="206"/>
      <c r="AC1237" s="206"/>
      <c r="AD1237" s="206"/>
      <c r="AE1237" s="206"/>
      <c r="AF1237" s="206"/>
    </row>
    <row r="1238" spans="4:32" x14ac:dyDescent="0.2">
      <c r="D1238" s="206"/>
      <c r="E1238" s="206"/>
      <c r="F1238" s="206"/>
      <c r="G1238" s="206"/>
      <c r="H1238" s="207"/>
      <c r="I1238" s="207"/>
      <c r="J1238" s="207"/>
      <c r="K1238" s="207"/>
      <c r="L1238" s="207"/>
      <c r="M1238" s="207"/>
      <c r="O1238" s="206"/>
      <c r="P1238" s="206"/>
      <c r="Q1238" s="206"/>
      <c r="R1238" s="206"/>
      <c r="S1238" s="206"/>
      <c r="T1238" s="206"/>
      <c r="U1238" s="206"/>
      <c r="V1238" s="206"/>
      <c r="W1238" s="206"/>
      <c r="X1238" s="206"/>
      <c r="Y1238" s="206"/>
      <c r="Z1238" s="206"/>
      <c r="AA1238" s="206"/>
      <c r="AB1238" s="206"/>
      <c r="AC1238" s="206"/>
      <c r="AD1238" s="206"/>
      <c r="AE1238" s="206"/>
      <c r="AF1238" s="206"/>
    </row>
    <row r="1239" spans="4:32" x14ac:dyDescent="0.2">
      <c r="D1239" s="206"/>
      <c r="E1239" s="206"/>
      <c r="F1239" s="206"/>
      <c r="G1239" s="206"/>
      <c r="H1239" s="207"/>
      <c r="I1239" s="207"/>
      <c r="J1239" s="207"/>
      <c r="K1239" s="207"/>
      <c r="L1239" s="207"/>
      <c r="M1239" s="207"/>
      <c r="O1239" s="206"/>
      <c r="P1239" s="206"/>
      <c r="Q1239" s="206"/>
      <c r="R1239" s="206"/>
      <c r="S1239" s="206"/>
      <c r="T1239" s="206"/>
      <c r="U1239" s="206"/>
      <c r="V1239" s="206"/>
      <c r="W1239" s="206"/>
      <c r="X1239" s="206"/>
      <c r="Y1239" s="206"/>
      <c r="Z1239" s="206"/>
      <c r="AA1239" s="206"/>
      <c r="AB1239" s="206"/>
      <c r="AC1239" s="206"/>
      <c r="AD1239" s="206"/>
      <c r="AE1239" s="206"/>
      <c r="AF1239" s="206"/>
    </row>
    <row r="1240" spans="4:32" x14ac:dyDescent="0.2">
      <c r="D1240" s="206"/>
      <c r="E1240" s="206"/>
      <c r="F1240" s="206"/>
      <c r="G1240" s="206"/>
      <c r="H1240" s="207"/>
      <c r="I1240" s="207"/>
      <c r="J1240" s="207"/>
      <c r="K1240" s="207"/>
      <c r="L1240" s="207"/>
      <c r="M1240" s="207"/>
      <c r="O1240" s="206"/>
      <c r="P1240" s="206"/>
      <c r="Q1240" s="206"/>
      <c r="R1240" s="206"/>
      <c r="S1240" s="206"/>
      <c r="T1240" s="206"/>
      <c r="U1240" s="206"/>
      <c r="V1240" s="206"/>
      <c r="W1240" s="206"/>
      <c r="X1240" s="206"/>
      <c r="Y1240" s="206"/>
      <c r="Z1240" s="206"/>
      <c r="AA1240" s="206"/>
      <c r="AB1240" s="206"/>
      <c r="AC1240" s="206"/>
      <c r="AD1240" s="206"/>
      <c r="AE1240" s="206"/>
      <c r="AF1240" s="206"/>
    </row>
    <row r="1241" spans="4:32" x14ac:dyDescent="0.2">
      <c r="D1241" s="206"/>
      <c r="E1241" s="206"/>
      <c r="F1241" s="206"/>
      <c r="G1241" s="206"/>
      <c r="H1241" s="207"/>
      <c r="I1241" s="207"/>
      <c r="J1241" s="207"/>
      <c r="K1241" s="207"/>
      <c r="L1241" s="207"/>
      <c r="M1241" s="207"/>
      <c r="O1241" s="206"/>
      <c r="P1241" s="206"/>
      <c r="Q1241" s="206"/>
      <c r="R1241" s="206"/>
      <c r="S1241" s="206"/>
      <c r="T1241" s="206"/>
      <c r="U1241" s="206"/>
      <c r="V1241" s="206"/>
      <c r="W1241" s="206"/>
      <c r="X1241" s="206"/>
      <c r="Y1241" s="206"/>
      <c r="Z1241" s="206"/>
      <c r="AA1241" s="206"/>
      <c r="AB1241" s="206"/>
      <c r="AC1241" s="206"/>
      <c r="AD1241" s="206"/>
      <c r="AE1241" s="206"/>
      <c r="AF1241" s="206"/>
    </row>
    <row r="1242" spans="4:32" x14ac:dyDescent="0.2">
      <c r="D1242" s="206"/>
      <c r="E1242" s="206"/>
      <c r="F1242" s="206"/>
      <c r="G1242" s="206"/>
      <c r="H1242" s="207"/>
      <c r="I1242" s="207"/>
      <c r="J1242" s="207"/>
      <c r="K1242" s="207"/>
      <c r="L1242" s="207"/>
      <c r="M1242" s="207"/>
      <c r="O1242" s="206"/>
      <c r="P1242" s="206"/>
      <c r="Q1242" s="206"/>
      <c r="R1242" s="206"/>
      <c r="S1242" s="206"/>
      <c r="T1242" s="206"/>
      <c r="U1242" s="206"/>
      <c r="V1242" s="206"/>
      <c r="W1242" s="206"/>
      <c r="X1242" s="206"/>
      <c r="Y1242" s="206"/>
      <c r="Z1242" s="206"/>
      <c r="AA1242" s="206"/>
      <c r="AB1242" s="206"/>
      <c r="AC1242" s="206"/>
      <c r="AD1242" s="206"/>
      <c r="AE1242" s="206"/>
      <c r="AF1242" s="206"/>
    </row>
    <row r="1243" spans="4:32" x14ac:dyDescent="0.2">
      <c r="D1243" s="206"/>
      <c r="E1243" s="206"/>
      <c r="F1243" s="206"/>
      <c r="G1243" s="206"/>
      <c r="H1243" s="207"/>
      <c r="I1243" s="207"/>
      <c r="J1243" s="207"/>
      <c r="K1243" s="207"/>
      <c r="L1243" s="207"/>
      <c r="M1243" s="207"/>
      <c r="O1243" s="206"/>
      <c r="P1243" s="206"/>
      <c r="Q1243" s="206"/>
      <c r="R1243" s="206"/>
      <c r="S1243" s="206"/>
      <c r="T1243" s="206"/>
      <c r="U1243" s="206"/>
      <c r="V1243" s="206"/>
      <c r="W1243" s="206"/>
      <c r="X1243" s="206"/>
      <c r="Y1243" s="206"/>
      <c r="Z1243" s="206"/>
      <c r="AA1243" s="206"/>
      <c r="AB1243" s="206"/>
      <c r="AC1243" s="206"/>
      <c r="AD1243" s="206"/>
      <c r="AE1243" s="206"/>
      <c r="AF1243" s="206"/>
    </row>
    <row r="1244" spans="4:32" x14ac:dyDescent="0.2">
      <c r="D1244" s="206"/>
      <c r="E1244" s="206"/>
      <c r="F1244" s="206"/>
      <c r="G1244" s="206"/>
      <c r="H1244" s="207"/>
      <c r="I1244" s="207"/>
      <c r="J1244" s="207"/>
      <c r="K1244" s="207"/>
      <c r="L1244" s="207"/>
      <c r="M1244" s="207"/>
      <c r="O1244" s="206"/>
      <c r="P1244" s="206"/>
      <c r="Q1244" s="206"/>
      <c r="R1244" s="206"/>
      <c r="S1244" s="206"/>
      <c r="T1244" s="206"/>
      <c r="U1244" s="206"/>
      <c r="V1244" s="206"/>
      <c r="W1244" s="206"/>
      <c r="X1244" s="206"/>
      <c r="Y1244" s="206"/>
      <c r="Z1244" s="206"/>
      <c r="AA1244" s="206"/>
      <c r="AB1244" s="206"/>
      <c r="AC1244" s="206"/>
      <c r="AD1244" s="206"/>
      <c r="AE1244" s="206"/>
      <c r="AF1244" s="206"/>
    </row>
    <row r="1245" spans="4:32" x14ac:dyDescent="0.2">
      <c r="D1245" s="206"/>
      <c r="E1245" s="206"/>
      <c r="F1245" s="206"/>
      <c r="G1245" s="206"/>
      <c r="H1245" s="207"/>
      <c r="I1245" s="207"/>
      <c r="J1245" s="207"/>
      <c r="K1245" s="207"/>
      <c r="L1245" s="207"/>
      <c r="M1245" s="207"/>
      <c r="O1245" s="206"/>
      <c r="P1245" s="206"/>
      <c r="Q1245" s="206"/>
      <c r="R1245" s="206"/>
      <c r="S1245" s="206"/>
      <c r="T1245" s="206"/>
      <c r="U1245" s="206"/>
      <c r="V1245" s="206"/>
      <c r="W1245" s="206"/>
      <c r="X1245" s="206"/>
      <c r="Y1245" s="206"/>
      <c r="Z1245" s="206"/>
      <c r="AA1245" s="206"/>
      <c r="AB1245" s="206"/>
      <c r="AC1245" s="206"/>
      <c r="AD1245" s="206"/>
      <c r="AE1245" s="206"/>
      <c r="AF1245" s="206"/>
    </row>
    <row r="1246" spans="4:32" x14ac:dyDescent="0.2">
      <c r="D1246" s="206"/>
      <c r="E1246" s="206"/>
      <c r="F1246" s="206"/>
      <c r="G1246" s="206"/>
      <c r="H1246" s="207"/>
      <c r="I1246" s="207"/>
      <c r="J1246" s="207"/>
      <c r="K1246" s="207"/>
      <c r="L1246" s="207"/>
      <c r="M1246" s="207"/>
      <c r="O1246" s="206"/>
      <c r="P1246" s="206"/>
      <c r="Q1246" s="206"/>
      <c r="R1246" s="206"/>
      <c r="S1246" s="206"/>
      <c r="T1246" s="206"/>
      <c r="U1246" s="206"/>
      <c r="V1246" s="206"/>
      <c r="W1246" s="206"/>
      <c r="X1246" s="206"/>
      <c r="Y1246" s="206"/>
      <c r="Z1246" s="206"/>
      <c r="AA1246" s="206"/>
      <c r="AB1246" s="206"/>
      <c r="AC1246" s="206"/>
      <c r="AD1246" s="206"/>
      <c r="AE1246" s="206"/>
      <c r="AF1246" s="206"/>
    </row>
    <row r="1247" spans="4:32" x14ac:dyDescent="0.2">
      <c r="D1247" s="206"/>
      <c r="E1247" s="206"/>
      <c r="F1247" s="206"/>
      <c r="G1247" s="206"/>
      <c r="H1247" s="207"/>
      <c r="I1247" s="207"/>
      <c r="J1247" s="207"/>
      <c r="K1247" s="207"/>
      <c r="L1247" s="207"/>
      <c r="M1247" s="207"/>
      <c r="O1247" s="206"/>
      <c r="P1247" s="206"/>
      <c r="Q1247" s="206"/>
      <c r="R1247" s="206"/>
      <c r="S1247" s="206"/>
      <c r="T1247" s="206"/>
      <c r="U1247" s="206"/>
      <c r="V1247" s="206"/>
      <c r="W1247" s="206"/>
      <c r="X1247" s="206"/>
      <c r="Y1247" s="206"/>
      <c r="Z1247" s="206"/>
      <c r="AA1247" s="206"/>
      <c r="AB1247" s="206"/>
      <c r="AC1247" s="206"/>
      <c r="AD1247" s="206"/>
      <c r="AE1247" s="206"/>
      <c r="AF1247" s="206"/>
    </row>
    <row r="1248" spans="4:32" x14ac:dyDescent="0.2">
      <c r="D1248" s="206"/>
      <c r="E1248" s="206"/>
      <c r="F1248" s="206"/>
      <c r="G1248" s="206"/>
      <c r="H1248" s="207"/>
      <c r="I1248" s="207"/>
      <c r="J1248" s="207"/>
      <c r="K1248" s="207"/>
      <c r="L1248" s="207"/>
      <c r="M1248" s="207"/>
      <c r="O1248" s="206"/>
      <c r="P1248" s="206"/>
      <c r="Q1248" s="206"/>
      <c r="R1248" s="206"/>
      <c r="S1248" s="206"/>
      <c r="T1248" s="206"/>
      <c r="U1248" s="206"/>
      <c r="V1248" s="206"/>
      <c r="W1248" s="206"/>
      <c r="X1248" s="206"/>
      <c r="Y1248" s="206"/>
      <c r="Z1248" s="206"/>
      <c r="AA1248" s="206"/>
      <c r="AB1248" s="206"/>
      <c r="AC1248" s="206"/>
      <c r="AD1248" s="206"/>
      <c r="AE1248" s="206"/>
      <c r="AF1248" s="206"/>
    </row>
    <row r="1249" spans="4:32" x14ac:dyDescent="0.2">
      <c r="D1249" s="206"/>
      <c r="E1249" s="206"/>
      <c r="F1249" s="206"/>
      <c r="G1249" s="206"/>
      <c r="H1249" s="207"/>
      <c r="I1249" s="207"/>
      <c r="J1249" s="207"/>
      <c r="K1249" s="207"/>
      <c r="L1249" s="207"/>
      <c r="M1249" s="207"/>
      <c r="O1249" s="206"/>
      <c r="P1249" s="206"/>
      <c r="Q1249" s="206"/>
      <c r="R1249" s="206"/>
      <c r="S1249" s="206"/>
      <c r="T1249" s="206"/>
      <c r="U1249" s="206"/>
      <c r="V1249" s="206"/>
      <c r="W1249" s="206"/>
      <c r="X1249" s="206"/>
      <c r="Y1249" s="206"/>
      <c r="Z1249" s="206"/>
      <c r="AA1249" s="206"/>
      <c r="AB1249" s="206"/>
      <c r="AC1249" s="206"/>
      <c r="AD1249" s="206"/>
      <c r="AE1249" s="206"/>
      <c r="AF1249" s="206"/>
    </row>
    <row r="1250" spans="4:32" x14ac:dyDescent="0.2">
      <c r="D1250" s="206"/>
      <c r="E1250" s="206"/>
      <c r="F1250" s="206"/>
      <c r="G1250" s="206"/>
      <c r="H1250" s="207"/>
      <c r="I1250" s="207"/>
      <c r="J1250" s="207"/>
      <c r="K1250" s="207"/>
      <c r="L1250" s="207"/>
      <c r="M1250" s="207"/>
      <c r="O1250" s="206"/>
      <c r="P1250" s="206"/>
      <c r="Q1250" s="206"/>
      <c r="R1250" s="206"/>
      <c r="S1250" s="206"/>
      <c r="T1250" s="206"/>
      <c r="U1250" s="206"/>
      <c r="V1250" s="206"/>
      <c r="W1250" s="206"/>
      <c r="X1250" s="206"/>
      <c r="Y1250" s="206"/>
      <c r="Z1250" s="206"/>
      <c r="AA1250" s="206"/>
      <c r="AB1250" s="206"/>
      <c r="AC1250" s="206"/>
      <c r="AD1250" s="206"/>
      <c r="AE1250" s="206"/>
      <c r="AF1250" s="206"/>
    </row>
    <row r="1251" spans="4:32" x14ac:dyDescent="0.2">
      <c r="D1251" s="206"/>
      <c r="E1251" s="206"/>
      <c r="F1251" s="206"/>
      <c r="G1251" s="206"/>
      <c r="H1251" s="207"/>
      <c r="I1251" s="207"/>
      <c r="J1251" s="207"/>
      <c r="K1251" s="207"/>
      <c r="L1251" s="207"/>
      <c r="M1251" s="207"/>
      <c r="O1251" s="206"/>
      <c r="P1251" s="206"/>
      <c r="Q1251" s="206"/>
      <c r="R1251" s="206"/>
      <c r="S1251" s="206"/>
      <c r="T1251" s="206"/>
      <c r="U1251" s="206"/>
      <c r="V1251" s="206"/>
      <c r="W1251" s="206"/>
      <c r="X1251" s="206"/>
      <c r="Y1251" s="206"/>
      <c r="Z1251" s="206"/>
      <c r="AA1251" s="206"/>
      <c r="AB1251" s="206"/>
      <c r="AC1251" s="206"/>
      <c r="AD1251" s="206"/>
      <c r="AE1251" s="206"/>
      <c r="AF1251" s="206"/>
    </row>
    <row r="1252" spans="4:32" x14ac:dyDescent="0.2">
      <c r="D1252" s="206"/>
      <c r="E1252" s="206"/>
      <c r="F1252" s="206"/>
      <c r="G1252" s="206"/>
      <c r="H1252" s="207"/>
      <c r="I1252" s="207"/>
      <c r="J1252" s="207"/>
      <c r="K1252" s="207"/>
      <c r="L1252" s="207"/>
      <c r="M1252" s="207"/>
      <c r="O1252" s="206"/>
      <c r="P1252" s="206"/>
      <c r="Q1252" s="206"/>
      <c r="R1252" s="206"/>
      <c r="S1252" s="206"/>
      <c r="T1252" s="206"/>
      <c r="U1252" s="206"/>
      <c r="V1252" s="206"/>
      <c r="W1252" s="206"/>
      <c r="X1252" s="206"/>
      <c r="Y1252" s="206"/>
      <c r="Z1252" s="206"/>
      <c r="AA1252" s="206"/>
      <c r="AB1252" s="206"/>
      <c r="AC1252" s="206"/>
      <c r="AD1252" s="206"/>
      <c r="AE1252" s="206"/>
      <c r="AF1252" s="206"/>
    </row>
    <row r="1253" spans="4:32" x14ac:dyDescent="0.2">
      <c r="D1253" s="206"/>
      <c r="E1253" s="206"/>
      <c r="F1253" s="206"/>
      <c r="G1253" s="206"/>
      <c r="H1253" s="207"/>
      <c r="I1253" s="207"/>
      <c r="J1253" s="207"/>
      <c r="K1253" s="207"/>
      <c r="L1253" s="207"/>
      <c r="M1253" s="207"/>
      <c r="O1253" s="206"/>
      <c r="P1253" s="206"/>
      <c r="Q1253" s="206"/>
      <c r="R1253" s="206"/>
      <c r="S1253" s="206"/>
      <c r="T1253" s="206"/>
      <c r="U1253" s="206"/>
      <c r="V1253" s="206"/>
      <c r="W1253" s="206"/>
      <c r="X1253" s="206"/>
      <c r="Y1253" s="206"/>
      <c r="Z1253" s="206"/>
      <c r="AA1253" s="206"/>
      <c r="AB1253" s="206"/>
      <c r="AC1253" s="206"/>
      <c r="AD1253" s="206"/>
      <c r="AE1253" s="206"/>
      <c r="AF1253" s="206"/>
    </row>
    <row r="1254" spans="4:32" x14ac:dyDescent="0.2">
      <c r="D1254" s="206"/>
      <c r="E1254" s="206"/>
      <c r="F1254" s="206"/>
      <c r="G1254" s="206"/>
      <c r="H1254" s="207"/>
      <c r="I1254" s="207"/>
      <c r="J1254" s="207"/>
      <c r="K1254" s="207"/>
      <c r="L1254" s="207"/>
      <c r="M1254" s="207"/>
      <c r="O1254" s="206"/>
      <c r="P1254" s="206"/>
      <c r="Q1254" s="206"/>
      <c r="R1254" s="206"/>
      <c r="S1254" s="206"/>
      <c r="T1254" s="206"/>
      <c r="U1254" s="206"/>
      <c r="V1254" s="206"/>
      <c r="W1254" s="206"/>
      <c r="X1254" s="206"/>
      <c r="Y1254" s="206"/>
      <c r="Z1254" s="206"/>
      <c r="AA1254" s="206"/>
      <c r="AB1254" s="206"/>
      <c r="AC1254" s="206"/>
      <c r="AD1254" s="206"/>
      <c r="AE1254" s="206"/>
      <c r="AF1254" s="206"/>
    </row>
    <row r="1255" spans="4:32" x14ac:dyDescent="0.2">
      <c r="D1255" s="206"/>
      <c r="E1255" s="206"/>
      <c r="F1255" s="206"/>
      <c r="G1255" s="206"/>
      <c r="H1255" s="207"/>
      <c r="I1255" s="207"/>
      <c r="J1255" s="207"/>
      <c r="K1255" s="207"/>
      <c r="L1255" s="207"/>
      <c r="M1255" s="207"/>
      <c r="O1255" s="206"/>
      <c r="P1255" s="206"/>
      <c r="Q1255" s="206"/>
      <c r="R1255" s="206"/>
      <c r="S1255" s="206"/>
      <c r="T1255" s="206"/>
      <c r="U1255" s="206"/>
      <c r="V1255" s="206"/>
      <c r="W1255" s="206"/>
      <c r="X1255" s="206"/>
      <c r="Y1255" s="206"/>
      <c r="Z1255" s="206"/>
      <c r="AA1255" s="206"/>
      <c r="AB1255" s="206"/>
      <c r="AC1255" s="206"/>
      <c r="AD1255" s="206"/>
      <c r="AE1255" s="206"/>
      <c r="AF1255" s="206"/>
    </row>
    <row r="1256" spans="4:32" x14ac:dyDescent="0.2">
      <c r="D1256" s="206"/>
      <c r="E1256" s="206"/>
      <c r="F1256" s="206"/>
      <c r="G1256" s="206"/>
      <c r="H1256" s="207"/>
      <c r="I1256" s="207"/>
      <c r="J1256" s="207"/>
      <c r="K1256" s="207"/>
      <c r="L1256" s="207"/>
      <c r="M1256" s="207"/>
      <c r="O1256" s="206"/>
      <c r="P1256" s="206"/>
      <c r="Q1256" s="206"/>
      <c r="R1256" s="206"/>
      <c r="S1256" s="206"/>
      <c r="T1256" s="206"/>
      <c r="U1256" s="206"/>
      <c r="V1256" s="206"/>
      <c r="W1256" s="206"/>
      <c r="X1256" s="206"/>
      <c r="Y1256" s="206"/>
      <c r="Z1256" s="206"/>
      <c r="AA1256" s="206"/>
      <c r="AB1256" s="206"/>
      <c r="AC1256" s="206"/>
      <c r="AD1256" s="206"/>
      <c r="AE1256" s="206"/>
      <c r="AF1256" s="206"/>
    </row>
    <row r="1257" spans="4:32" x14ac:dyDescent="0.2">
      <c r="D1257" s="206"/>
      <c r="E1257" s="206"/>
      <c r="F1257" s="206"/>
      <c r="G1257" s="206"/>
      <c r="H1257" s="207"/>
      <c r="I1257" s="207"/>
      <c r="J1257" s="207"/>
      <c r="K1257" s="207"/>
      <c r="L1257" s="207"/>
      <c r="M1257" s="207"/>
      <c r="O1257" s="206"/>
      <c r="P1257" s="206"/>
      <c r="Q1257" s="206"/>
      <c r="R1257" s="206"/>
      <c r="S1257" s="206"/>
      <c r="T1257" s="206"/>
      <c r="U1257" s="206"/>
      <c r="V1257" s="206"/>
      <c r="W1257" s="206"/>
      <c r="X1257" s="206"/>
      <c r="Y1257" s="206"/>
      <c r="Z1257" s="206"/>
      <c r="AA1257" s="206"/>
      <c r="AB1257" s="206"/>
      <c r="AC1257" s="206"/>
      <c r="AD1257" s="206"/>
      <c r="AE1257" s="206"/>
      <c r="AF1257" s="206"/>
    </row>
    <row r="1258" spans="4:32" x14ac:dyDescent="0.2">
      <c r="D1258" s="206"/>
      <c r="E1258" s="206"/>
      <c r="F1258" s="206"/>
      <c r="G1258" s="206"/>
      <c r="H1258" s="207"/>
      <c r="I1258" s="207"/>
      <c r="J1258" s="207"/>
      <c r="K1258" s="207"/>
      <c r="L1258" s="207"/>
      <c r="M1258" s="207"/>
      <c r="O1258" s="206"/>
      <c r="P1258" s="206"/>
      <c r="Q1258" s="206"/>
      <c r="R1258" s="206"/>
      <c r="S1258" s="206"/>
      <c r="T1258" s="206"/>
      <c r="U1258" s="206"/>
      <c r="V1258" s="206"/>
      <c r="W1258" s="206"/>
      <c r="X1258" s="206"/>
      <c r="Y1258" s="206"/>
      <c r="Z1258" s="206"/>
      <c r="AA1258" s="206"/>
      <c r="AB1258" s="206"/>
      <c r="AC1258" s="206"/>
      <c r="AD1258" s="206"/>
      <c r="AE1258" s="206"/>
      <c r="AF1258" s="206"/>
    </row>
    <row r="1259" spans="4:32" x14ac:dyDescent="0.2">
      <c r="D1259" s="206"/>
      <c r="E1259" s="206"/>
      <c r="F1259" s="206"/>
      <c r="G1259" s="206"/>
      <c r="H1259" s="207"/>
      <c r="I1259" s="207"/>
      <c r="J1259" s="207"/>
      <c r="K1259" s="207"/>
      <c r="L1259" s="207"/>
      <c r="M1259" s="207"/>
      <c r="O1259" s="206"/>
      <c r="P1259" s="206"/>
      <c r="Q1259" s="206"/>
      <c r="R1259" s="206"/>
      <c r="S1259" s="206"/>
      <c r="T1259" s="206"/>
      <c r="U1259" s="206"/>
      <c r="V1259" s="206"/>
      <c r="W1259" s="206"/>
      <c r="X1259" s="206"/>
      <c r="Y1259" s="206"/>
      <c r="Z1259" s="206"/>
      <c r="AA1259" s="206"/>
      <c r="AB1259" s="206"/>
      <c r="AC1259" s="206"/>
      <c r="AD1259" s="206"/>
      <c r="AE1259" s="206"/>
      <c r="AF1259" s="206"/>
    </row>
    <row r="1260" spans="4:32" x14ac:dyDescent="0.2">
      <c r="D1260" s="206"/>
      <c r="E1260" s="206"/>
      <c r="F1260" s="206"/>
      <c r="G1260" s="206"/>
      <c r="H1260" s="207"/>
      <c r="I1260" s="207"/>
      <c r="J1260" s="207"/>
      <c r="K1260" s="207"/>
      <c r="L1260" s="207"/>
      <c r="M1260" s="207"/>
      <c r="O1260" s="206"/>
      <c r="P1260" s="206"/>
      <c r="Q1260" s="206"/>
      <c r="R1260" s="206"/>
      <c r="S1260" s="206"/>
      <c r="T1260" s="206"/>
      <c r="U1260" s="206"/>
      <c r="V1260" s="206"/>
      <c r="W1260" s="206"/>
      <c r="X1260" s="206"/>
      <c r="Y1260" s="206"/>
      <c r="Z1260" s="206"/>
      <c r="AA1260" s="206"/>
      <c r="AB1260" s="206"/>
      <c r="AC1260" s="206"/>
      <c r="AD1260" s="206"/>
      <c r="AE1260" s="206"/>
      <c r="AF1260" s="206"/>
    </row>
    <row r="1261" spans="4:32" x14ac:dyDescent="0.2">
      <c r="D1261" s="206"/>
      <c r="E1261" s="206"/>
      <c r="F1261" s="206"/>
      <c r="G1261" s="206"/>
      <c r="H1261" s="207"/>
      <c r="I1261" s="207"/>
      <c r="J1261" s="207"/>
      <c r="K1261" s="207"/>
      <c r="L1261" s="207"/>
      <c r="M1261" s="207"/>
      <c r="O1261" s="206"/>
      <c r="P1261" s="206"/>
      <c r="Q1261" s="206"/>
      <c r="R1261" s="206"/>
      <c r="S1261" s="206"/>
      <c r="T1261" s="206"/>
      <c r="U1261" s="206"/>
      <c r="V1261" s="206"/>
      <c r="W1261" s="206"/>
      <c r="X1261" s="206"/>
      <c r="Y1261" s="206"/>
      <c r="Z1261" s="206"/>
      <c r="AA1261" s="206"/>
      <c r="AB1261" s="206"/>
      <c r="AC1261" s="206"/>
      <c r="AD1261" s="206"/>
      <c r="AE1261" s="206"/>
      <c r="AF1261" s="206"/>
    </row>
    <row r="1262" spans="4:32" x14ac:dyDescent="0.2">
      <c r="D1262" s="206"/>
      <c r="E1262" s="206"/>
      <c r="F1262" s="206"/>
      <c r="G1262" s="206"/>
      <c r="H1262" s="207"/>
      <c r="I1262" s="207"/>
      <c r="J1262" s="207"/>
      <c r="K1262" s="207"/>
      <c r="L1262" s="207"/>
      <c r="M1262" s="207"/>
      <c r="O1262" s="206"/>
      <c r="P1262" s="206"/>
      <c r="Q1262" s="206"/>
      <c r="R1262" s="206"/>
      <c r="S1262" s="206"/>
      <c r="T1262" s="206"/>
      <c r="U1262" s="206"/>
      <c r="V1262" s="206"/>
      <c r="W1262" s="206"/>
      <c r="X1262" s="206"/>
      <c r="Y1262" s="206"/>
      <c r="Z1262" s="206"/>
      <c r="AA1262" s="206"/>
      <c r="AB1262" s="206"/>
      <c r="AC1262" s="206"/>
      <c r="AD1262" s="206"/>
      <c r="AE1262" s="206"/>
      <c r="AF1262" s="206"/>
    </row>
    <row r="1263" spans="4:32" x14ac:dyDescent="0.2">
      <c r="D1263" s="206"/>
      <c r="E1263" s="206"/>
      <c r="F1263" s="206"/>
      <c r="G1263" s="206"/>
      <c r="H1263" s="207"/>
      <c r="I1263" s="207"/>
      <c r="J1263" s="207"/>
      <c r="K1263" s="207"/>
      <c r="L1263" s="207"/>
      <c r="M1263" s="207"/>
      <c r="O1263" s="206"/>
      <c r="P1263" s="206"/>
      <c r="Q1263" s="206"/>
      <c r="R1263" s="206"/>
      <c r="S1263" s="206"/>
      <c r="T1263" s="206"/>
      <c r="U1263" s="206"/>
      <c r="V1263" s="206"/>
      <c r="W1263" s="206"/>
      <c r="X1263" s="206"/>
      <c r="Y1263" s="206"/>
      <c r="Z1263" s="206"/>
      <c r="AA1263" s="206"/>
      <c r="AB1263" s="206"/>
      <c r="AC1263" s="206"/>
      <c r="AD1263" s="206"/>
      <c r="AE1263" s="206"/>
      <c r="AF1263" s="206"/>
    </row>
    <row r="1264" spans="4:32" x14ac:dyDescent="0.2">
      <c r="D1264" s="206"/>
      <c r="E1264" s="206"/>
      <c r="F1264" s="206"/>
      <c r="G1264" s="206"/>
      <c r="H1264" s="207"/>
      <c r="I1264" s="207"/>
      <c r="J1264" s="207"/>
      <c r="K1264" s="207"/>
      <c r="L1264" s="207"/>
      <c r="M1264" s="207"/>
      <c r="O1264" s="206"/>
      <c r="P1264" s="206"/>
      <c r="Q1264" s="206"/>
      <c r="R1264" s="206"/>
      <c r="S1264" s="206"/>
      <c r="T1264" s="206"/>
      <c r="U1264" s="206"/>
      <c r="V1264" s="206"/>
      <c r="W1264" s="206"/>
      <c r="X1264" s="206"/>
      <c r="Y1264" s="206"/>
      <c r="Z1264" s="206"/>
      <c r="AA1264" s="206"/>
      <c r="AB1264" s="206"/>
      <c r="AC1264" s="206"/>
      <c r="AD1264" s="206"/>
      <c r="AE1264" s="206"/>
      <c r="AF1264" s="206"/>
    </row>
    <row r="1265" spans="4:32" x14ac:dyDescent="0.2">
      <c r="D1265" s="206"/>
      <c r="E1265" s="206"/>
      <c r="F1265" s="206"/>
      <c r="G1265" s="206"/>
      <c r="H1265" s="207"/>
      <c r="I1265" s="207"/>
      <c r="J1265" s="207"/>
      <c r="K1265" s="207"/>
      <c r="L1265" s="207"/>
      <c r="M1265" s="207"/>
      <c r="O1265" s="206"/>
      <c r="P1265" s="206"/>
      <c r="Q1265" s="206"/>
      <c r="R1265" s="206"/>
      <c r="S1265" s="206"/>
      <c r="T1265" s="206"/>
      <c r="U1265" s="206"/>
      <c r="V1265" s="206"/>
      <c r="W1265" s="206"/>
      <c r="X1265" s="206"/>
      <c r="Y1265" s="206"/>
      <c r="Z1265" s="206"/>
      <c r="AA1265" s="206"/>
      <c r="AB1265" s="206"/>
      <c r="AC1265" s="206"/>
      <c r="AD1265" s="206"/>
      <c r="AE1265" s="206"/>
      <c r="AF1265" s="206"/>
    </row>
    <row r="1266" spans="4:32" x14ac:dyDescent="0.2">
      <c r="D1266" s="206"/>
      <c r="E1266" s="206"/>
      <c r="F1266" s="206"/>
      <c r="G1266" s="206"/>
      <c r="H1266" s="207"/>
      <c r="I1266" s="207"/>
      <c r="J1266" s="207"/>
      <c r="K1266" s="207"/>
      <c r="L1266" s="207"/>
      <c r="M1266" s="207"/>
      <c r="O1266" s="206"/>
      <c r="P1266" s="206"/>
      <c r="Q1266" s="206"/>
      <c r="R1266" s="206"/>
      <c r="S1266" s="206"/>
      <c r="T1266" s="206"/>
      <c r="U1266" s="206"/>
      <c r="V1266" s="206"/>
      <c r="W1266" s="206"/>
      <c r="X1266" s="206"/>
      <c r="Y1266" s="206"/>
      <c r="Z1266" s="206"/>
      <c r="AA1266" s="206"/>
      <c r="AB1266" s="206"/>
      <c r="AC1266" s="206"/>
      <c r="AD1266" s="206"/>
      <c r="AE1266" s="206"/>
      <c r="AF1266" s="206"/>
    </row>
    <row r="1267" spans="4:32" x14ac:dyDescent="0.2">
      <c r="D1267" s="206"/>
      <c r="E1267" s="206"/>
      <c r="F1267" s="206"/>
      <c r="G1267" s="206"/>
      <c r="H1267" s="207"/>
      <c r="I1267" s="207"/>
      <c r="J1267" s="207"/>
      <c r="K1267" s="207"/>
      <c r="L1267" s="207"/>
      <c r="M1267" s="207"/>
      <c r="O1267" s="206"/>
      <c r="P1267" s="206"/>
      <c r="Q1267" s="206"/>
      <c r="R1267" s="206"/>
      <c r="S1267" s="206"/>
      <c r="T1267" s="206"/>
      <c r="U1267" s="206"/>
      <c r="V1267" s="206"/>
      <c r="W1267" s="206"/>
      <c r="X1267" s="206"/>
      <c r="Y1267" s="206"/>
      <c r="Z1267" s="206"/>
      <c r="AA1267" s="206"/>
      <c r="AB1267" s="206"/>
      <c r="AC1267" s="206"/>
      <c r="AD1267" s="206"/>
      <c r="AE1267" s="206"/>
      <c r="AF1267" s="206"/>
    </row>
    <row r="1268" spans="4:32" x14ac:dyDescent="0.2">
      <c r="D1268" s="206"/>
      <c r="E1268" s="206"/>
      <c r="F1268" s="206"/>
      <c r="G1268" s="206"/>
      <c r="H1268" s="207"/>
      <c r="I1268" s="207"/>
      <c r="J1268" s="207"/>
      <c r="K1268" s="207"/>
      <c r="L1268" s="207"/>
      <c r="M1268" s="207"/>
      <c r="O1268" s="206"/>
      <c r="P1268" s="206"/>
      <c r="Q1268" s="206"/>
      <c r="R1268" s="206"/>
      <c r="S1268" s="206"/>
      <c r="T1268" s="206"/>
      <c r="U1268" s="206"/>
      <c r="V1268" s="206"/>
      <c r="W1268" s="206"/>
      <c r="X1268" s="206"/>
      <c r="Y1268" s="206"/>
      <c r="Z1268" s="206"/>
      <c r="AA1268" s="206"/>
      <c r="AB1268" s="206"/>
      <c r="AC1268" s="206"/>
      <c r="AD1268" s="206"/>
      <c r="AE1268" s="206"/>
      <c r="AF1268" s="206"/>
    </row>
    <row r="1269" spans="4:32" x14ac:dyDescent="0.2">
      <c r="D1269" s="206"/>
      <c r="E1269" s="206"/>
      <c r="F1269" s="206"/>
      <c r="G1269" s="206"/>
      <c r="H1269" s="207"/>
      <c r="I1269" s="207"/>
      <c r="J1269" s="207"/>
      <c r="K1269" s="207"/>
      <c r="L1269" s="207"/>
      <c r="M1269" s="207"/>
      <c r="O1269" s="206"/>
      <c r="P1269" s="206"/>
      <c r="Q1269" s="206"/>
      <c r="R1269" s="206"/>
      <c r="S1269" s="206"/>
      <c r="T1269" s="206"/>
      <c r="U1269" s="206"/>
      <c r="V1269" s="206"/>
      <c r="W1269" s="206"/>
      <c r="X1269" s="206"/>
      <c r="Y1269" s="206"/>
      <c r="Z1269" s="206"/>
      <c r="AA1269" s="206"/>
      <c r="AB1269" s="206"/>
      <c r="AC1269" s="206"/>
      <c r="AD1269" s="206"/>
      <c r="AE1269" s="206"/>
      <c r="AF1269" s="206"/>
    </row>
    <row r="1270" spans="4:32" x14ac:dyDescent="0.2">
      <c r="D1270" s="206"/>
      <c r="E1270" s="206"/>
      <c r="F1270" s="206"/>
      <c r="G1270" s="206"/>
      <c r="H1270" s="207"/>
      <c r="I1270" s="207"/>
      <c r="J1270" s="207"/>
      <c r="K1270" s="207"/>
      <c r="L1270" s="207"/>
      <c r="M1270" s="207"/>
      <c r="O1270" s="206"/>
      <c r="P1270" s="206"/>
      <c r="Q1270" s="206"/>
      <c r="R1270" s="206"/>
      <c r="S1270" s="206"/>
      <c r="T1270" s="206"/>
      <c r="U1270" s="206"/>
      <c r="V1270" s="206"/>
      <c r="W1270" s="206"/>
      <c r="X1270" s="206"/>
      <c r="Y1270" s="206"/>
      <c r="Z1270" s="206"/>
      <c r="AA1270" s="206"/>
      <c r="AB1270" s="206"/>
      <c r="AC1270" s="206"/>
      <c r="AD1270" s="206"/>
      <c r="AE1270" s="206"/>
      <c r="AF1270" s="206"/>
    </row>
    <row r="1271" spans="4:32" x14ac:dyDescent="0.2">
      <c r="D1271" s="206"/>
      <c r="E1271" s="206"/>
      <c r="F1271" s="206"/>
      <c r="G1271" s="206"/>
      <c r="H1271" s="207"/>
      <c r="I1271" s="207"/>
      <c r="J1271" s="207"/>
      <c r="K1271" s="207"/>
      <c r="L1271" s="207"/>
      <c r="M1271" s="207"/>
      <c r="O1271" s="206"/>
      <c r="P1271" s="206"/>
      <c r="Q1271" s="206"/>
      <c r="R1271" s="206"/>
      <c r="S1271" s="206"/>
      <c r="T1271" s="206"/>
      <c r="U1271" s="206"/>
      <c r="V1271" s="206"/>
      <c r="W1271" s="206"/>
      <c r="X1271" s="206"/>
      <c r="Y1271" s="206"/>
      <c r="Z1271" s="206"/>
      <c r="AA1271" s="206"/>
      <c r="AB1271" s="206"/>
      <c r="AC1271" s="206"/>
      <c r="AD1271" s="206"/>
      <c r="AE1271" s="206"/>
      <c r="AF1271" s="206"/>
    </row>
    <row r="1272" spans="4:32" x14ac:dyDescent="0.2">
      <c r="D1272" s="206"/>
      <c r="E1272" s="206"/>
      <c r="F1272" s="206"/>
      <c r="G1272" s="206"/>
      <c r="H1272" s="207"/>
      <c r="I1272" s="207"/>
      <c r="J1272" s="207"/>
      <c r="K1272" s="207"/>
      <c r="L1272" s="207"/>
      <c r="M1272" s="207"/>
      <c r="O1272" s="206"/>
      <c r="P1272" s="206"/>
      <c r="Q1272" s="206"/>
      <c r="R1272" s="206"/>
      <c r="S1272" s="206"/>
      <c r="T1272" s="206"/>
      <c r="U1272" s="206"/>
      <c r="V1272" s="206"/>
      <c r="W1272" s="206"/>
      <c r="X1272" s="206"/>
      <c r="Y1272" s="206"/>
      <c r="Z1272" s="206"/>
      <c r="AA1272" s="206"/>
      <c r="AB1272" s="206"/>
      <c r="AC1272" s="206"/>
      <c r="AD1272" s="206"/>
      <c r="AE1272" s="206"/>
      <c r="AF1272" s="206"/>
    </row>
    <row r="1273" spans="4:32" x14ac:dyDescent="0.2">
      <c r="D1273" s="206"/>
      <c r="E1273" s="206"/>
      <c r="F1273" s="206"/>
      <c r="G1273" s="206"/>
      <c r="H1273" s="207"/>
      <c r="I1273" s="207"/>
      <c r="J1273" s="207"/>
      <c r="K1273" s="207"/>
      <c r="L1273" s="207"/>
      <c r="M1273" s="207"/>
      <c r="O1273" s="206"/>
      <c r="P1273" s="206"/>
      <c r="Q1273" s="206"/>
      <c r="R1273" s="206"/>
      <c r="S1273" s="206"/>
      <c r="T1273" s="206"/>
      <c r="U1273" s="206"/>
      <c r="V1273" s="206"/>
      <c r="W1273" s="206"/>
      <c r="X1273" s="206"/>
      <c r="Y1273" s="206"/>
      <c r="Z1273" s="206"/>
      <c r="AA1273" s="206"/>
      <c r="AB1273" s="206"/>
      <c r="AC1273" s="206"/>
      <c r="AD1273" s="206"/>
      <c r="AE1273" s="206"/>
      <c r="AF1273" s="206"/>
    </row>
    <row r="1274" spans="4:32" x14ac:dyDescent="0.2">
      <c r="D1274" s="206"/>
      <c r="E1274" s="206"/>
      <c r="F1274" s="206"/>
      <c r="G1274" s="206"/>
      <c r="H1274" s="207"/>
      <c r="I1274" s="207"/>
      <c r="J1274" s="207"/>
      <c r="K1274" s="207"/>
      <c r="L1274" s="207"/>
      <c r="M1274" s="207"/>
      <c r="O1274" s="206"/>
      <c r="P1274" s="206"/>
      <c r="Q1274" s="206"/>
      <c r="R1274" s="206"/>
      <c r="S1274" s="206"/>
      <c r="T1274" s="206"/>
      <c r="U1274" s="206"/>
      <c r="V1274" s="206"/>
      <c r="W1274" s="206"/>
      <c r="X1274" s="206"/>
      <c r="Y1274" s="206"/>
      <c r="Z1274" s="206"/>
      <c r="AA1274" s="206"/>
      <c r="AB1274" s="206"/>
      <c r="AC1274" s="206"/>
      <c r="AD1274" s="206"/>
      <c r="AE1274" s="206"/>
      <c r="AF1274" s="206"/>
    </row>
    <row r="1275" spans="4:32" x14ac:dyDescent="0.2">
      <c r="D1275" s="206"/>
      <c r="E1275" s="206"/>
      <c r="F1275" s="206"/>
      <c r="G1275" s="206"/>
      <c r="H1275" s="207"/>
      <c r="I1275" s="207"/>
      <c r="J1275" s="207"/>
      <c r="K1275" s="207"/>
      <c r="L1275" s="207"/>
      <c r="M1275" s="207"/>
      <c r="O1275" s="206"/>
      <c r="P1275" s="206"/>
      <c r="Q1275" s="206"/>
      <c r="R1275" s="206"/>
      <c r="S1275" s="206"/>
      <c r="T1275" s="206"/>
      <c r="U1275" s="206"/>
      <c r="V1275" s="206"/>
      <c r="W1275" s="206"/>
      <c r="X1275" s="206"/>
      <c r="Y1275" s="206"/>
      <c r="Z1275" s="206"/>
      <c r="AA1275" s="206"/>
      <c r="AB1275" s="206"/>
      <c r="AC1275" s="206"/>
      <c r="AD1275" s="206"/>
      <c r="AE1275" s="206"/>
      <c r="AF1275" s="206"/>
    </row>
    <row r="1276" spans="4:32" x14ac:dyDescent="0.2">
      <c r="D1276" s="206"/>
      <c r="E1276" s="206"/>
      <c r="F1276" s="206"/>
      <c r="G1276" s="206"/>
      <c r="H1276" s="207"/>
      <c r="I1276" s="207"/>
      <c r="J1276" s="207"/>
      <c r="K1276" s="207"/>
      <c r="L1276" s="207"/>
      <c r="M1276" s="207"/>
      <c r="O1276" s="206"/>
      <c r="P1276" s="206"/>
      <c r="Q1276" s="206"/>
      <c r="R1276" s="206"/>
      <c r="S1276" s="206"/>
      <c r="T1276" s="206"/>
      <c r="U1276" s="206"/>
      <c r="V1276" s="206"/>
      <c r="W1276" s="206"/>
      <c r="X1276" s="206"/>
      <c r="Y1276" s="206"/>
      <c r="Z1276" s="206"/>
      <c r="AA1276" s="206"/>
      <c r="AB1276" s="206"/>
      <c r="AC1276" s="206"/>
      <c r="AD1276" s="206"/>
      <c r="AE1276" s="206"/>
      <c r="AF1276" s="206"/>
    </row>
    <row r="1277" spans="4:32" x14ac:dyDescent="0.2">
      <c r="D1277" s="206"/>
      <c r="E1277" s="206"/>
      <c r="F1277" s="206"/>
      <c r="G1277" s="206"/>
      <c r="H1277" s="207"/>
      <c r="I1277" s="207"/>
      <c r="J1277" s="207"/>
      <c r="K1277" s="207"/>
      <c r="L1277" s="207"/>
      <c r="M1277" s="207"/>
      <c r="O1277" s="206"/>
      <c r="P1277" s="206"/>
      <c r="Q1277" s="206"/>
      <c r="R1277" s="206"/>
      <c r="S1277" s="206"/>
      <c r="T1277" s="206"/>
      <c r="U1277" s="206"/>
      <c r="V1277" s="206"/>
      <c r="W1277" s="206"/>
      <c r="X1277" s="206"/>
      <c r="Y1277" s="206"/>
      <c r="Z1277" s="206"/>
      <c r="AA1277" s="206"/>
      <c r="AB1277" s="206"/>
      <c r="AC1277" s="206"/>
      <c r="AD1277" s="206"/>
      <c r="AE1277" s="206"/>
      <c r="AF1277" s="206"/>
    </row>
    <row r="1278" spans="4:32" x14ac:dyDescent="0.2">
      <c r="D1278" s="206"/>
      <c r="E1278" s="206"/>
      <c r="F1278" s="206"/>
      <c r="G1278" s="206"/>
      <c r="H1278" s="207"/>
      <c r="I1278" s="207"/>
      <c r="J1278" s="207"/>
      <c r="K1278" s="207"/>
      <c r="L1278" s="207"/>
      <c r="M1278" s="207"/>
      <c r="O1278" s="206"/>
      <c r="P1278" s="206"/>
      <c r="Q1278" s="206"/>
      <c r="R1278" s="206"/>
      <c r="S1278" s="206"/>
      <c r="T1278" s="206"/>
      <c r="U1278" s="206"/>
      <c r="V1278" s="206"/>
      <c r="W1278" s="206"/>
      <c r="X1278" s="206"/>
      <c r="Y1278" s="206"/>
      <c r="Z1278" s="206"/>
      <c r="AA1278" s="206"/>
      <c r="AB1278" s="206"/>
      <c r="AC1278" s="206"/>
      <c r="AD1278" s="206"/>
      <c r="AE1278" s="206"/>
      <c r="AF1278" s="206"/>
    </row>
    <row r="1279" spans="4:32" x14ac:dyDescent="0.2">
      <c r="D1279" s="206"/>
      <c r="E1279" s="206"/>
      <c r="F1279" s="206"/>
      <c r="G1279" s="206"/>
      <c r="H1279" s="207"/>
      <c r="I1279" s="207"/>
      <c r="J1279" s="207"/>
      <c r="K1279" s="207"/>
      <c r="L1279" s="207"/>
      <c r="M1279" s="207"/>
      <c r="O1279" s="206"/>
      <c r="P1279" s="206"/>
      <c r="Q1279" s="206"/>
      <c r="R1279" s="206"/>
      <c r="S1279" s="206"/>
      <c r="T1279" s="206"/>
      <c r="U1279" s="206"/>
      <c r="V1279" s="206"/>
      <c r="W1279" s="206"/>
      <c r="X1279" s="206"/>
      <c r="Y1279" s="206"/>
      <c r="Z1279" s="206"/>
      <c r="AA1279" s="206"/>
      <c r="AB1279" s="206"/>
      <c r="AC1279" s="206"/>
      <c r="AD1279" s="206"/>
      <c r="AE1279" s="206"/>
      <c r="AF1279" s="206"/>
    </row>
    <row r="1280" spans="4:32" x14ac:dyDescent="0.2">
      <c r="D1280" s="206"/>
      <c r="E1280" s="206"/>
      <c r="F1280" s="206"/>
      <c r="G1280" s="206"/>
      <c r="H1280" s="207"/>
      <c r="I1280" s="207"/>
      <c r="J1280" s="207"/>
      <c r="K1280" s="207"/>
      <c r="L1280" s="207"/>
      <c r="M1280" s="207"/>
      <c r="O1280" s="206"/>
      <c r="P1280" s="206"/>
      <c r="Q1280" s="206"/>
      <c r="R1280" s="206"/>
      <c r="S1280" s="206"/>
      <c r="T1280" s="206"/>
      <c r="U1280" s="206"/>
      <c r="V1280" s="206"/>
      <c r="W1280" s="206"/>
      <c r="X1280" s="206"/>
      <c r="Y1280" s="206"/>
      <c r="Z1280" s="206"/>
      <c r="AA1280" s="206"/>
      <c r="AB1280" s="206"/>
      <c r="AC1280" s="206"/>
      <c r="AD1280" s="206"/>
      <c r="AE1280" s="206"/>
      <c r="AF1280" s="206"/>
    </row>
    <row r="1281" spans="4:32" x14ac:dyDescent="0.2">
      <c r="D1281" s="206"/>
      <c r="E1281" s="206"/>
      <c r="F1281" s="206"/>
      <c r="G1281" s="206"/>
      <c r="H1281" s="207"/>
      <c r="I1281" s="207"/>
      <c r="J1281" s="207"/>
      <c r="K1281" s="207"/>
      <c r="L1281" s="207"/>
      <c r="M1281" s="207"/>
      <c r="O1281" s="206"/>
      <c r="P1281" s="206"/>
      <c r="Q1281" s="206"/>
      <c r="R1281" s="206"/>
      <c r="S1281" s="206"/>
      <c r="T1281" s="206"/>
      <c r="U1281" s="206"/>
      <c r="V1281" s="206"/>
      <c r="W1281" s="206"/>
      <c r="X1281" s="206"/>
      <c r="Y1281" s="206"/>
      <c r="Z1281" s="206"/>
      <c r="AA1281" s="206"/>
      <c r="AB1281" s="206"/>
      <c r="AC1281" s="206"/>
      <c r="AD1281" s="206"/>
      <c r="AE1281" s="206"/>
      <c r="AF1281" s="206"/>
    </row>
    <row r="1282" spans="4:32" x14ac:dyDescent="0.2">
      <c r="D1282" s="206"/>
      <c r="E1282" s="206"/>
      <c r="F1282" s="206"/>
      <c r="G1282" s="206"/>
      <c r="H1282" s="207"/>
      <c r="I1282" s="207"/>
      <c r="J1282" s="207"/>
      <c r="K1282" s="207"/>
      <c r="L1282" s="207"/>
      <c r="M1282" s="207"/>
      <c r="O1282" s="206"/>
      <c r="P1282" s="206"/>
      <c r="Q1282" s="206"/>
      <c r="R1282" s="206"/>
      <c r="S1282" s="206"/>
      <c r="T1282" s="206"/>
      <c r="U1282" s="206"/>
      <c r="V1282" s="206"/>
      <c r="W1282" s="206"/>
      <c r="X1282" s="206"/>
      <c r="Y1282" s="206"/>
      <c r="Z1282" s="206"/>
      <c r="AA1282" s="206"/>
      <c r="AB1282" s="206"/>
      <c r="AC1282" s="206"/>
      <c r="AD1282" s="206"/>
      <c r="AE1282" s="206"/>
      <c r="AF1282" s="206"/>
    </row>
    <row r="1283" spans="4:32" x14ac:dyDescent="0.2">
      <c r="D1283" s="206"/>
      <c r="E1283" s="206"/>
      <c r="F1283" s="206"/>
      <c r="G1283" s="206"/>
      <c r="H1283" s="207"/>
      <c r="I1283" s="207"/>
      <c r="J1283" s="207"/>
      <c r="K1283" s="207"/>
      <c r="L1283" s="207"/>
      <c r="M1283" s="207"/>
      <c r="O1283" s="206"/>
      <c r="P1283" s="206"/>
      <c r="Q1283" s="206"/>
      <c r="R1283" s="206"/>
      <c r="S1283" s="206"/>
      <c r="T1283" s="206"/>
      <c r="U1283" s="206"/>
      <c r="V1283" s="206"/>
      <c r="W1283" s="206"/>
      <c r="X1283" s="206"/>
      <c r="Y1283" s="206"/>
      <c r="Z1283" s="206"/>
      <c r="AA1283" s="206"/>
      <c r="AB1283" s="206"/>
      <c r="AC1283" s="206"/>
      <c r="AD1283" s="206"/>
      <c r="AE1283" s="206"/>
      <c r="AF1283" s="206"/>
    </row>
    <row r="1284" spans="4:32" x14ac:dyDescent="0.2">
      <c r="D1284" s="206"/>
      <c r="E1284" s="206"/>
      <c r="F1284" s="206"/>
      <c r="G1284" s="206"/>
      <c r="H1284" s="207"/>
      <c r="I1284" s="207"/>
      <c r="J1284" s="207"/>
      <c r="K1284" s="207"/>
      <c r="L1284" s="207"/>
      <c r="M1284" s="207"/>
      <c r="O1284" s="206"/>
      <c r="P1284" s="206"/>
      <c r="Q1284" s="206"/>
      <c r="R1284" s="206"/>
      <c r="S1284" s="206"/>
      <c r="T1284" s="206"/>
      <c r="U1284" s="206"/>
      <c r="V1284" s="206"/>
      <c r="W1284" s="206"/>
      <c r="X1284" s="206"/>
      <c r="Y1284" s="206"/>
      <c r="Z1284" s="206"/>
      <c r="AA1284" s="206"/>
      <c r="AB1284" s="206"/>
      <c r="AC1284" s="206"/>
      <c r="AD1284" s="206"/>
      <c r="AE1284" s="206"/>
      <c r="AF1284" s="206"/>
    </row>
    <row r="1285" spans="4:32" x14ac:dyDescent="0.2">
      <c r="D1285" s="206"/>
      <c r="E1285" s="206"/>
      <c r="F1285" s="206"/>
      <c r="G1285" s="206"/>
      <c r="H1285" s="207"/>
      <c r="I1285" s="207"/>
      <c r="J1285" s="207"/>
      <c r="K1285" s="207"/>
      <c r="L1285" s="207"/>
      <c r="M1285" s="207"/>
      <c r="O1285" s="206"/>
      <c r="P1285" s="206"/>
      <c r="Q1285" s="206"/>
      <c r="R1285" s="206"/>
      <c r="S1285" s="206"/>
      <c r="T1285" s="206"/>
      <c r="U1285" s="206"/>
      <c r="V1285" s="206"/>
      <c r="W1285" s="206"/>
      <c r="X1285" s="206"/>
      <c r="Y1285" s="206"/>
      <c r="Z1285" s="206"/>
      <c r="AA1285" s="206"/>
      <c r="AB1285" s="206"/>
      <c r="AC1285" s="206"/>
      <c r="AD1285" s="206"/>
      <c r="AE1285" s="206"/>
      <c r="AF1285" s="206"/>
    </row>
    <row r="1286" spans="4:32" x14ac:dyDescent="0.2">
      <c r="D1286" s="206"/>
      <c r="E1286" s="206"/>
      <c r="F1286" s="206"/>
      <c r="G1286" s="206"/>
      <c r="H1286" s="207"/>
      <c r="I1286" s="207"/>
      <c r="J1286" s="207"/>
      <c r="K1286" s="207"/>
      <c r="L1286" s="207"/>
      <c r="M1286" s="207"/>
      <c r="O1286" s="206"/>
      <c r="P1286" s="206"/>
      <c r="Q1286" s="206"/>
      <c r="R1286" s="206"/>
      <c r="S1286" s="206"/>
      <c r="T1286" s="206"/>
      <c r="U1286" s="206"/>
      <c r="V1286" s="206"/>
      <c r="W1286" s="206"/>
      <c r="X1286" s="206"/>
      <c r="Y1286" s="206"/>
      <c r="Z1286" s="206"/>
      <c r="AA1286" s="206"/>
      <c r="AB1286" s="206"/>
      <c r="AC1286" s="206"/>
      <c r="AD1286" s="206"/>
      <c r="AE1286" s="206"/>
      <c r="AF1286" s="206"/>
    </row>
    <row r="1287" spans="4:32" x14ac:dyDescent="0.2">
      <c r="D1287" s="206"/>
      <c r="E1287" s="206"/>
      <c r="F1287" s="206"/>
      <c r="G1287" s="206"/>
      <c r="H1287" s="207"/>
      <c r="I1287" s="207"/>
      <c r="J1287" s="207"/>
      <c r="K1287" s="207"/>
      <c r="L1287" s="207"/>
      <c r="M1287" s="207"/>
      <c r="O1287" s="206"/>
      <c r="P1287" s="206"/>
      <c r="Q1287" s="206"/>
      <c r="R1287" s="206"/>
      <c r="S1287" s="206"/>
      <c r="T1287" s="206"/>
      <c r="U1287" s="206"/>
      <c r="V1287" s="206"/>
      <c r="W1287" s="206"/>
      <c r="X1287" s="206"/>
      <c r="Y1287" s="206"/>
      <c r="Z1287" s="206"/>
      <c r="AA1287" s="206"/>
      <c r="AB1287" s="206"/>
      <c r="AC1287" s="206"/>
      <c r="AD1287" s="206"/>
      <c r="AE1287" s="206"/>
      <c r="AF1287" s="206"/>
    </row>
    <row r="1288" spans="4:32" x14ac:dyDescent="0.2">
      <c r="D1288" s="206"/>
      <c r="E1288" s="206"/>
      <c r="F1288" s="206"/>
      <c r="G1288" s="206"/>
      <c r="H1288" s="207"/>
      <c r="I1288" s="207"/>
      <c r="J1288" s="207"/>
      <c r="K1288" s="207"/>
      <c r="L1288" s="207"/>
      <c r="M1288" s="207"/>
      <c r="O1288" s="206"/>
      <c r="P1288" s="206"/>
      <c r="Q1288" s="206"/>
      <c r="R1288" s="206"/>
      <c r="S1288" s="206"/>
      <c r="T1288" s="206"/>
      <c r="U1288" s="206"/>
      <c r="V1288" s="206"/>
      <c r="W1288" s="206"/>
      <c r="X1288" s="206"/>
      <c r="Y1288" s="206"/>
      <c r="Z1288" s="206"/>
      <c r="AA1288" s="206"/>
      <c r="AB1288" s="206"/>
      <c r="AC1288" s="206"/>
      <c r="AD1288" s="206"/>
      <c r="AE1288" s="206"/>
      <c r="AF1288" s="206"/>
    </row>
    <row r="1289" spans="4:32" x14ac:dyDescent="0.2">
      <c r="D1289" s="206"/>
      <c r="E1289" s="206"/>
      <c r="F1289" s="206"/>
      <c r="G1289" s="206"/>
      <c r="H1289" s="207"/>
      <c r="I1289" s="207"/>
      <c r="J1289" s="207"/>
      <c r="K1289" s="207"/>
      <c r="L1289" s="207"/>
      <c r="M1289" s="207"/>
      <c r="O1289" s="206"/>
      <c r="P1289" s="206"/>
      <c r="Q1289" s="206"/>
      <c r="R1289" s="206"/>
      <c r="S1289" s="206"/>
      <c r="T1289" s="206"/>
      <c r="U1289" s="206"/>
      <c r="V1289" s="206"/>
      <c r="W1289" s="206"/>
      <c r="X1289" s="206"/>
      <c r="Y1289" s="206"/>
      <c r="Z1289" s="206"/>
      <c r="AA1289" s="206"/>
      <c r="AB1289" s="206"/>
      <c r="AC1289" s="206"/>
      <c r="AD1289" s="206"/>
      <c r="AE1289" s="206"/>
      <c r="AF1289" s="206"/>
    </row>
    <row r="1290" spans="4:32" x14ac:dyDescent="0.2">
      <c r="D1290" s="206"/>
      <c r="E1290" s="206"/>
      <c r="F1290" s="206"/>
      <c r="G1290" s="206"/>
      <c r="H1290" s="207"/>
      <c r="I1290" s="207"/>
      <c r="J1290" s="207"/>
      <c r="K1290" s="207"/>
      <c r="L1290" s="207"/>
      <c r="M1290" s="207"/>
      <c r="O1290" s="206"/>
      <c r="P1290" s="206"/>
      <c r="Q1290" s="206"/>
      <c r="R1290" s="206"/>
      <c r="S1290" s="206"/>
      <c r="T1290" s="206"/>
      <c r="U1290" s="206"/>
      <c r="V1290" s="206"/>
      <c r="W1290" s="206"/>
      <c r="X1290" s="206"/>
      <c r="Y1290" s="206"/>
      <c r="Z1290" s="206"/>
      <c r="AA1290" s="206"/>
      <c r="AB1290" s="206"/>
      <c r="AC1290" s="206"/>
      <c r="AD1290" s="206"/>
      <c r="AE1290" s="206"/>
      <c r="AF1290" s="206"/>
    </row>
    <row r="1291" spans="4:32" x14ac:dyDescent="0.2">
      <c r="D1291" s="206"/>
      <c r="E1291" s="206"/>
      <c r="F1291" s="206"/>
      <c r="G1291" s="206"/>
      <c r="H1291" s="207"/>
      <c r="I1291" s="207"/>
      <c r="J1291" s="207"/>
      <c r="K1291" s="207"/>
      <c r="L1291" s="207"/>
      <c r="M1291" s="207"/>
      <c r="O1291" s="206"/>
      <c r="P1291" s="206"/>
      <c r="Q1291" s="206"/>
      <c r="R1291" s="206"/>
      <c r="S1291" s="206"/>
      <c r="T1291" s="206"/>
      <c r="U1291" s="206"/>
      <c r="V1291" s="206"/>
      <c r="W1291" s="206"/>
      <c r="X1291" s="206"/>
      <c r="Y1291" s="206"/>
      <c r="Z1291" s="206"/>
      <c r="AA1291" s="206"/>
      <c r="AB1291" s="206"/>
      <c r="AC1291" s="206"/>
      <c r="AD1291" s="206"/>
      <c r="AE1291" s="206"/>
      <c r="AF1291" s="206"/>
    </row>
    <row r="1292" spans="4:32" x14ac:dyDescent="0.2">
      <c r="D1292" s="206"/>
      <c r="E1292" s="206"/>
      <c r="F1292" s="206"/>
      <c r="G1292" s="206"/>
      <c r="H1292" s="207"/>
      <c r="I1292" s="207"/>
      <c r="J1292" s="207"/>
      <c r="K1292" s="207"/>
      <c r="L1292" s="207"/>
      <c r="M1292" s="207"/>
      <c r="O1292" s="206"/>
      <c r="P1292" s="206"/>
      <c r="Q1292" s="206"/>
      <c r="R1292" s="206"/>
      <c r="S1292" s="206"/>
      <c r="T1292" s="206"/>
      <c r="U1292" s="206"/>
      <c r="V1292" s="206"/>
      <c r="W1292" s="206"/>
      <c r="X1292" s="206"/>
      <c r="Y1292" s="206"/>
      <c r="Z1292" s="206"/>
      <c r="AA1292" s="206"/>
      <c r="AB1292" s="206"/>
      <c r="AC1292" s="206"/>
      <c r="AD1292" s="206"/>
      <c r="AE1292" s="206"/>
      <c r="AF1292" s="206"/>
    </row>
    <row r="1293" spans="4:32" x14ac:dyDescent="0.2">
      <c r="D1293" s="206"/>
      <c r="E1293" s="206"/>
      <c r="F1293" s="206"/>
      <c r="G1293" s="206"/>
      <c r="H1293" s="207"/>
      <c r="I1293" s="207"/>
      <c r="J1293" s="207"/>
      <c r="K1293" s="207"/>
      <c r="L1293" s="207"/>
      <c r="M1293" s="207"/>
      <c r="O1293" s="206"/>
      <c r="P1293" s="206"/>
      <c r="Q1293" s="206"/>
      <c r="R1293" s="206"/>
      <c r="S1293" s="206"/>
      <c r="T1293" s="206"/>
      <c r="U1293" s="206"/>
      <c r="V1293" s="206"/>
      <c r="W1293" s="206"/>
      <c r="X1293" s="206"/>
      <c r="Y1293" s="206"/>
      <c r="Z1293" s="206"/>
      <c r="AA1293" s="206"/>
      <c r="AB1293" s="206"/>
      <c r="AC1293" s="206"/>
      <c r="AD1293" s="206"/>
      <c r="AE1293" s="206"/>
      <c r="AF1293" s="206"/>
    </row>
    <row r="1294" spans="4:32" x14ac:dyDescent="0.2">
      <c r="D1294" s="206"/>
      <c r="E1294" s="206"/>
      <c r="F1294" s="206"/>
      <c r="G1294" s="206"/>
      <c r="H1294" s="207"/>
      <c r="I1294" s="207"/>
      <c r="J1294" s="207"/>
      <c r="K1294" s="207"/>
      <c r="L1294" s="207"/>
      <c r="M1294" s="207"/>
      <c r="O1294" s="206"/>
      <c r="P1294" s="206"/>
      <c r="Q1294" s="206"/>
      <c r="R1294" s="206"/>
      <c r="S1294" s="206"/>
      <c r="T1294" s="206"/>
      <c r="U1294" s="206"/>
      <c r="V1294" s="206"/>
      <c r="W1294" s="206"/>
      <c r="X1294" s="206"/>
      <c r="Y1294" s="206"/>
      <c r="Z1294" s="206"/>
      <c r="AA1294" s="206"/>
      <c r="AB1294" s="206"/>
      <c r="AC1294" s="206"/>
      <c r="AD1294" s="206"/>
      <c r="AE1294" s="206"/>
      <c r="AF1294" s="206"/>
    </row>
    <row r="1295" spans="4:32" x14ac:dyDescent="0.2">
      <c r="D1295" s="206"/>
      <c r="E1295" s="206"/>
      <c r="F1295" s="206"/>
      <c r="G1295" s="206"/>
      <c r="H1295" s="207"/>
      <c r="I1295" s="207"/>
      <c r="J1295" s="207"/>
      <c r="K1295" s="207"/>
      <c r="L1295" s="207"/>
      <c r="M1295" s="207"/>
      <c r="O1295" s="206"/>
      <c r="P1295" s="206"/>
      <c r="Q1295" s="206"/>
      <c r="R1295" s="206"/>
      <c r="S1295" s="206"/>
      <c r="T1295" s="206"/>
      <c r="U1295" s="206"/>
      <c r="V1295" s="206"/>
      <c r="W1295" s="206"/>
      <c r="X1295" s="206"/>
      <c r="Y1295" s="206"/>
      <c r="Z1295" s="206"/>
      <c r="AA1295" s="206"/>
      <c r="AB1295" s="206"/>
      <c r="AC1295" s="206"/>
      <c r="AD1295" s="206"/>
      <c r="AE1295" s="206"/>
      <c r="AF1295" s="206"/>
    </row>
    <row r="1296" spans="4:32" x14ac:dyDescent="0.2">
      <c r="D1296" s="206"/>
      <c r="E1296" s="206"/>
      <c r="F1296" s="206"/>
      <c r="G1296" s="206"/>
      <c r="H1296" s="207"/>
      <c r="I1296" s="207"/>
      <c r="J1296" s="207"/>
      <c r="K1296" s="207"/>
      <c r="L1296" s="207"/>
      <c r="M1296" s="207"/>
      <c r="O1296" s="206"/>
      <c r="P1296" s="206"/>
      <c r="Q1296" s="206"/>
      <c r="R1296" s="206"/>
      <c r="S1296" s="206"/>
      <c r="T1296" s="206"/>
      <c r="U1296" s="206"/>
      <c r="V1296" s="206"/>
      <c r="W1296" s="206"/>
      <c r="X1296" s="206"/>
      <c r="Y1296" s="206"/>
      <c r="Z1296" s="206"/>
      <c r="AA1296" s="206"/>
      <c r="AB1296" s="206"/>
      <c r="AC1296" s="206"/>
      <c r="AD1296" s="206"/>
      <c r="AE1296" s="206"/>
      <c r="AF1296" s="206"/>
    </row>
    <row r="1297" spans="4:32" x14ac:dyDescent="0.2">
      <c r="D1297" s="206"/>
      <c r="E1297" s="206"/>
      <c r="F1297" s="206"/>
      <c r="G1297" s="206"/>
      <c r="H1297" s="207"/>
      <c r="I1297" s="207"/>
      <c r="J1297" s="207"/>
      <c r="K1297" s="207"/>
      <c r="L1297" s="207"/>
      <c r="M1297" s="207"/>
      <c r="O1297" s="206"/>
      <c r="P1297" s="206"/>
      <c r="Q1297" s="206"/>
      <c r="R1297" s="206"/>
      <c r="S1297" s="206"/>
      <c r="T1297" s="206"/>
      <c r="U1297" s="206"/>
      <c r="V1297" s="206"/>
      <c r="W1297" s="206"/>
      <c r="X1297" s="206"/>
      <c r="Y1297" s="206"/>
      <c r="Z1297" s="206"/>
      <c r="AA1297" s="206"/>
      <c r="AB1297" s="206"/>
      <c r="AC1297" s="206"/>
      <c r="AD1297" s="206"/>
      <c r="AE1297" s="206"/>
      <c r="AF1297" s="206"/>
    </row>
    <row r="1298" spans="4:32" x14ac:dyDescent="0.2">
      <c r="D1298" s="206"/>
      <c r="E1298" s="206"/>
      <c r="F1298" s="206"/>
      <c r="G1298" s="206"/>
      <c r="H1298" s="207"/>
      <c r="I1298" s="207"/>
      <c r="J1298" s="207"/>
      <c r="K1298" s="207"/>
      <c r="L1298" s="207"/>
      <c r="M1298" s="207"/>
      <c r="O1298" s="206"/>
      <c r="P1298" s="206"/>
      <c r="Q1298" s="206"/>
      <c r="R1298" s="206"/>
      <c r="S1298" s="206"/>
      <c r="T1298" s="206"/>
      <c r="U1298" s="206"/>
      <c r="V1298" s="206"/>
      <c r="W1298" s="206"/>
      <c r="X1298" s="206"/>
      <c r="Y1298" s="206"/>
      <c r="Z1298" s="206"/>
      <c r="AA1298" s="206"/>
      <c r="AB1298" s="206"/>
      <c r="AC1298" s="206"/>
      <c r="AD1298" s="206"/>
      <c r="AE1298" s="206"/>
      <c r="AF1298" s="206"/>
    </row>
    <row r="1299" spans="4:32" x14ac:dyDescent="0.2">
      <c r="D1299" s="206"/>
      <c r="E1299" s="206"/>
      <c r="F1299" s="206"/>
      <c r="G1299" s="206"/>
      <c r="H1299" s="207"/>
      <c r="I1299" s="207"/>
      <c r="J1299" s="207"/>
      <c r="K1299" s="207"/>
      <c r="L1299" s="207"/>
      <c r="M1299" s="207"/>
      <c r="O1299" s="206"/>
      <c r="P1299" s="206"/>
      <c r="Q1299" s="206"/>
      <c r="R1299" s="206"/>
      <c r="S1299" s="206"/>
      <c r="T1299" s="206"/>
      <c r="U1299" s="206"/>
      <c r="V1299" s="206"/>
      <c r="W1299" s="206"/>
      <c r="X1299" s="206"/>
      <c r="Y1299" s="206"/>
      <c r="Z1299" s="206"/>
      <c r="AA1299" s="206"/>
      <c r="AB1299" s="206"/>
      <c r="AC1299" s="206"/>
      <c r="AD1299" s="206"/>
      <c r="AE1299" s="206"/>
      <c r="AF1299" s="206"/>
    </row>
    <row r="1300" spans="4:32" x14ac:dyDescent="0.2">
      <c r="D1300" s="206"/>
      <c r="E1300" s="206"/>
      <c r="F1300" s="206"/>
      <c r="G1300" s="206"/>
      <c r="H1300" s="207"/>
      <c r="I1300" s="207"/>
      <c r="J1300" s="207"/>
      <c r="K1300" s="207"/>
      <c r="L1300" s="207"/>
      <c r="M1300" s="207"/>
      <c r="O1300" s="206"/>
      <c r="P1300" s="206"/>
      <c r="Q1300" s="206"/>
      <c r="R1300" s="206"/>
      <c r="S1300" s="206"/>
      <c r="T1300" s="206"/>
      <c r="U1300" s="206"/>
      <c r="V1300" s="206"/>
      <c r="W1300" s="206"/>
      <c r="X1300" s="206"/>
      <c r="Y1300" s="206"/>
      <c r="Z1300" s="206"/>
      <c r="AA1300" s="206"/>
      <c r="AB1300" s="206"/>
      <c r="AC1300" s="206"/>
      <c r="AD1300" s="206"/>
      <c r="AE1300" s="206"/>
      <c r="AF1300" s="206"/>
    </row>
    <row r="1301" spans="4:32" x14ac:dyDescent="0.2">
      <c r="D1301" s="206"/>
      <c r="E1301" s="206"/>
      <c r="F1301" s="206"/>
      <c r="G1301" s="206"/>
      <c r="H1301" s="207"/>
      <c r="I1301" s="207"/>
      <c r="J1301" s="207"/>
      <c r="K1301" s="207"/>
      <c r="L1301" s="207"/>
      <c r="M1301" s="207"/>
      <c r="O1301" s="206"/>
      <c r="P1301" s="206"/>
      <c r="Q1301" s="206"/>
      <c r="R1301" s="206"/>
      <c r="S1301" s="206"/>
      <c r="T1301" s="206"/>
      <c r="U1301" s="206"/>
      <c r="V1301" s="206"/>
      <c r="W1301" s="206"/>
      <c r="X1301" s="206"/>
      <c r="Y1301" s="206"/>
      <c r="Z1301" s="206"/>
      <c r="AA1301" s="206"/>
      <c r="AB1301" s="206"/>
      <c r="AC1301" s="206"/>
      <c r="AD1301" s="206"/>
      <c r="AE1301" s="206"/>
      <c r="AF1301" s="206"/>
    </row>
    <row r="1302" spans="4:32" x14ac:dyDescent="0.2">
      <c r="D1302" s="206"/>
      <c r="E1302" s="206"/>
      <c r="F1302" s="206"/>
      <c r="G1302" s="206"/>
      <c r="H1302" s="207"/>
      <c r="I1302" s="207"/>
      <c r="J1302" s="207"/>
      <c r="K1302" s="207"/>
      <c r="L1302" s="207"/>
      <c r="M1302" s="207"/>
      <c r="O1302" s="206"/>
      <c r="P1302" s="206"/>
      <c r="Q1302" s="206"/>
      <c r="R1302" s="206"/>
      <c r="S1302" s="206"/>
      <c r="T1302" s="206"/>
      <c r="U1302" s="206"/>
      <c r="V1302" s="206"/>
      <c r="W1302" s="206"/>
      <c r="X1302" s="206"/>
      <c r="Y1302" s="206"/>
      <c r="Z1302" s="206"/>
      <c r="AA1302" s="206"/>
      <c r="AB1302" s="206"/>
      <c r="AC1302" s="206"/>
      <c r="AD1302" s="206"/>
      <c r="AE1302" s="206"/>
      <c r="AF1302" s="206"/>
    </row>
    <row r="1303" spans="4:32" x14ac:dyDescent="0.2">
      <c r="D1303" s="206"/>
      <c r="E1303" s="206"/>
      <c r="F1303" s="206"/>
      <c r="G1303" s="206"/>
      <c r="H1303" s="207"/>
      <c r="I1303" s="207"/>
      <c r="J1303" s="207"/>
      <c r="K1303" s="207"/>
      <c r="L1303" s="207"/>
      <c r="M1303" s="207"/>
      <c r="O1303" s="206"/>
      <c r="P1303" s="206"/>
      <c r="Q1303" s="206"/>
      <c r="R1303" s="206"/>
      <c r="S1303" s="206"/>
      <c r="T1303" s="206"/>
      <c r="U1303" s="206"/>
      <c r="V1303" s="206"/>
      <c r="W1303" s="206"/>
      <c r="X1303" s="206"/>
      <c r="Y1303" s="206"/>
      <c r="Z1303" s="206"/>
      <c r="AA1303" s="206"/>
      <c r="AB1303" s="206"/>
      <c r="AC1303" s="206"/>
      <c r="AD1303" s="206"/>
      <c r="AE1303" s="206"/>
      <c r="AF1303" s="206"/>
    </row>
    <row r="1304" spans="4:32" x14ac:dyDescent="0.2">
      <c r="D1304" s="206"/>
      <c r="E1304" s="206"/>
      <c r="F1304" s="206"/>
      <c r="G1304" s="206"/>
      <c r="H1304" s="207"/>
      <c r="I1304" s="207"/>
      <c r="J1304" s="207"/>
      <c r="K1304" s="207"/>
      <c r="L1304" s="207"/>
      <c r="M1304" s="207"/>
      <c r="O1304" s="206"/>
      <c r="P1304" s="206"/>
      <c r="Q1304" s="206"/>
      <c r="R1304" s="206"/>
      <c r="S1304" s="206"/>
      <c r="T1304" s="206"/>
      <c r="U1304" s="206"/>
      <c r="V1304" s="206"/>
      <c r="W1304" s="206"/>
      <c r="X1304" s="206"/>
      <c r="Y1304" s="206"/>
      <c r="Z1304" s="206"/>
      <c r="AA1304" s="206"/>
      <c r="AB1304" s="206"/>
      <c r="AC1304" s="206"/>
      <c r="AD1304" s="206"/>
      <c r="AE1304" s="206"/>
      <c r="AF1304" s="206"/>
    </row>
    <row r="1305" spans="4:32" x14ac:dyDescent="0.2">
      <c r="D1305" s="206"/>
      <c r="E1305" s="206"/>
      <c r="F1305" s="206"/>
      <c r="G1305" s="206"/>
      <c r="H1305" s="207"/>
      <c r="I1305" s="207"/>
      <c r="J1305" s="207"/>
      <c r="K1305" s="207"/>
      <c r="L1305" s="207"/>
      <c r="M1305" s="207"/>
      <c r="O1305" s="206"/>
      <c r="P1305" s="206"/>
      <c r="Q1305" s="206"/>
      <c r="R1305" s="206"/>
      <c r="S1305" s="206"/>
      <c r="T1305" s="206"/>
      <c r="U1305" s="206"/>
      <c r="V1305" s="206"/>
      <c r="W1305" s="206"/>
      <c r="X1305" s="206"/>
      <c r="Y1305" s="206"/>
      <c r="Z1305" s="206"/>
      <c r="AA1305" s="206"/>
      <c r="AB1305" s="206"/>
      <c r="AC1305" s="206"/>
      <c r="AD1305" s="206"/>
      <c r="AE1305" s="206"/>
      <c r="AF1305" s="206"/>
    </row>
    <row r="1306" spans="4:32" x14ac:dyDescent="0.2">
      <c r="D1306" s="206"/>
      <c r="E1306" s="206"/>
      <c r="F1306" s="206"/>
      <c r="G1306" s="206"/>
      <c r="H1306" s="207"/>
      <c r="I1306" s="207"/>
      <c r="J1306" s="207"/>
      <c r="K1306" s="207"/>
      <c r="L1306" s="207"/>
      <c r="M1306" s="207"/>
      <c r="O1306" s="206"/>
      <c r="P1306" s="206"/>
      <c r="Q1306" s="206"/>
      <c r="R1306" s="206"/>
      <c r="S1306" s="206"/>
      <c r="T1306" s="206"/>
      <c r="U1306" s="206"/>
      <c r="V1306" s="206"/>
      <c r="W1306" s="206"/>
      <c r="X1306" s="206"/>
      <c r="Y1306" s="206"/>
      <c r="Z1306" s="206"/>
      <c r="AA1306" s="206"/>
      <c r="AB1306" s="206"/>
      <c r="AC1306" s="206"/>
      <c r="AD1306" s="206"/>
      <c r="AE1306" s="206"/>
      <c r="AF1306" s="206"/>
    </row>
    <row r="1307" spans="4:32" x14ac:dyDescent="0.2">
      <c r="D1307" s="206"/>
      <c r="E1307" s="206"/>
      <c r="F1307" s="206"/>
      <c r="G1307" s="206"/>
      <c r="H1307" s="207"/>
      <c r="I1307" s="207"/>
      <c r="J1307" s="207"/>
      <c r="K1307" s="207"/>
      <c r="L1307" s="207"/>
      <c r="M1307" s="207"/>
      <c r="O1307" s="206"/>
      <c r="P1307" s="206"/>
      <c r="Q1307" s="206"/>
      <c r="R1307" s="206"/>
      <c r="S1307" s="206"/>
      <c r="T1307" s="206"/>
      <c r="U1307" s="206"/>
      <c r="V1307" s="206"/>
      <c r="W1307" s="206"/>
      <c r="X1307" s="206"/>
      <c r="Y1307" s="206"/>
      <c r="Z1307" s="206"/>
      <c r="AA1307" s="206"/>
      <c r="AB1307" s="206"/>
      <c r="AC1307" s="206"/>
      <c r="AD1307" s="206"/>
      <c r="AE1307" s="206"/>
      <c r="AF1307" s="206"/>
    </row>
    <row r="1308" spans="4:32" x14ac:dyDescent="0.2">
      <c r="D1308" s="206"/>
      <c r="E1308" s="206"/>
      <c r="F1308" s="206"/>
      <c r="G1308" s="206"/>
      <c r="H1308" s="207"/>
      <c r="I1308" s="207"/>
      <c r="J1308" s="207"/>
      <c r="K1308" s="207"/>
      <c r="L1308" s="207"/>
      <c r="M1308" s="207"/>
      <c r="O1308" s="206"/>
      <c r="P1308" s="206"/>
      <c r="Q1308" s="206"/>
      <c r="R1308" s="206"/>
      <c r="S1308" s="206"/>
      <c r="T1308" s="206"/>
      <c r="U1308" s="206"/>
      <c r="V1308" s="206"/>
      <c r="W1308" s="206"/>
      <c r="X1308" s="206"/>
      <c r="Y1308" s="206"/>
      <c r="Z1308" s="206"/>
      <c r="AA1308" s="206"/>
      <c r="AB1308" s="206"/>
      <c r="AC1308" s="206"/>
      <c r="AD1308" s="206"/>
      <c r="AE1308" s="206"/>
      <c r="AF1308" s="206"/>
    </row>
    <row r="1309" spans="4:32" x14ac:dyDescent="0.2">
      <c r="D1309" s="206"/>
      <c r="E1309" s="206"/>
      <c r="F1309" s="206"/>
      <c r="G1309" s="206"/>
      <c r="H1309" s="207"/>
      <c r="I1309" s="207"/>
      <c r="J1309" s="207"/>
      <c r="K1309" s="207"/>
      <c r="L1309" s="207"/>
      <c r="M1309" s="207"/>
      <c r="O1309" s="206"/>
      <c r="P1309" s="206"/>
      <c r="Q1309" s="206"/>
      <c r="R1309" s="206"/>
      <c r="S1309" s="206"/>
      <c r="T1309" s="206"/>
      <c r="U1309" s="206"/>
      <c r="V1309" s="206"/>
      <c r="W1309" s="206"/>
      <c r="X1309" s="206"/>
      <c r="Y1309" s="206"/>
      <c r="Z1309" s="206"/>
      <c r="AA1309" s="206"/>
      <c r="AB1309" s="206"/>
      <c r="AC1309" s="206"/>
      <c r="AD1309" s="206"/>
      <c r="AE1309" s="206"/>
      <c r="AF1309" s="206"/>
    </row>
    <row r="1310" spans="4:32" x14ac:dyDescent="0.2">
      <c r="D1310" s="206"/>
      <c r="E1310" s="206"/>
      <c r="F1310" s="206"/>
      <c r="G1310" s="206"/>
      <c r="H1310" s="207"/>
      <c r="I1310" s="207"/>
      <c r="J1310" s="207"/>
      <c r="K1310" s="207"/>
      <c r="L1310" s="207"/>
      <c r="M1310" s="207"/>
      <c r="O1310" s="206"/>
      <c r="P1310" s="206"/>
      <c r="Q1310" s="206"/>
      <c r="R1310" s="206"/>
      <c r="S1310" s="206"/>
      <c r="T1310" s="206"/>
      <c r="U1310" s="206"/>
      <c r="V1310" s="206"/>
      <c r="W1310" s="206"/>
      <c r="X1310" s="206"/>
      <c r="Y1310" s="206"/>
      <c r="Z1310" s="206"/>
      <c r="AA1310" s="206"/>
      <c r="AB1310" s="206"/>
      <c r="AC1310" s="206"/>
      <c r="AD1310" s="206"/>
      <c r="AE1310" s="206"/>
      <c r="AF1310" s="206"/>
    </row>
    <row r="1311" spans="4:32" x14ac:dyDescent="0.2">
      <c r="D1311" s="206"/>
      <c r="E1311" s="206"/>
      <c r="F1311" s="206"/>
      <c r="G1311" s="206"/>
      <c r="H1311" s="207"/>
      <c r="I1311" s="207"/>
      <c r="J1311" s="207"/>
      <c r="K1311" s="207"/>
      <c r="L1311" s="207"/>
      <c r="M1311" s="207"/>
      <c r="O1311" s="206"/>
      <c r="P1311" s="206"/>
      <c r="Q1311" s="206"/>
      <c r="R1311" s="206"/>
      <c r="S1311" s="206"/>
      <c r="T1311" s="206"/>
      <c r="U1311" s="206"/>
      <c r="V1311" s="206"/>
      <c r="W1311" s="206"/>
      <c r="X1311" s="206"/>
      <c r="Y1311" s="206"/>
      <c r="Z1311" s="206"/>
      <c r="AA1311" s="206"/>
      <c r="AB1311" s="206"/>
      <c r="AC1311" s="206"/>
      <c r="AD1311" s="206"/>
      <c r="AE1311" s="206"/>
      <c r="AF1311" s="206"/>
    </row>
    <row r="1312" spans="4:32" x14ac:dyDescent="0.2">
      <c r="D1312" s="206"/>
      <c r="E1312" s="206"/>
      <c r="F1312" s="206"/>
      <c r="G1312" s="206"/>
      <c r="H1312" s="207"/>
      <c r="I1312" s="207"/>
      <c r="J1312" s="207"/>
      <c r="K1312" s="207"/>
      <c r="L1312" s="207"/>
      <c r="M1312" s="207"/>
      <c r="O1312" s="206"/>
      <c r="P1312" s="206"/>
      <c r="Q1312" s="206"/>
      <c r="R1312" s="206"/>
      <c r="S1312" s="206"/>
      <c r="T1312" s="206"/>
      <c r="U1312" s="206"/>
      <c r="V1312" s="206"/>
      <c r="W1312" s="206"/>
      <c r="X1312" s="206"/>
      <c r="Y1312" s="206"/>
      <c r="Z1312" s="206"/>
      <c r="AA1312" s="206"/>
      <c r="AB1312" s="206"/>
      <c r="AC1312" s="206"/>
      <c r="AD1312" s="206"/>
      <c r="AE1312" s="206"/>
      <c r="AF1312" s="206"/>
    </row>
    <row r="1313" spans="4:32" x14ac:dyDescent="0.2">
      <c r="D1313" s="206"/>
      <c r="E1313" s="206"/>
      <c r="F1313" s="206"/>
      <c r="G1313" s="206"/>
      <c r="H1313" s="207"/>
      <c r="I1313" s="207"/>
      <c r="J1313" s="207"/>
      <c r="K1313" s="207"/>
      <c r="L1313" s="207"/>
      <c r="M1313" s="207"/>
      <c r="O1313" s="206"/>
      <c r="P1313" s="206"/>
      <c r="Q1313" s="206"/>
      <c r="R1313" s="206"/>
      <c r="S1313" s="206"/>
      <c r="T1313" s="206"/>
      <c r="U1313" s="206"/>
      <c r="V1313" s="206"/>
      <c r="W1313" s="206"/>
      <c r="X1313" s="206"/>
      <c r="Y1313" s="206"/>
      <c r="Z1313" s="206"/>
      <c r="AA1313" s="206"/>
      <c r="AB1313" s="206"/>
      <c r="AC1313" s="206"/>
      <c r="AD1313" s="206"/>
      <c r="AE1313" s="206"/>
      <c r="AF1313" s="206"/>
    </row>
    <row r="1314" spans="4:32" x14ac:dyDescent="0.2">
      <c r="D1314" s="206"/>
      <c r="E1314" s="206"/>
      <c r="F1314" s="206"/>
      <c r="G1314" s="206"/>
      <c r="H1314" s="207"/>
      <c r="I1314" s="207"/>
      <c r="J1314" s="207"/>
      <c r="K1314" s="207"/>
      <c r="L1314" s="207"/>
      <c r="M1314" s="207"/>
      <c r="O1314" s="206"/>
      <c r="P1314" s="206"/>
      <c r="Q1314" s="206"/>
      <c r="R1314" s="206"/>
      <c r="S1314" s="206"/>
      <c r="T1314" s="206"/>
      <c r="U1314" s="206"/>
      <c r="V1314" s="206"/>
      <c r="W1314" s="206"/>
      <c r="X1314" s="206"/>
      <c r="Y1314" s="206"/>
      <c r="Z1314" s="206"/>
      <c r="AA1314" s="206"/>
      <c r="AB1314" s="206"/>
      <c r="AC1314" s="206"/>
      <c r="AD1314" s="206"/>
      <c r="AE1314" s="206"/>
      <c r="AF1314" s="206"/>
    </row>
    <row r="1315" spans="4:32" x14ac:dyDescent="0.2">
      <c r="D1315" s="206"/>
      <c r="E1315" s="206"/>
      <c r="F1315" s="206"/>
      <c r="G1315" s="206"/>
      <c r="H1315" s="207"/>
      <c r="I1315" s="207"/>
      <c r="J1315" s="207"/>
      <c r="K1315" s="207"/>
      <c r="L1315" s="207"/>
      <c r="M1315" s="207"/>
      <c r="O1315" s="206"/>
      <c r="P1315" s="206"/>
      <c r="Q1315" s="206"/>
      <c r="R1315" s="206"/>
      <c r="S1315" s="206"/>
      <c r="T1315" s="206"/>
      <c r="U1315" s="206"/>
      <c r="V1315" s="206"/>
      <c r="W1315" s="206"/>
      <c r="X1315" s="206"/>
      <c r="Y1315" s="206"/>
      <c r="Z1315" s="206"/>
      <c r="AA1315" s="206"/>
      <c r="AB1315" s="206"/>
      <c r="AC1315" s="206"/>
      <c r="AD1315" s="206"/>
      <c r="AE1315" s="206"/>
      <c r="AF1315" s="206"/>
    </row>
    <row r="1316" spans="4:32" x14ac:dyDescent="0.2">
      <c r="D1316" s="206"/>
      <c r="E1316" s="206"/>
      <c r="F1316" s="206"/>
      <c r="G1316" s="206"/>
      <c r="H1316" s="207"/>
      <c r="I1316" s="207"/>
      <c r="J1316" s="207"/>
      <c r="K1316" s="207"/>
      <c r="L1316" s="207"/>
      <c r="M1316" s="207"/>
      <c r="O1316" s="206"/>
      <c r="P1316" s="206"/>
      <c r="Q1316" s="206"/>
      <c r="R1316" s="206"/>
      <c r="S1316" s="206"/>
      <c r="T1316" s="206"/>
      <c r="U1316" s="206"/>
      <c r="V1316" s="206"/>
      <c r="W1316" s="206"/>
      <c r="X1316" s="206"/>
      <c r="Y1316" s="206"/>
      <c r="Z1316" s="206"/>
      <c r="AA1316" s="206"/>
      <c r="AB1316" s="206"/>
      <c r="AC1316" s="206"/>
      <c r="AD1316" s="206"/>
      <c r="AE1316" s="206"/>
      <c r="AF1316" s="206"/>
    </row>
    <row r="1317" spans="4:32" x14ac:dyDescent="0.2">
      <c r="D1317" s="206"/>
      <c r="E1317" s="206"/>
      <c r="F1317" s="206"/>
      <c r="G1317" s="206"/>
      <c r="H1317" s="207"/>
      <c r="I1317" s="207"/>
      <c r="J1317" s="207"/>
      <c r="K1317" s="207"/>
      <c r="L1317" s="207"/>
      <c r="M1317" s="207"/>
      <c r="O1317" s="206"/>
      <c r="P1317" s="206"/>
      <c r="Q1317" s="206"/>
      <c r="R1317" s="206"/>
      <c r="S1317" s="206"/>
      <c r="T1317" s="206"/>
      <c r="U1317" s="206"/>
      <c r="V1317" s="206"/>
      <c r="W1317" s="206"/>
      <c r="X1317" s="206"/>
      <c r="Y1317" s="206"/>
      <c r="Z1317" s="206"/>
      <c r="AA1317" s="206"/>
      <c r="AB1317" s="206"/>
      <c r="AC1317" s="206"/>
      <c r="AD1317" s="206"/>
      <c r="AE1317" s="206"/>
      <c r="AF1317" s="206"/>
    </row>
    <row r="1318" spans="4:32" x14ac:dyDescent="0.2">
      <c r="D1318" s="206"/>
      <c r="E1318" s="206"/>
      <c r="F1318" s="206"/>
      <c r="G1318" s="206"/>
      <c r="H1318" s="207"/>
      <c r="I1318" s="207"/>
      <c r="J1318" s="207"/>
      <c r="K1318" s="207"/>
      <c r="L1318" s="207"/>
      <c r="M1318" s="207"/>
      <c r="O1318" s="206"/>
      <c r="P1318" s="206"/>
      <c r="Q1318" s="206"/>
      <c r="R1318" s="206"/>
      <c r="S1318" s="206"/>
      <c r="T1318" s="206"/>
      <c r="U1318" s="206"/>
      <c r="V1318" s="206"/>
      <c r="W1318" s="206"/>
      <c r="X1318" s="206"/>
      <c r="Y1318" s="206"/>
      <c r="Z1318" s="206"/>
      <c r="AA1318" s="206"/>
      <c r="AB1318" s="206"/>
      <c r="AC1318" s="206"/>
      <c r="AD1318" s="206"/>
      <c r="AE1318" s="206"/>
      <c r="AF1318" s="206"/>
    </row>
    <row r="1319" spans="4:32" x14ac:dyDescent="0.2">
      <c r="D1319" s="206"/>
      <c r="E1319" s="206"/>
      <c r="F1319" s="206"/>
      <c r="G1319" s="206"/>
      <c r="H1319" s="207"/>
      <c r="I1319" s="207"/>
      <c r="J1319" s="207"/>
      <c r="K1319" s="207"/>
      <c r="L1319" s="207"/>
      <c r="M1319" s="207"/>
      <c r="O1319" s="206"/>
      <c r="P1319" s="206"/>
      <c r="Q1319" s="206"/>
      <c r="R1319" s="206"/>
      <c r="S1319" s="206"/>
      <c r="T1319" s="206"/>
      <c r="U1319" s="206"/>
      <c r="V1319" s="206"/>
      <c r="W1319" s="206"/>
      <c r="X1319" s="206"/>
      <c r="Y1319" s="206"/>
      <c r="Z1319" s="206"/>
      <c r="AA1319" s="206"/>
      <c r="AB1319" s="206"/>
      <c r="AC1319" s="206"/>
      <c r="AD1319" s="206"/>
      <c r="AE1319" s="206"/>
      <c r="AF1319" s="206"/>
    </row>
    <row r="1320" spans="4:32" x14ac:dyDescent="0.2">
      <c r="D1320" s="206"/>
      <c r="E1320" s="206"/>
      <c r="F1320" s="206"/>
      <c r="G1320" s="206"/>
      <c r="H1320" s="207"/>
      <c r="I1320" s="207"/>
      <c r="J1320" s="207"/>
      <c r="K1320" s="207"/>
      <c r="L1320" s="207"/>
      <c r="M1320" s="207"/>
      <c r="O1320" s="206"/>
      <c r="P1320" s="206"/>
      <c r="Q1320" s="206"/>
      <c r="R1320" s="206"/>
      <c r="S1320" s="206"/>
      <c r="T1320" s="206"/>
      <c r="U1320" s="206"/>
      <c r="V1320" s="206"/>
      <c r="W1320" s="206"/>
      <c r="X1320" s="206"/>
      <c r="Y1320" s="206"/>
      <c r="Z1320" s="206"/>
      <c r="AA1320" s="206"/>
      <c r="AB1320" s="206"/>
      <c r="AC1320" s="206"/>
      <c r="AD1320" s="206"/>
      <c r="AE1320" s="206"/>
      <c r="AF1320" s="206"/>
    </row>
    <row r="1321" spans="4:32" x14ac:dyDescent="0.2">
      <c r="D1321" s="206"/>
      <c r="E1321" s="206"/>
      <c r="F1321" s="206"/>
      <c r="G1321" s="206"/>
      <c r="H1321" s="207"/>
      <c r="I1321" s="207"/>
      <c r="J1321" s="207"/>
      <c r="K1321" s="207"/>
      <c r="L1321" s="207"/>
      <c r="M1321" s="207"/>
      <c r="O1321" s="206"/>
      <c r="P1321" s="206"/>
      <c r="Q1321" s="206"/>
      <c r="R1321" s="206"/>
      <c r="S1321" s="206"/>
      <c r="T1321" s="206"/>
      <c r="U1321" s="206"/>
      <c r="V1321" s="206"/>
      <c r="W1321" s="206"/>
      <c r="X1321" s="206"/>
      <c r="Y1321" s="206"/>
      <c r="Z1321" s="206"/>
      <c r="AA1321" s="206"/>
      <c r="AB1321" s="206"/>
      <c r="AC1321" s="206"/>
      <c r="AD1321" s="206"/>
      <c r="AE1321" s="206"/>
      <c r="AF1321" s="206"/>
    </row>
    <row r="1322" spans="4:32" x14ac:dyDescent="0.2">
      <c r="D1322" s="206"/>
      <c r="E1322" s="206"/>
      <c r="F1322" s="206"/>
      <c r="G1322" s="206"/>
      <c r="H1322" s="207"/>
      <c r="I1322" s="207"/>
      <c r="J1322" s="207"/>
      <c r="K1322" s="207"/>
      <c r="L1322" s="207"/>
      <c r="M1322" s="207"/>
      <c r="O1322" s="206"/>
      <c r="P1322" s="206"/>
      <c r="Q1322" s="206"/>
      <c r="R1322" s="206"/>
      <c r="S1322" s="206"/>
      <c r="T1322" s="206"/>
      <c r="U1322" s="206"/>
      <c r="V1322" s="206"/>
      <c r="W1322" s="206"/>
      <c r="X1322" s="206"/>
      <c r="Y1322" s="206"/>
      <c r="Z1322" s="206"/>
      <c r="AA1322" s="206"/>
      <c r="AB1322" s="206"/>
      <c r="AC1322" s="206"/>
      <c r="AD1322" s="206"/>
      <c r="AE1322" s="206"/>
      <c r="AF1322" s="206"/>
    </row>
    <row r="1323" spans="4:32" x14ac:dyDescent="0.2">
      <c r="D1323" s="206"/>
      <c r="E1323" s="206"/>
      <c r="F1323" s="206"/>
      <c r="G1323" s="206"/>
      <c r="H1323" s="207"/>
      <c r="I1323" s="207"/>
      <c r="J1323" s="207"/>
      <c r="K1323" s="207"/>
      <c r="L1323" s="207"/>
      <c r="M1323" s="207"/>
      <c r="O1323" s="206"/>
      <c r="P1323" s="206"/>
      <c r="Q1323" s="206"/>
      <c r="R1323" s="206"/>
      <c r="S1323" s="206"/>
      <c r="T1323" s="206"/>
      <c r="U1323" s="206"/>
      <c r="V1323" s="206"/>
      <c r="W1323" s="206"/>
      <c r="X1323" s="206"/>
      <c r="Y1323" s="206"/>
      <c r="Z1323" s="206"/>
      <c r="AA1323" s="206"/>
      <c r="AB1323" s="206"/>
      <c r="AC1323" s="206"/>
      <c r="AD1323" s="206"/>
      <c r="AE1323" s="206"/>
      <c r="AF1323" s="206"/>
    </row>
    <row r="1324" spans="4:32" x14ac:dyDescent="0.2">
      <c r="D1324" s="206"/>
      <c r="E1324" s="206"/>
      <c r="F1324" s="206"/>
      <c r="G1324" s="206"/>
      <c r="H1324" s="207"/>
      <c r="I1324" s="207"/>
      <c r="J1324" s="207"/>
      <c r="K1324" s="207"/>
      <c r="L1324" s="207"/>
      <c r="M1324" s="207"/>
      <c r="O1324" s="206"/>
      <c r="P1324" s="206"/>
      <c r="Q1324" s="206"/>
      <c r="R1324" s="206"/>
      <c r="S1324" s="206"/>
      <c r="T1324" s="206"/>
      <c r="U1324" s="206"/>
      <c r="V1324" s="206"/>
      <c r="W1324" s="206"/>
      <c r="X1324" s="206"/>
      <c r="Y1324" s="206"/>
      <c r="Z1324" s="206"/>
      <c r="AA1324" s="206"/>
      <c r="AB1324" s="206"/>
      <c r="AC1324" s="206"/>
      <c r="AD1324" s="206"/>
      <c r="AE1324" s="206"/>
      <c r="AF1324" s="206"/>
    </row>
    <row r="1325" spans="4:32" x14ac:dyDescent="0.2">
      <c r="D1325" s="206"/>
      <c r="E1325" s="206"/>
      <c r="F1325" s="206"/>
      <c r="G1325" s="206"/>
      <c r="H1325" s="207"/>
      <c r="I1325" s="207"/>
      <c r="J1325" s="207"/>
      <c r="K1325" s="207"/>
      <c r="L1325" s="207"/>
      <c r="M1325" s="207"/>
      <c r="O1325" s="206"/>
      <c r="P1325" s="206"/>
      <c r="Q1325" s="206"/>
      <c r="R1325" s="206"/>
      <c r="S1325" s="206"/>
      <c r="T1325" s="206"/>
      <c r="U1325" s="206"/>
      <c r="V1325" s="206"/>
      <c r="W1325" s="206"/>
      <c r="X1325" s="206"/>
      <c r="Y1325" s="206"/>
      <c r="Z1325" s="206"/>
      <c r="AA1325" s="206"/>
      <c r="AB1325" s="206"/>
      <c r="AC1325" s="206"/>
      <c r="AD1325" s="206"/>
      <c r="AE1325" s="206"/>
      <c r="AF1325" s="206"/>
    </row>
    <row r="1326" spans="4:32" x14ac:dyDescent="0.2">
      <c r="D1326" s="206"/>
      <c r="E1326" s="206"/>
      <c r="F1326" s="206"/>
      <c r="G1326" s="206"/>
      <c r="H1326" s="207"/>
      <c r="I1326" s="207"/>
      <c r="J1326" s="207"/>
      <c r="K1326" s="207"/>
      <c r="L1326" s="207"/>
      <c r="M1326" s="207"/>
      <c r="O1326" s="206"/>
      <c r="P1326" s="206"/>
      <c r="Q1326" s="206"/>
      <c r="R1326" s="206"/>
      <c r="S1326" s="206"/>
      <c r="T1326" s="206"/>
      <c r="U1326" s="206"/>
      <c r="V1326" s="206"/>
      <c r="W1326" s="206"/>
      <c r="X1326" s="206"/>
      <c r="Y1326" s="206"/>
      <c r="Z1326" s="206"/>
      <c r="AA1326" s="206"/>
      <c r="AB1326" s="206"/>
      <c r="AC1326" s="206"/>
      <c r="AD1326" s="206"/>
      <c r="AE1326" s="206"/>
      <c r="AF1326" s="206"/>
    </row>
    <row r="1327" spans="4:32" x14ac:dyDescent="0.2">
      <c r="D1327" s="206"/>
      <c r="E1327" s="206"/>
      <c r="F1327" s="206"/>
      <c r="G1327" s="206"/>
      <c r="H1327" s="207"/>
      <c r="I1327" s="207"/>
      <c r="J1327" s="207"/>
      <c r="K1327" s="207"/>
      <c r="L1327" s="207"/>
      <c r="M1327" s="207"/>
      <c r="O1327" s="206"/>
      <c r="P1327" s="206"/>
      <c r="Q1327" s="206"/>
      <c r="R1327" s="206"/>
      <c r="S1327" s="206"/>
      <c r="T1327" s="206"/>
      <c r="U1327" s="206"/>
      <c r="V1327" s="206"/>
      <c r="W1327" s="206"/>
      <c r="X1327" s="206"/>
      <c r="Y1327" s="206"/>
      <c r="Z1327" s="206"/>
      <c r="AA1327" s="206"/>
      <c r="AB1327" s="206"/>
      <c r="AC1327" s="206"/>
      <c r="AD1327" s="206"/>
      <c r="AE1327" s="206"/>
      <c r="AF1327" s="206"/>
    </row>
    <row r="1328" spans="4:32" x14ac:dyDescent="0.2">
      <c r="D1328" s="206"/>
      <c r="E1328" s="206"/>
      <c r="F1328" s="206"/>
      <c r="G1328" s="206"/>
      <c r="H1328" s="207"/>
      <c r="I1328" s="207"/>
      <c r="J1328" s="207"/>
      <c r="K1328" s="207"/>
      <c r="L1328" s="207"/>
      <c r="M1328" s="207"/>
      <c r="O1328" s="206"/>
      <c r="P1328" s="206"/>
      <c r="Q1328" s="206"/>
      <c r="R1328" s="206"/>
      <c r="S1328" s="206"/>
      <c r="T1328" s="206"/>
      <c r="U1328" s="206"/>
      <c r="V1328" s="206"/>
      <c r="W1328" s="206"/>
      <c r="X1328" s="206"/>
      <c r="Y1328" s="206"/>
      <c r="Z1328" s="206"/>
      <c r="AA1328" s="206"/>
      <c r="AB1328" s="206"/>
      <c r="AC1328" s="206"/>
      <c r="AD1328" s="206"/>
      <c r="AE1328" s="206"/>
      <c r="AF1328" s="206"/>
    </row>
    <row r="1329" spans="4:32" x14ac:dyDescent="0.2">
      <c r="D1329" s="206"/>
      <c r="E1329" s="206"/>
      <c r="F1329" s="206"/>
      <c r="G1329" s="206"/>
      <c r="H1329" s="207"/>
      <c r="I1329" s="207"/>
      <c r="J1329" s="207"/>
      <c r="K1329" s="207"/>
      <c r="L1329" s="207"/>
      <c r="M1329" s="207"/>
      <c r="O1329" s="206"/>
      <c r="P1329" s="206"/>
      <c r="Q1329" s="206"/>
      <c r="R1329" s="206"/>
      <c r="S1329" s="206"/>
      <c r="T1329" s="206"/>
      <c r="U1329" s="206"/>
      <c r="V1329" s="206"/>
      <c r="W1329" s="206"/>
      <c r="X1329" s="206"/>
      <c r="Y1329" s="206"/>
      <c r="Z1329" s="206"/>
      <c r="AA1329" s="206"/>
      <c r="AB1329" s="206"/>
      <c r="AC1329" s="206"/>
      <c r="AD1329" s="206"/>
      <c r="AE1329" s="206"/>
      <c r="AF1329" s="206"/>
    </row>
    <row r="1330" spans="4:32" x14ac:dyDescent="0.2">
      <c r="D1330" s="206"/>
      <c r="E1330" s="206"/>
      <c r="F1330" s="206"/>
      <c r="G1330" s="206"/>
      <c r="H1330" s="207"/>
      <c r="I1330" s="207"/>
      <c r="J1330" s="207"/>
      <c r="K1330" s="207"/>
      <c r="L1330" s="207"/>
      <c r="M1330" s="207"/>
      <c r="O1330" s="206"/>
      <c r="P1330" s="206"/>
      <c r="Q1330" s="206"/>
      <c r="R1330" s="206"/>
      <c r="S1330" s="206"/>
      <c r="T1330" s="206"/>
      <c r="U1330" s="206"/>
      <c r="V1330" s="206"/>
      <c r="W1330" s="206"/>
      <c r="X1330" s="206"/>
      <c r="Y1330" s="206"/>
      <c r="Z1330" s="206"/>
      <c r="AA1330" s="206"/>
      <c r="AB1330" s="206"/>
      <c r="AC1330" s="206"/>
      <c r="AD1330" s="206"/>
      <c r="AE1330" s="206"/>
      <c r="AF1330" s="206"/>
    </row>
    <row r="1331" spans="4:32" x14ac:dyDescent="0.2">
      <c r="D1331" s="206"/>
      <c r="E1331" s="206"/>
      <c r="F1331" s="206"/>
      <c r="G1331" s="206"/>
      <c r="H1331" s="207"/>
      <c r="I1331" s="207"/>
      <c r="J1331" s="207"/>
      <c r="K1331" s="207"/>
      <c r="L1331" s="207"/>
      <c r="M1331" s="207"/>
      <c r="O1331" s="206"/>
      <c r="P1331" s="206"/>
      <c r="Q1331" s="206"/>
      <c r="R1331" s="206"/>
      <c r="S1331" s="206"/>
      <c r="T1331" s="206"/>
      <c r="U1331" s="206"/>
      <c r="V1331" s="206"/>
      <c r="W1331" s="206"/>
      <c r="X1331" s="206"/>
      <c r="Y1331" s="206"/>
      <c r="Z1331" s="206"/>
      <c r="AA1331" s="206"/>
      <c r="AB1331" s="206"/>
      <c r="AC1331" s="206"/>
      <c r="AD1331" s="206"/>
      <c r="AE1331" s="206"/>
      <c r="AF1331" s="206"/>
    </row>
    <row r="1332" spans="4:32" x14ac:dyDescent="0.2">
      <c r="D1332" s="206"/>
      <c r="E1332" s="206"/>
      <c r="F1332" s="206"/>
      <c r="G1332" s="206"/>
      <c r="H1332" s="207"/>
      <c r="I1332" s="207"/>
      <c r="J1332" s="207"/>
      <c r="K1332" s="207"/>
      <c r="L1332" s="207"/>
      <c r="M1332" s="207"/>
      <c r="O1332" s="206"/>
      <c r="P1332" s="206"/>
      <c r="Q1332" s="206"/>
      <c r="R1332" s="206"/>
      <c r="S1332" s="206"/>
      <c r="T1332" s="206"/>
      <c r="U1332" s="206"/>
      <c r="V1332" s="206"/>
      <c r="W1332" s="206"/>
      <c r="X1332" s="206"/>
      <c r="Y1332" s="206"/>
      <c r="Z1332" s="206"/>
      <c r="AA1332" s="206"/>
      <c r="AB1332" s="206"/>
      <c r="AC1332" s="206"/>
      <c r="AD1332" s="206"/>
      <c r="AE1332" s="206"/>
      <c r="AF1332" s="206"/>
    </row>
    <row r="1333" spans="4:32" x14ac:dyDescent="0.2">
      <c r="D1333" s="206"/>
      <c r="E1333" s="206"/>
      <c r="F1333" s="206"/>
      <c r="G1333" s="206"/>
      <c r="H1333" s="207"/>
      <c r="I1333" s="207"/>
      <c r="J1333" s="207"/>
      <c r="K1333" s="207"/>
      <c r="L1333" s="207"/>
      <c r="M1333" s="207"/>
      <c r="O1333" s="206"/>
      <c r="P1333" s="206"/>
      <c r="Q1333" s="206"/>
      <c r="R1333" s="206"/>
      <c r="S1333" s="206"/>
      <c r="T1333" s="206"/>
      <c r="U1333" s="206"/>
      <c r="V1333" s="206"/>
      <c r="W1333" s="206"/>
      <c r="X1333" s="206"/>
      <c r="Y1333" s="206"/>
      <c r="Z1333" s="206"/>
      <c r="AA1333" s="206"/>
      <c r="AB1333" s="206"/>
      <c r="AC1333" s="206"/>
      <c r="AD1333" s="206"/>
      <c r="AE1333" s="206"/>
      <c r="AF1333" s="206"/>
    </row>
    <row r="1334" spans="4:32" x14ac:dyDescent="0.2">
      <c r="D1334" s="206"/>
      <c r="E1334" s="206"/>
      <c r="F1334" s="206"/>
      <c r="G1334" s="206"/>
      <c r="H1334" s="207"/>
      <c r="I1334" s="207"/>
      <c r="J1334" s="207"/>
      <c r="K1334" s="207"/>
      <c r="L1334" s="207"/>
      <c r="M1334" s="207"/>
      <c r="O1334" s="206"/>
      <c r="P1334" s="206"/>
      <c r="Q1334" s="206"/>
      <c r="R1334" s="206"/>
      <c r="S1334" s="206"/>
      <c r="T1334" s="206"/>
      <c r="U1334" s="206"/>
      <c r="V1334" s="206"/>
      <c r="W1334" s="206"/>
      <c r="X1334" s="206"/>
      <c r="Y1334" s="206"/>
      <c r="Z1334" s="206"/>
      <c r="AA1334" s="206"/>
      <c r="AB1334" s="206"/>
      <c r="AC1334" s="206"/>
      <c r="AD1334" s="206"/>
      <c r="AE1334" s="206"/>
      <c r="AF1334" s="206"/>
    </row>
    <row r="1335" spans="4:32" x14ac:dyDescent="0.2">
      <c r="D1335" s="206"/>
      <c r="E1335" s="206"/>
      <c r="F1335" s="206"/>
      <c r="G1335" s="206"/>
      <c r="H1335" s="207"/>
      <c r="I1335" s="207"/>
      <c r="J1335" s="207"/>
      <c r="K1335" s="207"/>
      <c r="L1335" s="207"/>
      <c r="M1335" s="207"/>
      <c r="O1335" s="206"/>
      <c r="P1335" s="206"/>
      <c r="Q1335" s="206"/>
      <c r="R1335" s="206"/>
      <c r="S1335" s="206"/>
      <c r="T1335" s="206"/>
      <c r="U1335" s="206"/>
      <c r="V1335" s="206"/>
      <c r="W1335" s="206"/>
      <c r="X1335" s="206"/>
      <c r="Y1335" s="206"/>
      <c r="Z1335" s="206"/>
      <c r="AA1335" s="206"/>
      <c r="AB1335" s="206"/>
      <c r="AC1335" s="206"/>
      <c r="AD1335" s="206"/>
      <c r="AE1335" s="206"/>
      <c r="AF1335" s="206"/>
    </row>
    <row r="1336" spans="4:32" x14ac:dyDescent="0.2">
      <c r="D1336" s="206"/>
      <c r="E1336" s="206"/>
      <c r="F1336" s="206"/>
      <c r="G1336" s="206"/>
      <c r="H1336" s="207"/>
      <c r="I1336" s="207"/>
      <c r="J1336" s="207"/>
      <c r="K1336" s="207"/>
      <c r="L1336" s="207"/>
      <c r="M1336" s="207"/>
      <c r="O1336" s="206"/>
      <c r="P1336" s="206"/>
      <c r="Q1336" s="206"/>
      <c r="R1336" s="206"/>
      <c r="S1336" s="206"/>
      <c r="T1336" s="206"/>
      <c r="U1336" s="206"/>
      <c r="V1336" s="206"/>
      <c r="W1336" s="206"/>
      <c r="X1336" s="206"/>
      <c r="Y1336" s="206"/>
      <c r="Z1336" s="206"/>
      <c r="AA1336" s="206"/>
      <c r="AB1336" s="206"/>
      <c r="AC1336" s="206"/>
      <c r="AD1336" s="206"/>
      <c r="AE1336" s="206"/>
      <c r="AF1336" s="206"/>
    </row>
    <row r="1337" spans="4:32" x14ac:dyDescent="0.2">
      <c r="D1337" s="206"/>
      <c r="E1337" s="206"/>
      <c r="F1337" s="206"/>
      <c r="G1337" s="206"/>
      <c r="H1337" s="207"/>
      <c r="I1337" s="207"/>
      <c r="J1337" s="207"/>
      <c r="K1337" s="207"/>
      <c r="L1337" s="207"/>
      <c r="M1337" s="207"/>
      <c r="O1337" s="206"/>
      <c r="P1337" s="206"/>
      <c r="Q1337" s="206"/>
      <c r="R1337" s="206"/>
      <c r="S1337" s="206"/>
      <c r="T1337" s="206"/>
      <c r="U1337" s="206"/>
      <c r="V1337" s="206"/>
      <c r="W1337" s="206"/>
      <c r="X1337" s="206"/>
      <c r="Y1337" s="206"/>
      <c r="Z1337" s="206"/>
      <c r="AA1337" s="206"/>
      <c r="AB1337" s="206"/>
      <c r="AC1337" s="206"/>
      <c r="AD1337" s="206"/>
      <c r="AE1337" s="206"/>
      <c r="AF1337" s="206"/>
    </row>
    <row r="1338" spans="4:32" x14ac:dyDescent="0.2">
      <c r="D1338" s="206"/>
      <c r="E1338" s="206"/>
      <c r="F1338" s="206"/>
      <c r="G1338" s="206"/>
      <c r="H1338" s="207"/>
      <c r="I1338" s="207"/>
      <c r="J1338" s="207"/>
      <c r="K1338" s="207"/>
      <c r="L1338" s="207"/>
      <c r="M1338" s="207"/>
      <c r="O1338" s="206"/>
      <c r="P1338" s="206"/>
      <c r="Q1338" s="206"/>
      <c r="R1338" s="206"/>
      <c r="S1338" s="206"/>
      <c r="T1338" s="206"/>
      <c r="U1338" s="206"/>
      <c r="V1338" s="206"/>
      <c r="W1338" s="206"/>
      <c r="X1338" s="206"/>
      <c r="Y1338" s="206"/>
      <c r="Z1338" s="206"/>
      <c r="AA1338" s="206"/>
      <c r="AB1338" s="206"/>
      <c r="AC1338" s="206"/>
      <c r="AD1338" s="206"/>
      <c r="AE1338" s="206"/>
      <c r="AF1338" s="206"/>
    </row>
    <row r="1339" spans="4:32" x14ac:dyDescent="0.2">
      <c r="D1339" s="206"/>
      <c r="E1339" s="206"/>
      <c r="F1339" s="206"/>
      <c r="G1339" s="206"/>
      <c r="H1339" s="207"/>
      <c r="I1339" s="207"/>
      <c r="J1339" s="207"/>
      <c r="K1339" s="207"/>
      <c r="L1339" s="207"/>
      <c r="M1339" s="207"/>
      <c r="O1339" s="206"/>
      <c r="P1339" s="206"/>
      <c r="Q1339" s="206"/>
      <c r="R1339" s="206"/>
      <c r="S1339" s="206"/>
      <c r="T1339" s="206"/>
      <c r="U1339" s="206"/>
      <c r="V1339" s="206"/>
      <c r="W1339" s="206"/>
      <c r="X1339" s="206"/>
      <c r="Y1339" s="206"/>
      <c r="Z1339" s="206"/>
      <c r="AA1339" s="206"/>
      <c r="AB1339" s="206"/>
      <c r="AC1339" s="206"/>
      <c r="AD1339" s="206"/>
      <c r="AE1339" s="206"/>
      <c r="AF1339" s="206"/>
    </row>
    <row r="1340" spans="4:32" x14ac:dyDescent="0.2">
      <c r="D1340" s="206"/>
      <c r="E1340" s="206"/>
      <c r="F1340" s="206"/>
      <c r="G1340" s="206"/>
      <c r="H1340" s="207"/>
      <c r="I1340" s="207"/>
      <c r="J1340" s="207"/>
      <c r="K1340" s="207"/>
      <c r="L1340" s="207"/>
      <c r="M1340" s="207"/>
      <c r="O1340" s="206"/>
      <c r="P1340" s="206"/>
      <c r="Q1340" s="206"/>
      <c r="R1340" s="206"/>
      <c r="S1340" s="206"/>
      <c r="T1340" s="206"/>
      <c r="U1340" s="206"/>
      <c r="V1340" s="206"/>
      <c r="W1340" s="206"/>
      <c r="X1340" s="206"/>
      <c r="Y1340" s="206"/>
      <c r="Z1340" s="206"/>
      <c r="AA1340" s="206"/>
      <c r="AB1340" s="206"/>
      <c r="AC1340" s="206"/>
      <c r="AD1340" s="206"/>
      <c r="AE1340" s="206"/>
      <c r="AF1340" s="206"/>
    </row>
    <row r="1341" spans="4:32" x14ac:dyDescent="0.2">
      <c r="D1341" s="206"/>
      <c r="E1341" s="206"/>
      <c r="F1341" s="206"/>
      <c r="G1341" s="206"/>
      <c r="H1341" s="207"/>
      <c r="I1341" s="207"/>
      <c r="J1341" s="207"/>
      <c r="K1341" s="207"/>
      <c r="L1341" s="207"/>
      <c r="M1341" s="207"/>
      <c r="O1341" s="206"/>
      <c r="P1341" s="206"/>
      <c r="Q1341" s="206"/>
      <c r="R1341" s="206"/>
      <c r="S1341" s="206"/>
      <c r="T1341" s="206"/>
      <c r="U1341" s="206"/>
      <c r="V1341" s="206"/>
      <c r="W1341" s="206"/>
      <c r="X1341" s="206"/>
      <c r="Y1341" s="206"/>
      <c r="Z1341" s="206"/>
      <c r="AA1341" s="206"/>
      <c r="AB1341" s="206"/>
      <c r="AC1341" s="206"/>
      <c r="AD1341" s="206"/>
      <c r="AE1341" s="206"/>
      <c r="AF1341" s="206"/>
    </row>
    <row r="1342" spans="4:32" x14ac:dyDescent="0.2">
      <c r="D1342" s="206"/>
      <c r="E1342" s="206"/>
      <c r="F1342" s="206"/>
      <c r="G1342" s="206"/>
      <c r="H1342" s="207"/>
      <c r="I1342" s="207"/>
      <c r="J1342" s="207"/>
      <c r="K1342" s="207"/>
      <c r="L1342" s="207"/>
      <c r="M1342" s="207"/>
      <c r="O1342" s="206"/>
      <c r="P1342" s="206"/>
      <c r="Q1342" s="206"/>
      <c r="R1342" s="206"/>
      <c r="S1342" s="206"/>
      <c r="T1342" s="206"/>
      <c r="U1342" s="206"/>
      <c r="V1342" s="206"/>
      <c r="W1342" s="206"/>
      <c r="X1342" s="206"/>
      <c r="Y1342" s="206"/>
      <c r="Z1342" s="206"/>
      <c r="AA1342" s="206"/>
      <c r="AB1342" s="206"/>
      <c r="AC1342" s="206"/>
      <c r="AD1342" s="206"/>
      <c r="AE1342" s="206"/>
      <c r="AF1342" s="206"/>
    </row>
  </sheetData>
  <sheetProtection algorithmName="SHA-512" hashValue="mBup8E01jGx4B0i54udKgvfxeVczTAggLb53XUyFX+9l8gZcv7K2bXckAbhh1k+mwtc4sX5rwulxqQ4p4srTqg==" saltValue="C3qOXnvxfRuzvt3bLx8slA==" spinCount="100000" sheet="1" objects="1" scenarios="1"/>
  <phoneticPr fontId="0" type="noConversion"/>
  <pageMargins left="0.74803149606299213" right="0.74803149606299213" top="0.98425196850393704" bottom="0.98425196850393704" header="0.51181102362204722" footer="0.51181102362204722"/>
  <pageSetup paperSize="9" scale="55" orientation="portrait" r:id="rId1"/>
  <headerFooter alignWithMargins="0">
    <oddHeader>&amp;L&amp;"Arial,Vet"&amp;F&amp;R&amp;"Arial,Vet"&amp;A</oddHeader>
    <oddFooter>&amp;L&amp;"Arial,Vet"PO-Raad&amp;C&amp;"Arial,Vet"&amp;D&amp;R&amp;"Arial,Vet"pagina &amp;P</oddFooter>
  </headerFooter>
  <rowBreaks count="1" manualBreakCount="1">
    <brk id="86" min="1" max="1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dimension ref="B1:AS494"/>
  <sheetViews>
    <sheetView showGridLines="0" zoomScale="80" zoomScaleNormal="80" workbookViewId="0">
      <pane ySplit="7" topLeftCell="A8" activePane="bottomLeft" state="frozen"/>
      <selection activeCell="B2" sqref="B2"/>
      <selection pane="bottomLeft" activeCell="B2" sqref="B2"/>
    </sheetView>
  </sheetViews>
  <sheetFormatPr defaultColWidth="9.140625" defaultRowHeight="12.75" x14ac:dyDescent="0.2"/>
  <cols>
    <col min="1" max="1" width="3.7109375" style="48" customWidth="1"/>
    <col min="2" max="3" width="2.7109375" style="48" customWidth="1"/>
    <col min="4" max="4" width="8.7109375" style="208" customWidth="1"/>
    <col min="5" max="5" width="20.7109375" style="209" customWidth="1"/>
    <col min="6" max="6" width="8.7109375" style="127" customWidth="1"/>
    <col min="7" max="7" width="8.7109375" style="210" customWidth="1"/>
    <col min="8" max="9" width="8.7109375" style="211" customWidth="1"/>
    <col min="10" max="10" width="8.7109375" style="212" customWidth="1"/>
    <col min="11" max="11" width="0.85546875" style="48" customWidth="1"/>
    <col min="12" max="14" width="11" style="211" customWidth="1"/>
    <col min="15" max="15" width="11" style="870" hidden="1" customWidth="1"/>
    <col min="16" max="16" width="11" style="211" customWidth="1"/>
    <col min="17" max="17" width="0.85546875" style="48" customWidth="1"/>
    <col min="18" max="19" width="10.85546875" style="48" customWidth="1"/>
    <col min="20" max="20" width="10.85546875" style="328" customWidth="1"/>
    <col min="21" max="22" width="2.7109375" style="48" customWidth="1"/>
    <col min="23" max="24" width="21.140625" style="48" customWidth="1"/>
    <col min="25" max="25" width="8.85546875" style="880" customWidth="1"/>
    <col min="26" max="29" width="10.7109375" style="882" customWidth="1"/>
    <col min="30" max="31" width="8.85546875" style="881" customWidth="1"/>
    <col min="32" max="32" width="8.85546875" style="882" customWidth="1"/>
    <col min="33" max="33" width="8.7109375" style="925" customWidth="1"/>
    <col min="34" max="34" width="8.7109375" style="975" customWidth="1"/>
    <col min="35" max="40" width="8.85546875" style="882" customWidth="1"/>
    <col min="41" max="41" width="8.85546875" style="884" customWidth="1"/>
    <col min="42" max="42" width="8.85546875" style="883" customWidth="1"/>
    <col min="43" max="45" width="8.85546875" style="882" customWidth="1"/>
    <col min="46" max="46" width="10.7109375" style="48" customWidth="1"/>
    <col min="47" max="48" width="2.7109375" style="48" customWidth="1"/>
    <col min="49" max="54" width="9.28515625" style="48" bestFit="1" customWidth="1"/>
    <col min="55" max="16384" width="9.140625" style="48"/>
  </cols>
  <sheetData>
    <row r="1" spans="2:45" ht="12.75" customHeight="1" x14ac:dyDescent="0.2"/>
    <row r="2" spans="2:45" x14ac:dyDescent="0.2">
      <c r="B2" s="43"/>
      <c r="C2" s="44"/>
      <c r="D2" s="217"/>
      <c r="E2" s="218"/>
      <c r="F2" s="128"/>
      <c r="G2" s="219"/>
      <c r="H2" s="220"/>
      <c r="I2" s="220"/>
      <c r="J2" s="221"/>
      <c r="K2" s="44"/>
      <c r="L2" s="220"/>
      <c r="M2" s="220"/>
      <c r="N2" s="220"/>
      <c r="O2" s="871"/>
      <c r="P2" s="220"/>
      <c r="Q2" s="44"/>
      <c r="R2" s="44"/>
      <c r="S2" s="44"/>
      <c r="T2" s="622"/>
      <c r="U2" s="44"/>
      <c r="V2" s="47"/>
    </row>
    <row r="3" spans="2:45" x14ac:dyDescent="0.2">
      <c r="B3" s="49"/>
      <c r="C3" s="50"/>
      <c r="D3" s="223"/>
      <c r="E3" s="176"/>
      <c r="F3" s="129"/>
      <c r="G3" s="224"/>
      <c r="H3" s="225"/>
      <c r="I3" s="225"/>
      <c r="J3" s="226"/>
      <c r="K3" s="50"/>
      <c r="L3" s="225"/>
      <c r="M3" s="225"/>
      <c r="N3" s="225"/>
      <c r="O3" s="872"/>
      <c r="P3" s="225"/>
      <c r="Q3" s="50"/>
      <c r="R3" s="50"/>
      <c r="S3" s="50"/>
      <c r="T3" s="308"/>
      <c r="U3" s="50"/>
      <c r="V3" s="53"/>
    </row>
    <row r="4" spans="2:45" s="229" customFormat="1" ht="18.75" x14ac:dyDescent="0.3">
      <c r="B4" s="230"/>
      <c r="C4" s="674" t="s">
        <v>296</v>
      </c>
      <c r="D4" s="231"/>
      <c r="E4" s="232"/>
      <c r="F4" s="233"/>
      <c r="G4" s="234"/>
      <c r="H4" s="235"/>
      <c r="I4" s="988"/>
      <c r="J4" s="991"/>
      <c r="K4" s="992"/>
      <c r="L4" s="988"/>
      <c r="M4" s="988"/>
      <c r="N4" s="235"/>
      <c r="O4" s="873"/>
      <c r="P4" s="235"/>
      <c r="Q4" s="237"/>
      <c r="R4" s="237"/>
      <c r="S4" s="237"/>
      <c r="T4" s="623"/>
      <c r="U4" s="237"/>
      <c r="V4" s="238"/>
      <c r="X4" s="996"/>
      <c r="Y4" s="910"/>
      <c r="Z4" s="890"/>
      <c r="AA4" s="890"/>
      <c r="AB4" s="890"/>
      <c r="AC4" s="890"/>
      <c r="AD4" s="887"/>
      <c r="AE4" s="887"/>
      <c r="AF4" s="890"/>
      <c r="AG4" s="976"/>
      <c r="AH4" s="977"/>
      <c r="AI4" s="885"/>
      <c r="AJ4" s="885"/>
      <c r="AK4" s="885"/>
      <c r="AL4" s="886"/>
      <c r="AM4" s="887"/>
      <c r="AN4" s="888"/>
      <c r="AO4" s="889"/>
      <c r="AP4" s="886"/>
      <c r="AQ4" s="890"/>
      <c r="AR4" s="890"/>
      <c r="AS4" s="890"/>
    </row>
    <row r="5" spans="2:45" s="244" customFormat="1" ht="18.75" x14ac:dyDescent="0.3">
      <c r="B5" s="245"/>
      <c r="C5" s="246" t="str">
        <f>geg!G12</f>
        <v>voorbeeld Basisschool</v>
      </c>
      <c r="D5" s="247"/>
      <c r="E5" s="248"/>
      <c r="F5" s="999"/>
      <c r="G5" s="250"/>
      <c r="H5" s="251"/>
      <c r="I5" s="988"/>
      <c r="J5" s="991"/>
      <c r="K5" s="992"/>
      <c r="L5" s="988"/>
      <c r="M5" s="988"/>
      <c r="N5" s="251"/>
      <c r="O5" s="873"/>
      <c r="P5" s="251"/>
      <c r="Q5" s="253"/>
      <c r="R5" s="253"/>
      <c r="S5" s="253"/>
      <c r="T5" s="624"/>
      <c r="U5" s="253"/>
      <c r="V5" s="254"/>
      <c r="X5" s="996"/>
      <c r="Y5" s="910"/>
      <c r="Z5" s="890"/>
      <c r="AA5" s="890"/>
      <c r="AB5" s="890"/>
      <c r="AC5" s="890"/>
      <c r="AD5" s="887"/>
      <c r="AE5" s="887"/>
      <c r="AF5" s="890"/>
      <c r="AG5" s="976"/>
      <c r="AH5" s="977"/>
      <c r="AI5" s="885"/>
      <c r="AJ5" s="885"/>
      <c r="AK5" s="885"/>
      <c r="AL5" s="886"/>
      <c r="AM5" s="887"/>
      <c r="AN5" s="888"/>
      <c r="AO5" s="889"/>
      <c r="AP5" s="886"/>
      <c r="AQ5" s="890"/>
      <c r="AR5" s="890"/>
      <c r="AS5" s="890"/>
    </row>
    <row r="6" spans="2:45" ht="12.75" customHeight="1" x14ac:dyDescent="0.2">
      <c r="B6" s="49"/>
      <c r="C6" s="50"/>
      <c r="D6" s="223"/>
      <c r="E6" s="176"/>
      <c r="F6" s="999"/>
      <c r="G6" s="224"/>
      <c r="H6" s="225"/>
      <c r="I6" s="989"/>
      <c r="J6" s="990"/>
      <c r="K6" s="331"/>
      <c r="L6" s="989"/>
      <c r="M6" s="989"/>
      <c r="N6" s="225"/>
      <c r="O6" s="872"/>
      <c r="P6" s="225"/>
      <c r="Q6" s="50"/>
      <c r="R6" s="50"/>
      <c r="S6" s="50"/>
      <c r="T6" s="308"/>
      <c r="U6" s="50"/>
      <c r="V6" s="53"/>
      <c r="X6" s="996"/>
      <c r="AI6" s="891"/>
      <c r="AJ6" s="891"/>
      <c r="AK6" s="891"/>
      <c r="AL6" s="892"/>
      <c r="AM6" s="881"/>
      <c r="AN6" s="893"/>
      <c r="AO6" s="894"/>
      <c r="AP6" s="892"/>
    </row>
    <row r="7" spans="2:45" s="262" customFormat="1" ht="12.75" customHeight="1" x14ac:dyDescent="0.25">
      <c r="B7" s="263"/>
      <c r="C7" s="264"/>
      <c r="D7" s="265"/>
      <c r="E7" s="266"/>
      <c r="F7" s="1000"/>
      <c r="G7" s="267"/>
      <c r="H7" s="268"/>
      <c r="I7" s="989"/>
      <c r="J7" s="990"/>
      <c r="K7" s="331"/>
      <c r="L7" s="989"/>
      <c r="M7" s="989"/>
      <c r="N7" s="268"/>
      <c r="O7" s="874"/>
      <c r="P7" s="268"/>
      <c r="Q7" s="264"/>
      <c r="R7" s="264"/>
      <c r="S7" s="264"/>
      <c r="T7" s="625"/>
      <c r="U7" s="264"/>
      <c r="V7" s="269"/>
      <c r="X7" s="997"/>
      <c r="Y7" s="997"/>
      <c r="Z7" s="900"/>
      <c r="AA7" s="900"/>
      <c r="AB7" s="900"/>
      <c r="AC7" s="900"/>
      <c r="AD7" s="897"/>
      <c r="AE7" s="897"/>
      <c r="AF7" s="900"/>
      <c r="AG7" s="978"/>
      <c r="AH7" s="979"/>
      <c r="AI7" s="895"/>
      <c r="AJ7" s="895"/>
      <c r="AK7" s="895"/>
      <c r="AL7" s="896"/>
      <c r="AM7" s="897"/>
      <c r="AN7" s="898"/>
      <c r="AO7" s="899"/>
      <c r="AP7" s="896"/>
      <c r="AQ7" s="900"/>
      <c r="AR7" s="900"/>
      <c r="AS7" s="900"/>
    </row>
    <row r="8" spans="2:45" ht="12.75" customHeight="1" x14ac:dyDescent="0.2">
      <c r="B8" s="49"/>
      <c r="C8" s="50"/>
      <c r="D8" s="223"/>
      <c r="E8" s="176"/>
      <c r="F8" s="129"/>
      <c r="G8" s="224"/>
      <c r="H8" s="129"/>
      <c r="I8" s="225"/>
      <c r="J8" s="226"/>
      <c r="K8" s="176"/>
      <c r="L8" s="225"/>
      <c r="M8" s="225"/>
      <c r="N8" s="225"/>
      <c r="O8" s="872"/>
      <c r="P8" s="225"/>
      <c r="Q8" s="176"/>
      <c r="R8" s="308"/>
      <c r="S8" s="308"/>
      <c r="T8" s="308"/>
      <c r="U8" s="309"/>
      <c r="V8" s="301"/>
      <c r="W8" s="296"/>
      <c r="X8" s="296"/>
      <c r="Y8" s="881"/>
      <c r="Z8" s="909"/>
      <c r="AA8" s="909"/>
      <c r="AB8" s="909"/>
      <c r="AC8" s="909"/>
      <c r="AE8" s="911"/>
      <c r="AF8" s="909"/>
      <c r="AG8" s="933"/>
      <c r="AH8" s="981"/>
      <c r="AO8" s="882"/>
      <c r="AP8" s="882"/>
      <c r="AQ8" s="906"/>
      <c r="AR8" s="905"/>
    </row>
    <row r="9" spans="2:45" ht="12.75" customHeight="1" x14ac:dyDescent="0.2">
      <c r="B9" s="49"/>
      <c r="C9" s="50"/>
      <c r="D9" s="223"/>
      <c r="E9" s="176"/>
      <c r="F9" s="129"/>
      <c r="G9" s="224"/>
      <c r="H9" s="129"/>
      <c r="I9" s="225"/>
      <c r="J9" s="226"/>
      <c r="K9" s="176"/>
      <c r="L9" s="225"/>
      <c r="M9" s="225"/>
      <c r="N9" s="225"/>
      <c r="O9" s="872"/>
      <c r="P9" s="225"/>
      <c r="Q9" s="176"/>
      <c r="R9" s="308"/>
      <c r="S9" s="308"/>
      <c r="T9" s="308"/>
      <c r="U9" s="309"/>
      <c r="V9" s="301"/>
      <c r="W9" s="296"/>
      <c r="X9" s="296"/>
      <c r="Y9" s="881"/>
      <c r="Z9" s="909"/>
      <c r="AA9" s="909"/>
      <c r="AB9" s="909"/>
      <c r="AC9" s="909"/>
      <c r="AE9" s="911"/>
      <c r="AF9" s="909"/>
      <c r="AG9" s="933"/>
      <c r="AH9" s="981"/>
      <c r="AO9" s="882"/>
      <c r="AP9" s="882"/>
      <c r="AQ9" s="906"/>
      <c r="AR9" s="905"/>
    </row>
    <row r="10" spans="2:45" ht="12.75" customHeight="1" x14ac:dyDescent="0.2">
      <c r="B10" s="49"/>
      <c r="C10" s="50" t="s">
        <v>165</v>
      </c>
      <c r="D10" s="223"/>
      <c r="E10" s="310" t="str">
        <f>tab!E2</f>
        <v>2019/20</v>
      </c>
      <c r="F10" s="129"/>
      <c r="G10" s="224"/>
      <c r="H10" s="129"/>
      <c r="I10" s="225"/>
      <c r="J10" s="226"/>
      <c r="K10" s="176"/>
      <c r="L10" s="225"/>
      <c r="M10" s="225"/>
      <c r="N10" s="225"/>
      <c r="O10" s="872"/>
      <c r="P10" s="225"/>
      <c r="Q10" s="176"/>
      <c r="R10" s="308"/>
      <c r="S10" s="308"/>
      <c r="T10" s="308"/>
      <c r="U10" s="309"/>
      <c r="V10" s="311"/>
      <c r="W10" s="296"/>
      <c r="X10" s="296"/>
      <c r="Y10" s="881"/>
      <c r="Z10" s="909"/>
      <c r="AA10" s="909"/>
      <c r="AB10" s="909"/>
      <c r="AC10" s="909"/>
      <c r="AE10" s="911"/>
      <c r="AF10" s="909"/>
      <c r="AG10" s="933"/>
      <c r="AH10" s="981"/>
      <c r="AO10" s="882"/>
      <c r="AP10" s="882"/>
      <c r="AQ10" s="906"/>
      <c r="AR10" s="905"/>
    </row>
    <row r="11" spans="2:45" ht="12.75" customHeight="1" x14ac:dyDescent="0.2">
      <c r="B11" s="49"/>
      <c r="C11" s="176" t="s">
        <v>187</v>
      </c>
      <c r="D11" s="223"/>
      <c r="E11" s="270">
        <f>tab!F3</f>
        <v>43739</v>
      </c>
      <c r="F11" s="129"/>
      <c r="G11" s="224"/>
      <c r="H11" s="129"/>
      <c r="I11" s="225"/>
      <c r="J11" s="226"/>
      <c r="K11" s="176"/>
      <c r="L11" s="225"/>
      <c r="M11" s="225"/>
      <c r="N11" s="225"/>
      <c r="O11" s="872"/>
      <c r="P11" s="225"/>
      <c r="Q11" s="176"/>
      <c r="R11" s="308"/>
      <c r="S11" s="308"/>
      <c r="T11" s="308"/>
      <c r="U11" s="309"/>
      <c r="V11" s="311"/>
      <c r="W11" s="296"/>
      <c r="X11" s="296"/>
      <c r="Y11" s="881"/>
      <c r="Z11" s="909"/>
      <c r="AA11" s="909"/>
      <c r="AB11" s="909"/>
      <c r="AC11" s="909"/>
      <c r="AE11" s="911"/>
      <c r="AF11" s="909"/>
      <c r="AG11" s="933"/>
      <c r="AH11" s="981"/>
      <c r="AO11" s="882"/>
      <c r="AP11" s="882"/>
      <c r="AQ11" s="906"/>
      <c r="AR11" s="905"/>
    </row>
    <row r="12" spans="2:45" ht="12.75" customHeight="1" x14ac:dyDescent="0.2">
      <c r="B12" s="49"/>
      <c r="C12" s="50"/>
      <c r="D12" s="223"/>
      <c r="E12" s="176"/>
      <c r="F12" s="129"/>
      <c r="G12" s="224"/>
      <c r="H12" s="129"/>
      <c r="I12" s="225"/>
      <c r="J12" s="226"/>
      <c r="K12" s="176"/>
      <c r="L12" s="225"/>
      <c r="M12" s="225"/>
      <c r="N12" s="225"/>
      <c r="O12" s="872"/>
      <c r="P12" s="225"/>
      <c r="Q12" s="176"/>
      <c r="R12" s="308"/>
      <c r="S12" s="308"/>
      <c r="T12" s="308"/>
      <c r="U12" s="309"/>
      <c r="V12" s="301"/>
      <c r="W12" s="296"/>
      <c r="X12" s="296"/>
      <c r="Y12" s="881"/>
      <c r="Z12" s="909"/>
      <c r="AA12" s="909"/>
      <c r="AB12" s="909"/>
      <c r="AC12" s="909"/>
      <c r="AE12" s="911"/>
      <c r="AF12" s="909"/>
      <c r="AG12" s="933"/>
      <c r="AH12" s="981"/>
      <c r="AO12" s="882"/>
      <c r="AP12" s="882"/>
      <c r="AQ12" s="906"/>
      <c r="AR12" s="905"/>
    </row>
    <row r="13" spans="2:45" s="312" customFormat="1" ht="12.75" customHeight="1" x14ac:dyDescent="0.2">
      <c r="B13" s="313"/>
      <c r="C13" s="66"/>
      <c r="D13" s="722"/>
      <c r="E13" s="723"/>
      <c r="F13" s="704"/>
      <c r="G13" s="725"/>
      <c r="H13" s="726"/>
      <c r="I13" s="726"/>
      <c r="J13" s="727"/>
      <c r="K13" s="728"/>
      <c r="L13" s="726"/>
      <c r="M13" s="726"/>
      <c r="N13" s="726"/>
      <c r="O13" s="878"/>
      <c r="P13" s="726"/>
      <c r="Q13" s="728"/>
      <c r="R13" s="728"/>
      <c r="S13" s="728"/>
      <c r="T13" s="729"/>
      <c r="U13" s="119"/>
      <c r="V13" s="314"/>
      <c r="Y13" s="880"/>
      <c r="Z13" s="882"/>
      <c r="AA13" s="882"/>
      <c r="AB13" s="882"/>
      <c r="AC13" s="882"/>
      <c r="AD13" s="881"/>
      <c r="AE13" s="911"/>
      <c r="AF13" s="882"/>
      <c r="AG13" s="925"/>
      <c r="AH13" s="975"/>
      <c r="AI13" s="891"/>
      <c r="AJ13" s="891"/>
      <c r="AK13" s="891"/>
      <c r="AL13" s="892"/>
      <c r="AM13" s="881"/>
      <c r="AN13" s="893"/>
      <c r="AO13" s="894"/>
      <c r="AP13" s="892"/>
      <c r="AQ13" s="882"/>
      <c r="AR13" s="882"/>
      <c r="AS13" s="882"/>
    </row>
    <row r="14" spans="2:45" s="275" customFormat="1" ht="12.75" customHeight="1" x14ac:dyDescent="0.2">
      <c r="B14" s="276"/>
      <c r="C14" s="277"/>
      <c r="D14" s="864" t="s">
        <v>298</v>
      </c>
      <c r="E14" s="865"/>
      <c r="F14" s="865"/>
      <c r="G14" s="865"/>
      <c r="H14" s="866"/>
      <c r="I14" s="866"/>
      <c r="J14" s="866"/>
      <c r="K14" s="968"/>
      <c r="L14" s="864" t="s">
        <v>492</v>
      </c>
      <c r="M14" s="858"/>
      <c r="N14" s="864"/>
      <c r="O14" s="864"/>
      <c r="P14" s="951"/>
      <c r="Q14" s="730"/>
      <c r="R14" s="864" t="s">
        <v>494</v>
      </c>
      <c r="S14" s="866"/>
      <c r="T14" s="935"/>
      <c r="U14" s="746"/>
      <c r="V14" s="278"/>
      <c r="W14" s="279"/>
      <c r="X14" s="279"/>
      <c r="Y14" s="882"/>
      <c r="Z14" s="913"/>
      <c r="AA14" s="882"/>
      <c r="AB14" s="882"/>
      <c r="AC14" s="882"/>
      <c r="AD14" s="912"/>
      <c r="AE14" s="912"/>
      <c r="AF14" s="913"/>
      <c r="AG14" s="933"/>
      <c r="AH14" s="941"/>
      <c r="AI14" s="923"/>
      <c r="AJ14" s="923"/>
      <c r="AK14" s="923"/>
      <c r="AL14" s="923"/>
      <c r="AM14" s="923"/>
      <c r="AN14" s="884"/>
      <c r="AO14" s="884"/>
      <c r="AP14" s="884"/>
      <c r="AQ14" s="901"/>
      <c r="AR14" s="901"/>
      <c r="AS14" s="884"/>
    </row>
    <row r="15" spans="2:45" s="275" customFormat="1" ht="12.75" customHeight="1" x14ac:dyDescent="0.2">
      <c r="B15" s="276"/>
      <c r="C15" s="277"/>
      <c r="D15" s="693" t="s">
        <v>480</v>
      </c>
      <c r="E15" s="693" t="s">
        <v>171</v>
      </c>
      <c r="F15" s="732" t="s">
        <v>119</v>
      </c>
      <c r="G15" s="733" t="s">
        <v>289</v>
      </c>
      <c r="H15" s="732" t="s">
        <v>201</v>
      </c>
      <c r="I15" s="732" t="s">
        <v>229</v>
      </c>
      <c r="J15" s="734" t="s">
        <v>122</v>
      </c>
      <c r="K15" s="969"/>
      <c r="L15" s="735" t="s">
        <v>475</v>
      </c>
      <c r="M15" s="735" t="s">
        <v>468</v>
      </c>
      <c r="N15" s="735" t="s">
        <v>482</v>
      </c>
      <c r="O15" s="735" t="s">
        <v>475</v>
      </c>
      <c r="P15" s="952" t="s">
        <v>487</v>
      </c>
      <c r="Q15" s="702"/>
      <c r="R15" s="863" t="s">
        <v>186</v>
      </c>
      <c r="S15" s="737" t="s">
        <v>493</v>
      </c>
      <c r="T15" s="738" t="s">
        <v>186</v>
      </c>
      <c r="U15" s="747"/>
      <c r="V15" s="281"/>
      <c r="W15" s="282"/>
      <c r="X15" s="282"/>
      <c r="Y15" s="914" t="s">
        <v>322</v>
      </c>
      <c r="Z15" s="960" t="s">
        <v>479</v>
      </c>
      <c r="AA15" s="903" t="s">
        <v>488</v>
      </c>
      <c r="AB15" s="903" t="s">
        <v>488</v>
      </c>
      <c r="AC15" s="903" t="s">
        <v>491</v>
      </c>
      <c r="AD15" s="915" t="s">
        <v>473</v>
      </c>
      <c r="AE15" s="915" t="s">
        <v>474</v>
      </c>
      <c r="AF15" s="902" t="s">
        <v>470</v>
      </c>
      <c r="AG15" s="934" t="s">
        <v>306</v>
      </c>
      <c r="AH15" s="941" t="s">
        <v>415</v>
      </c>
      <c r="AI15" s="902" t="s">
        <v>292</v>
      </c>
      <c r="AJ15" s="902" t="s">
        <v>293</v>
      </c>
      <c r="AK15" s="902" t="s">
        <v>121</v>
      </c>
      <c r="AL15" s="902" t="s">
        <v>198</v>
      </c>
      <c r="AM15" s="915" t="s">
        <v>173</v>
      </c>
      <c r="AN15" s="884"/>
      <c r="AO15" s="884"/>
      <c r="AP15" s="884"/>
      <c r="AQ15" s="901"/>
      <c r="AR15" s="903"/>
      <c r="AS15" s="884"/>
    </row>
    <row r="16" spans="2:45" s="275" customFormat="1" ht="12.75" customHeight="1" x14ac:dyDescent="0.2">
      <c r="B16" s="276"/>
      <c r="C16" s="277"/>
      <c r="D16" s="865"/>
      <c r="E16" s="693"/>
      <c r="F16" s="732" t="s">
        <v>120</v>
      </c>
      <c r="G16" s="733" t="s">
        <v>290</v>
      </c>
      <c r="H16" s="732"/>
      <c r="I16" s="732"/>
      <c r="J16" s="734"/>
      <c r="K16" s="969"/>
      <c r="L16" s="735" t="s">
        <v>476</v>
      </c>
      <c r="M16" s="735" t="s">
        <v>478</v>
      </c>
      <c r="N16" s="735" t="s">
        <v>483</v>
      </c>
      <c r="O16" s="735" t="s">
        <v>477</v>
      </c>
      <c r="P16" s="952" t="s">
        <v>284</v>
      </c>
      <c r="Q16" s="702"/>
      <c r="R16" s="706" t="s">
        <v>485</v>
      </c>
      <c r="S16" s="737" t="s">
        <v>469</v>
      </c>
      <c r="T16" s="738" t="s">
        <v>284</v>
      </c>
      <c r="U16" s="710"/>
      <c r="V16" s="58"/>
      <c r="W16" s="81"/>
      <c r="X16" s="81"/>
      <c r="Y16" s="914" t="s">
        <v>193</v>
      </c>
      <c r="Z16" s="961">
        <f>tab!$D$62</f>
        <v>0.6</v>
      </c>
      <c r="AA16" s="903" t="s">
        <v>489</v>
      </c>
      <c r="AB16" s="903" t="s">
        <v>490</v>
      </c>
      <c r="AC16" s="903" t="s">
        <v>486</v>
      </c>
      <c r="AD16" s="915" t="s">
        <v>472</v>
      </c>
      <c r="AE16" s="915" t="s">
        <v>472</v>
      </c>
      <c r="AF16" s="902" t="s">
        <v>471</v>
      </c>
      <c r="AG16" s="934"/>
      <c r="AH16" s="940" t="s">
        <v>228</v>
      </c>
      <c r="AI16" s="915" t="s">
        <v>291</v>
      </c>
      <c r="AJ16" s="915" t="s">
        <v>291</v>
      </c>
      <c r="AK16" s="902"/>
      <c r="AL16" s="902" t="s">
        <v>173</v>
      </c>
      <c r="AM16" s="915"/>
      <c r="AN16" s="884"/>
      <c r="AO16" s="884"/>
      <c r="AP16" s="884"/>
      <c r="AQ16" s="884"/>
      <c r="AR16" s="904"/>
      <c r="AS16" s="884"/>
    </row>
    <row r="17" spans="2:44" ht="12.75" customHeight="1" x14ac:dyDescent="0.2">
      <c r="B17" s="49"/>
      <c r="C17" s="69"/>
      <c r="D17" s="136"/>
      <c r="E17" s="70"/>
      <c r="F17" s="283"/>
      <c r="G17" s="284"/>
      <c r="H17" s="285"/>
      <c r="I17" s="285"/>
      <c r="J17" s="286"/>
      <c r="K17" s="283"/>
      <c r="L17" s="283"/>
      <c r="M17" s="283"/>
      <c r="N17" s="283"/>
      <c r="O17" s="875"/>
      <c r="P17" s="283"/>
      <c r="Q17" s="283"/>
      <c r="R17" s="287"/>
      <c r="S17" s="287"/>
      <c r="T17" s="363"/>
      <c r="U17" s="120"/>
      <c r="V17" s="53"/>
      <c r="Y17" s="914"/>
      <c r="Z17" s="901"/>
      <c r="AA17" s="901"/>
      <c r="AB17" s="901"/>
      <c r="AC17" s="901"/>
      <c r="AD17" s="915"/>
      <c r="AE17" s="915"/>
      <c r="AF17" s="901"/>
      <c r="AG17" s="934"/>
      <c r="AH17" s="980"/>
      <c r="AO17" s="882"/>
      <c r="AP17" s="882"/>
      <c r="AR17" s="905"/>
    </row>
    <row r="18" spans="2:44" ht="12.75" customHeight="1" x14ac:dyDescent="0.2">
      <c r="B18" s="49"/>
      <c r="C18" s="69"/>
      <c r="D18" s="289"/>
      <c r="E18" s="75" t="s">
        <v>386</v>
      </c>
      <c r="F18" s="88">
        <v>23</v>
      </c>
      <c r="G18" s="290"/>
      <c r="H18" s="99" t="s">
        <v>124</v>
      </c>
      <c r="I18" s="99">
        <v>3</v>
      </c>
      <c r="J18" s="291">
        <v>0</v>
      </c>
      <c r="K18" s="292"/>
      <c r="L18" s="868"/>
      <c r="M18" s="868"/>
      <c r="N18" s="867">
        <f t="shared" ref="N18:N27" si="0">IF(J18="","",IF((J18*40)&gt;40,40,((J18*40))))</f>
        <v>0</v>
      </c>
      <c r="O18" s="867"/>
      <c r="P18" s="953">
        <f t="shared" ref="P18:P27" si="1">IF(J18="","",(SUM(L18:O18)))</f>
        <v>0</v>
      </c>
      <c r="Q18" s="70"/>
      <c r="R18" s="739">
        <f t="shared" ref="R18:R27" si="2">IF(J18="","",(((1659*J18)-P18)*AB18))</f>
        <v>0</v>
      </c>
      <c r="S18" s="739">
        <f t="shared" ref="S18:S27" si="3">IF(J18="","",(P18*AC18)+(AA18*AD18)+((AE18*AA18*(1-AF18))))</f>
        <v>0</v>
      </c>
      <c r="T18" s="740">
        <f t="shared" ref="T18:T27" si="4">IF(J18="","",(R18+S18))</f>
        <v>0</v>
      </c>
      <c r="U18" s="275"/>
      <c r="V18" s="293"/>
      <c r="W18" s="288"/>
      <c r="X18" s="288"/>
      <c r="Y18" s="908">
        <f t="shared" ref="Y18:Y27" si="5">IF(H18="",0,5/12*VLOOKUP(H18,salaris2019,I18+1,FALSE)+7/12*VLOOKUP(H18,salaris2020,I18+1,FALSE))</f>
        <v>3447</v>
      </c>
      <c r="Z18" s="986">
        <f>tab!$D$62</f>
        <v>0.6</v>
      </c>
      <c r="AA18" s="944">
        <f>(Y18*12/1659)</f>
        <v>24.933092224231466</v>
      </c>
      <c r="AB18" s="944">
        <f>(Y18*12*(1+Z18))/1659</f>
        <v>39.892947558770352</v>
      </c>
      <c r="AC18" s="944">
        <f>AB18-AA18</f>
        <v>14.959855334538886</v>
      </c>
      <c r="AD18" s="943">
        <f t="shared" ref="AD18:AD27" si="6">(N18+O18)</f>
        <v>0</v>
      </c>
      <c r="AE18" s="943">
        <f t="shared" ref="AE18:AE27" si="7">(L18+M18)</f>
        <v>0</v>
      </c>
      <c r="AF18" s="916">
        <f>IF(H18&gt;8,tab!$D$63,tab!$D$65)</f>
        <v>0.5</v>
      </c>
      <c r="AG18" s="925">
        <f t="shared" ref="AG18:AG27" si="8">IF(F18&lt;25,0,IF(F18=25,25,IF(F18&lt;40,0,IF(F18=40,40,IF(F18&gt;=40,0)))))</f>
        <v>0</v>
      </c>
      <c r="AH18" s="980">
        <f t="shared" ref="AH18:AH27" si="9">IF(AG18=25,(Y18*1.08*(J18)/2),IF(AG18=40,(Y18*1.08*(J18)),IF(AG18=0,0)))</f>
        <v>0</v>
      </c>
      <c r="AM18" s="907"/>
    </row>
    <row r="19" spans="2:44" ht="12.75" customHeight="1" x14ac:dyDescent="0.2">
      <c r="B19" s="49"/>
      <c r="C19" s="69"/>
      <c r="D19" s="289"/>
      <c r="E19" s="75"/>
      <c r="F19" s="88"/>
      <c r="G19" s="290"/>
      <c r="H19" s="99"/>
      <c r="I19" s="99"/>
      <c r="J19" s="291"/>
      <c r="K19" s="292"/>
      <c r="L19" s="868"/>
      <c r="M19" s="868"/>
      <c r="N19" s="867" t="str">
        <f t="shared" si="0"/>
        <v/>
      </c>
      <c r="O19" s="867"/>
      <c r="P19" s="953" t="str">
        <f t="shared" si="1"/>
        <v/>
      </c>
      <c r="Q19" s="70"/>
      <c r="R19" s="739" t="str">
        <f t="shared" si="2"/>
        <v/>
      </c>
      <c r="S19" s="739" t="str">
        <f t="shared" si="3"/>
        <v/>
      </c>
      <c r="T19" s="740" t="str">
        <f t="shared" si="4"/>
        <v/>
      </c>
      <c r="U19" s="275"/>
      <c r="V19" s="293"/>
      <c r="W19" s="288"/>
      <c r="X19" s="288"/>
      <c r="Y19" s="908">
        <f t="shared" si="5"/>
        <v>0</v>
      </c>
      <c r="Z19" s="986">
        <f>tab!$D$62</f>
        <v>0.6</v>
      </c>
      <c r="AA19" s="944">
        <f t="shared" ref="AA19:AA28" si="10">(Y19*12/1659)</f>
        <v>0</v>
      </c>
      <c r="AB19" s="944">
        <f t="shared" ref="AB19:AB27" si="11">(Y19*12*(1+Z19))/1659</f>
        <v>0</v>
      </c>
      <c r="AC19" s="944">
        <f t="shared" ref="AC19:AC27" si="12">AB19-AA19</f>
        <v>0</v>
      </c>
      <c r="AD19" s="943" t="e">
        <f t="shared" si="6"/>
        <v>#VALUE!</v>
      </c>
      <c r="AE19" s="943">
        <f t="shared" si="7"/>
        <v>0</v>
      </c>
      <c r="AF19" s="916">
        <f>IF(H19&gt;8,tab!$D$63,tab!$D$65)</f>
        <v>0.4</v>
      </c>
      <c r="AG19" s="925">
        <f t="shared" si="8"/>
        <v>0</v>
      </c>
      <c r="AH19" s="980">
        <f t="shared" si="9"/>
        <v>0</v>
      </c>
      <c r="AM19" s="907"/>
    </row>
    <row r="20" spans="2:44" ht="12.75" customHeight="1" x14ac:dyDescent="0.2">
      <c r="B20" s="49"/>
      <c r="C20" s="69"/>
      <c r="D20" s="289"/>
      <c r="E20" s="75"/>
      <c r="F20" s="88"/>
      <c r="G20" s="290"/>
      <c r="H20" s="99"/>
      <c r="I20" s="99"/>
      <c r="J20" s="291"/>
      <c r="K20" s="292"/>
      <c r="L20" s="868"/>
      <c r="M20" s="868"/>
      <c r="N20" s="867" t="str">
        <f t="shared" si="0"/>
        <v/>
      </c>
      <c r="O20" s="867"/>
      <c r="P20" s="953" t="str">
        <f t="shared" si="1"/>
        <v/>
      </c>
      <c r="Q20" s="70"/>
      <c r="R20" s="739" t="str">
        <f t="shared" si="2"/>
        <v/>
      </c>
      <c r="S20" s="739" t="str">
        <f t="shared" si="3"/>
        <v/>
      </c>
      <c r="T20" s="740" t="str">
        <f t="shared" si="4"/>
        <v/>
      </c>
      <c r="U20" s="275"/>
      <c r="V20" s="293"/>
      <c r="W20" s="288"/>
      <c r="X20" s="288"/>
      <c r="Y20" s="908">
        <f t="shared" si="5"/>
        <v>0</v>
      </c>
      <c r="Z20" s="986">
        <f>tab!$D$62</f>
        <v>0.6</v>
      </c>
      <c r="AA20" s="944">
        <f t="shared" si="10"/>
        <v>0</v>
      </c>
      <c r="AB20" s="944">
        <f t="shared" si="11"/>
        <v>0</v>
      </c>
      <c r="AC20" s="944">
        <f t="shared" si="12"/>
        <v>0</v>
      </c>
      <c r="AD20" s="943" t="e">
        <f t="shared" si="6"/>
        <v>#VALUE!</v>
      </c>
      <c r="AE20" s="943">
        <f t="shared" si="7"/>
        <v>0</v>
      </c>
      <c r="AF20" s="916">
        <f>IF(H20&gt;8,tab!$D$63,tab!$D$65)</f>
        <v>0.4</v>
      </c>
      <c r="AG20" s="925">
        <f t="shared" si="8"/>
        <v>0</v>
      </c>
      <c r="AH20" s="980">
        <f t="shared" si="9"/>
        <v>0</v>
      </c>
      <c r="AM20" s="907"/>
    </row>
    <row r="21" spans="2:44" ht="12.75" customHeight="1" x14ac:dyDescent="0.2">
      <c r="B21" s="49"/>
      <c r="C21" s="69"/>
      <c r="D21" s="289"/>
      <c r="E21" s="75"/>
      <c r="F21" s="88"/>
      <c r="G21" s="290"/>
      <c r="H21" s="99"/>
      <c r="I21" s="99"/>
      <c r="J21" s="291"/>
      <c r="K21" s="292"/>
      <c r="L21" s="868"/>
      <c r="M21" s="868"/>
      <c r="N21" s="867" t="str">
        <f t="shared" si="0"/>
        <v/>
      </c>
      <c r="O21" s="867"/>
      <c r="P21" s="953" t="str">
        <f t="shared" si="1"/>
        <v/>
      </c>
      <c r="Q21" s="70"/>
      <c r="R21" s="739" t="str">
        <f t="shared" si="2"/>
        <v/>
      </c>
      <c r="S21" s="739" t="str">
        <f t="shared" si="3"/>
        <v/>
      </c>
      <c r="T21" s="740" t="str">
        <f t="shared" si="4"/>
        <v/>
      </c>
      <c r="U21" s="275"/>
      <c r="V21" s="293"/>
      <c r="W21" s="288"/>
      <c r="X21" s="288"/>
      <c r="Y21" s="908">
        <f t="shared" si="5"/>
        <v>0</v>
      </c>
      <c r="Z21" s="986">
        <f>tab!$D$62</f>
        <v>0.6</v>
      </c>
      <c r="AA21" s="944">
        <f t="shared" si="10"/>
        <v>0</v>
      </c>
      <c r="AB21" s="944">
        <f t="shared" si="11"/>
        <v>0</v>
      </c>
      <c r="AC21" s="944">
        <f t="shared" si="12"/>
        <v>0</v>
      </c>
      <c r="AD21" s="943" t="e">
        <f t="shared" si="6"/>
        <v>#VALUE!</v>
      </c>
      <c r="AE21" s="943">
        <f t="shared" si="7"/>
        <v>0</v>
      </c>
      <c r="AF21" s="916">
        <f>IF(H21&gt;8,tab!$D$63,tab!$D$65)</f>
        <v>0.4</v>
      </c>
      <c r="AG21" s="925">
        <f t="shared" si="8"/>
        <v>0</v>
      </c>
      <c r="AH21" s="980">
        <f t="shared" si="9"/>
        <v>0</v>
      </c>
      <c r="AM21" s="907"/>
    </row>
    <row r="22" spans="2:44" ht="12.75" customHeight="1" x14ac:dyDescent="0.2">
      <c r="B22" s="49"/>
      <c r="C22" s="69"/>
      <c r="D22" s="289"/>
      <c r="E22" s="75"/>
      <c r="F22" s="88"/>
      <c r="G22" s="290"/>
      <c r="H22" s="99"/>
      <c r="I22" s="99"/>
      <c r="J22" s="291"/>
      <c r="K22" s="292"/>
      <c r="L22" s="868"/>
      <c r="M22" s="868"/>
      <c r="N22" s="867" t="str">
        <f t="shared" si="0"/>
        <v/>
      </c>
      <c r="O22" s="867"/>
      <c r="P22" s="953" t="str">
        <f t="shared" si="1"/>
        <v/>
      </c>
      <c r="Q22" s="70"/>
      <c r="R22" s="739" t="str">
        <f t="shared" si="2"/>
        <v/>
      </c>
      <c r="S22" s="739" t="str">
        <f t="shared" si="3"/>
        <v/>
      </c>
      <c r="T22" s="740" t="str">
        <f t="shared" si="4"/>
        <v/>
      </c>
      <c r="U22" s="275"/>
      <c r="V22" s="293"/>
      <c r="W22" s="288"/>
      <c r="X22" s="288"/>
      <c r="Y22" s="908">
        <f t="shared" si="5"/>
        <v>0</v>
      </c>
      <c r="Z22" s="986">
        <f>tab!$D$62</f>
        <v>0.6</v>
      </c>
      <c r="AA22" s="944">
        <f t="shared" si="10"/>
        <v>0</v>
      </c>
      <c r="AB22" s="944">
        <f t="shared" si="11"/>
        <v>0</v>
      </c>
      <c r="AC22" s="944">
        <f t="shared" si="12"/>
        <v>0</v>
      </c>
      <c r="AD22" s="943" t="e">
        <f t="shared" si="6"/>
        <v>#VALUE!</v>
      </c>
      <c r="AE22" s="943">
        <f t="shared" si="7"/>
        <v>0</v>
      </c>
      <c r="AF22" s="916">
        <f>IF(H22&gt;8,tab!$D$63,tab!$D$65)</f>
        <v>0.4</v>
      </c>
      <c r="AG22" s="925">
        <f t="shared" si="8"/>
        <v>0</v>
      </c>
      <c r="AH22" s="980">
        <f t="shared" si="9"/>
        <v>0</v>
      </c>
      <c r="AM22" s="907"/>
    </row>
    <row r="23" spans="2:44" ht="12.75" customHeight="1" x14ac:dyDescent="0.2">
      <c r="B23" s="49"/>
      <c r="C23" s="69"/>
      <c r="D23" s="289"/>
      <c r="E23" s="75"/>
      <c r="F23" s="88"/>
      <c r="G23" s="290"/>
      <c r="H23" s="99"/>
      <c r="I23" s="99"/>
      <c r="J23" s="291"/>
      <c r="K23" s="292"/>
      <c r="L23" s="868"/>
      <c r="M23" s="868"/>
      <c r="N23" s="867" t="str">
        <f t="shared" si="0"/>
        <v/>
      </c>
      <c r="O23" s="867"/>
      <c r="P23" s="953" t="str">
        <f t="shared" si="1"/>
        <v/>
      </c>
      <c r="Q23" s="70"/>
      <c r="R23" s="739" t="str">
        <f t="shared" si="2"/>
        <v/>
      </c>
      <c r="S23" s="739" t="str">
        <f t="shared" si="3"/>
        <v/>
      </c>
      <c r="T23" s="740" t="str">
        <f t="shared" si="4"/>
        <v/>
      </c>
      <c r="U23" s="275"/>
      <c r="V23" s="293"/>
      <c r="W23" s="288"/>
      <c r="X23" s="288"/>
      <c r="Y23" s="908">
        <f t="shared" si="5"/>
        <v>0</v>
      </c>
      <c r="Z23" s="986">
        <f>tab!$D$62</f>
        <v>0.6</v>
      </c>
      <c r="AA23" s="944">
        <f t="shared" si="10"/>
        <v>0</v>
      </c>
      <c r="AB23" s="944">
        <f t="shared" si="11"/>
        <v>0</v>
      </c>
      <c r="AC23" s="944">
        <f t="shared" si="12"/>
        <v>0</v>
      </c>
      <c r="AD23" s="943" t="e">
        <f t="shared" si="6"/>
        <v>#VALUE!</v>
      </c>
      <c r="AE23" s="943">
        <f t="shared" si="7"/>
        <v>0</v>
      </c>
      <c r="AF23" s="916">
        <f>IF(H23&gt;8,tab!$D$63,tab!$D$65)</f>
        <v>0.4</v>
      </c>
      <c r="AG23" s="925">
        <f t="shared" si="8"/>
        <v>0</v>
      </c>
      <c r="AH23" s="980">
        <f t="shared" si="9"/>
        <v>0</v>
      </c>
      <c r="AM23" s="907"/>
    </row>
    <row r="24" spans="2:44" ht="12.75" customHeight="1" x14ac:dyDescent="0.2">
      <c r="B24" s="49"/>
      <c r="C24" s="69"/>
      <c r="D24" s="289"/>
      <c r="E24" s="75"/>
      <c r="F24" s="88"/>
      <c r="G24" s="290"/>
      <c r="H24" s="99"/>
      <c r="I24" s="99"/>
      <c r="J24" s="291"/>
      <c r="K24" s="292"/>
      <c r="L24" s="868"/>
      <c r="M24" s="868"/>
      <c r="N24" s="867" t="str">
        <f t="shared" si="0"/>
        <v/>
      </c>
      <c r="O24" s="867"/>
      <c r="P24" s="953" t="str">
        <f t="shared" si="1"/>
        <v/>
      </c>
      <c r="Q24" s="70"/>
      <c r="R24" s="739" t="str">
        <f t="shared" si="2"/>
        <v/>
      </c>
      <c r="S24" s="739" t="str">
        <f t="shared" si="3"/>
        <v/>
      </c>
      <c r="T24" s="740" t="str">
        <f t="shared" si="4"/>
        <v/>
      </c>
      <c r="U24" s="275"/>
      <c r="V24" s="293"/>
      <c r="W24" s="288"/>
      <c r="X24" s="288"/>
      <c r="Y24" s="908">
        <f t="shared" si="5"/>
        <v>0</v>
      </c>
      <c r="Z24" s="986">
        <f>tab!$D$62</f>
        <v>0.6</v>
      </c>
      <c r="AA24" s="944">
        <f t="shared" si="10"/>
        <v>0</v>
      </c>
      <c r="AB24" s="944">
        <f t="shared" si="11"/>
        <v>0</v>
      </c>
      <c r="AC24" s="944">
        <f t="shared" si="12"/>
        <v>0</v>
      </c>
      <c r="AD24" s="943" t="e">
        <f t="shared" si="6"/>
        <v>#VALUE!</v>
      </c>
      <c r="AE24" s="943">
        <f t="shared" si="7"/>
        <v>0</v>
      </c>
      <c r="AF24" s="916">
        <f>IF(H24&gt;8,tab!$D$63,tab!$D$65)</f>
        <v>0.4</v>
      </c>
      <c r="AG24" s="925">
        <f t="shared" si="8"/>
        <v>0</v>
      </c>
      <c r="AH24" s="980">
        <f t="shared" si="9"/>
        <v>0</v>
      </c>
      <c r="AM24" s="907"/>
    </row>
    <row r="25" spans="2:44" ht="12.75" customHeight="1" x14ac:dyDescent="0.2">
      <c r="B25" s="49"/>
      <c r="C25" s="69"/>
      <c r="D25" s="289"/>
      <c r="E25" s="75"/>
      <c r="F25" s="88"/>
      <c r="G25" s="290"/>
      <c r="H25" s="99"/>
      <c r="I25" s="99"/>
      <c r="J25" s="291"/>
      <c r="K25" s="292"/>
      <c r="L25" s="868"/>
      <c r="M25" s="868"/>
      <c r="N25" s="867" t="str">
        <f t="shared" si="0"/>
        <v/>
      </c>
      <c r="O25" s="867"/>
      <c r="P25" s="953" t="str">
        <f t="shared" si="1"/>
        <v/>
      </c>
      <c r="Q25" s="70"/>
      <c r="R25" s="739" t="str">
        <f t="shared" si="2"/>
        <v/>
      </c>
      <c r="S25" s="739" t="str">
        <f t="shared" si="3"/>
        <v/>
      </c>
      <c r="T25" s="740" t="str">
        <f t="shared" si="4"/>
        <v/>
      </c>
      <c r="U25" s="275"/>
      <c r="V25" s="293"/>
      <c r="W25" s="288"/>
      <c r="X25" s="288"/>
      <c r="Y25" s="908">
        <f t="shared" si="5"/>
        <v>0</v>
      </c>
      <c r="Z25" s="986">
        <f>tab!$D$62</f>
        <v>0.6</v>
      </c>
      <c r="AA25" s="944">
        <f t="shared" si="10"/>
        <v>0</v>
      </c>
      <c r="AB25" s="944">
        <f t="shared" si="11"/>
        <v>0</v>
      </c>
      <c r="AC25" s="944">
        <f t="shared" si="12"/>
        <v>0</v>
      </c>
      <c r="AD25" s="943" t="e">
        <f t="shared" si="6"/>
        <v>#VALUE!</v>
      </c>
      <c r="AE25" s="943">
        <f t="shared" si="7"/>
        <v>0</v>
      </c>
      <c r="AF25" s="916">
        <f>IF(H25&gt;8,tab!$D$63,tab!$D$65)</f>
        <v>0.4</v>
      </c>
      <c r="AG25" s="925">
        <f t="shared" si="8"/>
        <v>0</v>
      </c>
      <c r="AH25" s="980">
        <f t="shared" si="9"/>
        <v>0</v>
      </c>
      <c r="AM25" s="907"/>
    </row>
    <row r="26" spans="2:44" ht="12.75" customHeight="1" x14ac:dyDescent="0.2">
      <c r="B26" s="49"/>
      <c r="C26" s="69"/>
      <c r="D26" s="289"/>
      <c r="E26" s="75"/>
      <c r="F26" s="88"/>
      <c r="G26" s="290"/>
      <c r="H26" s="99"/>
      <c r="I26" s="99"/>
      <c r="J26" s="291"/>
      <c r="K26" s="292"/>
      <c r="L26" s="868"/>
      <c r="M26" s="868"/>
      <c r="N26" s="867" t="str">
        <f t="shared" si="0"/>
        <v/>
      </c>
      <c r="O26" s="867"/>
      <c r="P26" s="953" t="str">
        <f t="shared" si="1"/>
        <v/>
      </c>
      <c r="Q26" s="70"/>
      <c r="R26" s="739" t="str">
        <f t="shared" si="2"/>
        <v/>
      </c>
      <c r="S26" s="739" t="str">
        <f t="shared" si="3"/>
        <v/>
      </c>
      <c r="T26" s="740" t="str">
        <f t="shared" si="4"/>
        <v/>
      </c>
      <c r="U26" s="275"/>
      <c r="V26" s="293"/>
      <c r="W26" s="288"/>
      <c r="X26" s="288"/>
      <c r="Y26" s="908">
        <f t="shared" si="5"/>
        <v>0</v>
      </c>
      <c r="Z26" s="986">
        <f>tab!$D$62</f>
        <v>0.6</v>
      </c>
      <c r="AA26" s="944">
        <f t="shared" si="10"/>
        <v>0</v>
      </c>
      <c r="AB26" s="944">
        <f t="shared" si="11"/>
        <v>0</v>
      </c>
      <c r="AC26" s="944">
        <f t="shared" si="12"/>
        <v>0</v>
      </c>
      <c r="AD26" s="943" t="e">
        <f t="shared" si="6"/>
        <v>#VALUE!</v>
      </c>
      <c r="AE26" s="943">
        <f t="shared" si="7"/>
        <v>0</v>
      </c>
      <c r="AF26" s="916">
        <f>IF(H26&gt;8,tab!$D$63,tab!$D$65)</f>
        <v>0.4</v>
      </c>
      <c r="AG26" s="925">
        <f t="shared" si="8"/>
        <v>0</v>
      </c>
      <c r="AH26" s="980">
        <f t="shared" si="9"/>
        <v>0</v>
      </c>
      <c r="AM26" s="907"/>
    </row>
    <row r="27" spans="2:44" ht="12.75" customHeight="1" x14ac:dyDescent="0.2">
      <c r="B27" s="49"/>
      <c r="C27" s="69"/>
      <c r="D27" s="289"/>
      <c r="E27" s="75"/>
      <c r="F27" s="88"/>
      <c r="G27" s="290"/>
      <c r="H27" s="99"/>
      <c r="I27" s="99"/>
      <c r="J27" s="291"/>
      <c r="K27" s="292"/>
      <c r="L27" s="868"/>
      <c r="M27" s="868"/>
      <c r="N27" s="867" t="str">
        <f t="shared" si="0"/>
        <v/>
      </c>
      <c r="O27" s="867"/>
      <c r="P27" s="953" t="str">
        <f t="shared" si="1"/>
        <v/>
      </c>
      <c r="Q27" s="70"/>
      <c r="R27" s="739" t="str">
        <f t="shared" si="2"/>
        <v/>
      </c>
      <c r="S27" s="739" t="str">
        <f t="shared" si="3"/>
        <v/>
      </c>
      <c r="T27" s="740" t="str">
        <f t="shared" si="4"/>
        <v/>
      </c>
      <c r="U27" s="275"/>
      <c r="V27" s="293"/>
      <c r="W27" s="288"/>
      <c r="X27" s="288"/>
      <c r="Y27" s="908">
        <f t="shared" si="5"/>
        <v>0</v>
      </c>
      <c r="Z27" s="986">
        <f>tab!$D$62</f>
        <v>0.6</v>
      </c>
      <c r="AA27" s="944">
        <f t="shared" si="10"/>
        <v>0</v>
      </c>
      <c r="AB27" s="944">
        <f t="shared" si="11"/>
        <v>0</v>
      </c>
      <c r="AC27" s="944">
        <f t="shared" si="12"/>
        <v>0</v>
      </c>
      <c r="AD27" s="943" t="e">
        <f t="shared" si="6"/>
        <v>#VALUE!</v>
      </c>
      <c r="AE27" s="943">
        <f t="shared" si="7"/>
        <v>0</v>
      </c>
      <c r="AF27" s="916">
        <f>IF(H27&gt;8,tab!$D$63,tab!$D$65)</f>
        <v>0.4</v>
      </c>
      <c r="AG27" s="925">
        <f t="shared" si="8"/>
        <v>0</v>
      </c>
      <c r="AH27" s="980">
        <f t="shared" si="9"/>
        <v>0</v>
      </c>
      <c r="AM27" s="907"/>
    </row>
    <row r="28" spans="2:44" ht="12.75" customHeight="1" x14ac:dyDescent="0.2">
      <c r="B28" s="49"/>
      <c r="C28" s="69"/>
      <c r="D28" s="297"/>
      <c r="E28" s="89"/>
      <c r="F28" s="298"/>
      <c r="G28" s="299"/>
      <c r="H28" s="74"/>
      <c r="I28" s="74"/>
      <c r="J28" s="742">
        <f>SUM(J18:J27)</f>
        <v>0</v>
      </c>
      <c r="K28" s="107"/>
      <c r="L28" s="869">
        <f>SUM(L18:L27)</f>
        <v>0</v>
      </c>
      <c r="M28" s="869">
        <f>SUM(M18:M27)</f>
        <v>0</v>
      </c>
      <c r="N28" s="869">
        <f>SUM(N18:N27)</f>
        <v>0</v>
      </c>
      <c r="O28" s="876"/>
      <c r="P28" s="869">
        <f>SUM(P18:P27)</f>
        <v>0</v>
      </c>
      <c r="Q28" s="107"/>
      <c r="R28" s="743">
        <f>SUM(R18:R27)</f>
        <v>0</v>
      </c>
      <c r="S28" s="743">
        <f>SUM(S18:S27)</f>
        <v>0</v>
      </c>
      <c r="T28" s="743">
        <f>SUM(T18:T27)</f>
        <v>0</v>
      </c>
      <c r="U28" s="295"/>
      <c r="V28" s="53"/>
      <c r="Y28" s="909">
        <f>SUM(Y18:Y27)</f>
        <v>3447</v>
      </c>
      <c r="Z28" s="909"/>
      <c r="AA28" s="909">
        <f t="shared" si="10"/>
        <v>24.933092224231466</v>
      </c>
      <c r="AB28" s="909"/>
      <c r="AC28" s="909"/>
      <c r="AD28" s="917" t="e">
        <f>SUM(AD18:AD27)</f>
        <v>#VALUE!</v>
      </c>
      <c r="AE28" s="930">
        <f>SUM(AE18:AE27)</f>
        <v>0</v>
      </c>
      <c r="AF28" s="909"/>
      <c r="AG28" s="933">
        <f>SUM(AG18:AG27)</f>
        <v>0</v>
      </c>
      <c r="AH28" s="981">
        <f>SUM(AH18:AH27)</f>
        <v>0</v>
      </c>
      <c r="AM28" s="907"/>
    </row>
    <row r="29" spans="2:44" ht="12.75" customHeight="1" x14ac:dyDescent="0.2">
      <c r="B29" s="49"/>
      <c r="C29" s="76"/>
      <c r="D29" s="302"/>
      <c r="E29" s="107"/>
      <c r="F29" s="143"/>
      <c r="G29" s="303"/>
      <c r="H29" s="143"/>
      <c r="I29" s="304"/>
      <c r="J29" s="305"/>
      <c r="K29" s="107"/>
      <c r="L29" s="304"/>
      <c r="M29" s="304"/>
      <c r="N29" s="304"/>
      <c r="O29" s="877"/>
      <c r="P29" s="304"/>
      <c r="Q29" s="107"/>
      <c r="R29" s="300"/>
      <c r="S29" s="300"/>
      <c r="T29" s="300"/>
      <c r="U29" s="307"/>
      <c r="V29" s="53"/>
      <c r="Y29" s="881"/>
      <c r="Z29" s="909"/>
      <c r="AA29" s="909"/>
      <c r="AB29" s="909"/>
      <c r="AC29" s="909"/>
      <c r="AE29" s="911"/>
      <c r="AF29" s="909"/>
      <c r="AG29" s="933"/>
      <c r="AH29" s="981"/>
      <c r="AM29" s="907"/>
    </row>
    <row r="30" spans="2:44" ht="12.75" customHeight="1" x14ac:dyDescent="0.2">
      <c r="B30" s="124"/>
      <c r="C30" s="125"/>
      <c r="D30" s="316"/>
      <c r="E30" s="317"/>
      <c r="F30" s="318"/>
      <c r="G30" s="319"/>
      <c r="H30" s="318"/>
      <c r="I30" s="320"/>
      <c r="J30" s="321"/>
      <c r="K30" s="125"/>
      <c r="L30" s="322"/>
      <c r="M30" s="322"/>
      <c r="N30" s="322"/>
      <c r="O30" s="879"/>
      <c r="P30" s="322"/>
      <c r="Q30" s="125"/>
      <c r="R30" s="323"/>
      <c r="S30" s="323"/>
      <c r="T30" s="627"/>
      <c r="U30" s="125"/>
      <c r="V30" s="126"/>
      <c r="Y30" s="908"/>
      <c r="Z30" s="905"/>
      <c r="AA30" s="905"/>
      <c r="AB30" s="905"/>
      <c r="AC30" s="905"/>
      <c r="AD30" s="892"/>
      <c r="AE30" s="911"/>
      <c r="AF30" s="905"/>
      <c r="AH30" s="980"/>
    </row>
    <row r="31" spans="2:44" ht="12.75" customHeight="1" x14ac:dyDescent="0.2">
      <c r="B31" s="43"/>
      <c r="C31" s="44"/>
      <c r="D31" s="217"/>
      <c r="E31" s="218"/>
      <c r="F31" s="128"/>
      <c r="G31" s="219"/>
      <c r="H31" s="128"/>
      <c r="I31" s="220"/>
      <c r="J31" s="1056"/>
      <c r="K31" s="44"/>
      <c r="L31" s="221"/>
      <c r="M31" s="221"/>
      <c r="N31" s="221"/>
      <c r="O31" s="1092"/>
      <c r="P31" s="221"/>
      <c r="Q31" s="44"/>
      <c r="R31" s="349"/>
      <c r="S31" s="349"/>
      <c r="T31" s="1058"/>
      <c r="U31" s="44"/>
      <c r="V31" s="47"/>
      <c r="Y31" s="908"/>
      <c r="Z31" s="905"/>
      <c r="AA31" s="905"/>
      <c r="AB31" s="905"/>
      <c r="AC31" s="905"/>
      <c r="AD31" s="892"/>
      <c r="AE31" s="911"/>
      <c r="AF31" s="905"/>
      <c r="AH31" s="980"/>
    </row>
    <row r="32" spans="2:44" ht="12.75" customHeight="1" x14ac:dyDescent="0.2">
      <c r="B32" s="49"/>
      <c r="C32" s="50"/>
      <c r="D32" s="223"/>
      <c r="E32" s="176"/>
      <c r="F32" s="129"/>
      <c r="G32" s="224"/>
      <c r="H32" s="129"/>
      <c r="I32" s="225"/>
      <c r="J32" s="351"/>
      <c r="K32" s="50"/>
      <c r="L32" s="226"/>
      <c r="M32" s="226"/>
      <c r="N32" s="226"/>
      <c r="O32" s="1080"/>
      <c r="P32" s="226"/>
      <c r="Q32" s="50"/>
      <c r="R32" s="352"/>
      <c r="S32" s="352"/>
      <c r="T32" s="629"/>
      <c r="U32" s="50"/>
      <c r="V32" s="53"/>
      <c r="Y32" s="908"/>
      <c r="Z32" s="905"/>
      <c r="AA32" s="905"/>
      <c r="AB32" s="905"/>
      <c r="AC32" s="905"/>
      <c r="AD32" s="892"/>
      <c r="AE32" s="911"/>
      <c r="AF32" s="905"/>
      <c r="AH32" s="980"/>
    </row>
    <row r="33" spans="2:45" ht="12.75" customHeight="1" x14ac:dyDescent="0.2">
      <c r="B33" s="49"/>
      <c r="C33" s="50"/>
      <c r="D33" s="223"/>
      <c r="E33" s="176"/>
      <c r="F33" s="129"/>
      <c r="G33" s="224"/>
      <c r="H33" s="129"/>
      <c r="I33" s="225"/>
      <c r="J33" s="351"/>
      <c r="K33" s="50"/>
      <c r="L33" s="226"/>
      <c r="M33" s="226"/>
      <c r="N33" s="226"/>
      <c r="O33" s="1080"/>
      <c r="P33" s="226"/>
      <c r="Q33" s="50"/>
      <c r="R33" s="352"/>
      <c r="S33" s="352"/>
      <c r="T33" s="629"/>
      <c r="U33" s="50"/>
      <c r="V33" s="53"/>
      <c r="Y33" s="908"/>
      <c r="Z33" s="905"/>
      <c r="AA33" s="905"/>
      <c r="AB33" s="905"/>
      <c r="AC33" s="905"/>
      <c r="AD33" s="892"/>
      <c r="AE33" s="911"/>
      <c r="AF33" s="905"/>
      <c r="AH33" s="980"/>
    </row>
    <row r="34" spans="2:45" ht="12.75" customHeight="1" x14ac:dyDescent="0.2">
      <c r="B34" s="49"/>
      <c r="C34" s="50" t="s">
        <v>165</v>
      </c>
      <c r="D34" s="223"/>
      <c r="E34" s="310" t="str">
        <f>tab!F2</f>
        <v>2020/21</v>
      </c>
      <c r="F34" s="129"/>
      <c r="G34" s="224"/>
      <c r="H34" s="129"/>
      <c r="I34" s="225"/>
      <c r="J34" s="351"/>
      <c r="K34" s="50"/>
      <c r="L34" s="226"/>
      <c r="M34" s="226"/>
      <c r="N34" s="226"/>
      <c r="O34" s="1080"/>
      <c r="P34" s="226"/>
      <c r="Q34" s="50"/>
      <c r="R34" s="352"/>
      <c r="S34" s="352"/>
      <c r="T34" s="629"/>
      <c r="U34" s="50"/>
      <c r="V34" s="53"/>
      <c r="Y34" s="908"/>
      <c r="Z34" s="905"/>
      <c r="AA34" s="905"/>
      <c r="AB34" s="905"/>
      <c r="AC34" s="905"/>
      <c r="AD34" s="892"/>
      <c r="AE34" s="911"/>
      <c r="AF34" s="905"/>
      <c r="AH34" s="980"/>
    </row>
    <row r="35" spans="2:45" ht="12.75" customHeight="1" x14ac:dyDescent="0.2">
      <c r="B35" s="49"/>
      <c r="C35" s="176" t="s">
        <v>187</v>
      </c>
      <c r="D35" s="223"/>
      <c r="E35" s="270">
        <f>tab!G3</f>
        <v>44105</v>
      </c>
      <c r="F35" s="129"/>
      <c r="G35" s="224"/>
      <c r="H35" s="129"/>
      <c r="I35" s="225"/>
      <c r="J35" s="351"/>
      <c r="K35" s="50"/>
      <c r="L35" s="226"/>
      <c r="M35" s="226"/>
      <c r="N35" s="226"/>
      <c r="O35" s="1080"/>
      <c r="P35" s="226"/>
      <c r="Q35" s="50"/>
      <c r="R35" s="352"/>
      <c r="S35" s="352"/>
      <c r="T35" s="629"/>
      <c r="U35" s="50"/>
      <c r="V35" s="53"/>
      <c r="Y35" s="908"/>
      <c r="Z35" s="905"/>
      <c r="AA35" s="905"/>
      <c r="AB35" s="905"/>
      <c r="AC35" s="905"/>
      <c r="AD35" s="892"/>
      <c r="AE35" s="911"/>
      <c r="AF35" s="905"/>
      <c r="AH35" s="980"/>
    </row>
    <row r="36" spans="2:45" ht="12.75" customHeight="1" x14ac:dyDescent="0.2">
      <c r="B36" s="49"/>
      <c r="C36" s="50"/>
      <c r="D36" s="223"/>
      <c r="E36" s="176"/>
      <c r="F36" s="129"/>
      <c r="G36" s="224"/>
      <c r="H36" s="129"/>
      <c r="I36" s="225"/>
      <c r="J36" s="351"/>
      <c r="K36" s="50"/>
      <c r="L36" s="226"/>
      <c r="M36" s="226"/>
      <c r="N36" s="226"/>
      <c r="O36" s="1080"/>
      <c r="P36" s="226"/>
      <c r="Q36" s="50"/>
      <c r="R36" s="352"/>
      <c r="S36" s="352"/>
      <c r="T36" s="629"/>
      <c r="U36" s="50"/>
      <c r="V36" s="53"/>
      <c r="Y36" s="908"/>
      <c r="Z36" s="905"/>
      <c r="AA36" s="905"/>
      <c r="AB36" s="905"/>
      <c r="AC36" s="905"/>
      <c r="AD36" s="892"/>
      <c r="AE36" s="911"/>
      <c r="AF36" s="905"/>
      <c r="AH36" s="980"/>
    </row>
    <row r="37" spans="2:45" ht="12.75" customHeight="1" x14ac:dyDescent="0.2">
      <c r="B37" s="49"/>
      <c r="C37" s="66"/>
      <c r="D37" s="722"/>
      <c r="E37" s="723"/>
      <c r="F37" s="704"/>
      <c r="G37" s="725"/>
      <c r="H37" s="726"/>
      <c r="I37" s="726"/>
      <c r="J37" s="727"/>
      <c r="K37" s="728"/>
      <c r="L37" s="726"/>
      <c r="M37" s="726"/>
      <c r="N37" s="726"/>
      <c r="O37" s="878"/>
      <c r="P37" s="726"/>
      <c r="Q37" s="728"/>
      <c r="R37" s="728"/>
      <c r="S37" s="728"/>
      <c r="T37" s="729"/>
      <c r="U37" s="119"/>
      <c r="V37" s="53"/>
      <c r="AE37" s="911"/>
    </row>
    <row r="38" spans="2:45" s="275" customFormat="1" ht="12.75" customHeight="1" x14ac:dyDescent="0.2">
      <c r="B38" s="1093"/>
      <c r="C38" s="277"/>
      <c r="D38" s="864" t="s">
        <v>298</v>
      </c>
      <c r="E38" s="865"/>
      <c r="F38" s="865"/>
      <c r="G38" s="865"/>
      <c r="H38" s="866"/>
      <c r="I38" s="866"/>
      <c r="J38" s="866"/>
      <c r="K38" s="968"/>
      <c r="L38" s="864" t="s">
        <v>492</v>
      </c>
      <c r="M38" s="858"/>
      <c r="N38" s="864"/>
      <c r="O38" s="864"/>
      <c r="P38" s="951"/>
      <c r="Q38" s="730"/>
      <c r="R38" s="864" t="s">
        <v>494</v>
      </c>
      <c r="S38" s="866"/>
      <c r="T38" s="935"/>
      <c r="U38" s="746"/>
      <c r="V38" s="278"/>
      <c r="W38" s="279"/>
      <c r="X38" s="279"/>
      <c r="Y38" s="882"/>
      <c r="Z38" s="913"/>
      <c r="AA38" s="882"/>
      <c r="AB38" s="882"/>
      <c r="AC38" s="882"/>
      <c r="AD38" s="912"/>
      <c r="AE38" s="912"/>
      <c r="AF38" s="913"/>
      <c r="AG38" s="933"/>
      <c r="AH38" s="941"/>
      <c r="AI38" s="923"/>
      <c r="AJ38" s="923"/>
      <c r="AK38" s="923"/>
      <c r="AL38" s="923"/>
      <c r="AM38" s="923"/>
      <c r="AN38" s="884"/>
      <c r="AO38" s="884"/>
      <c r="AP38" s="884"/>
      <c r="AQ38" s="901"/>
      <c r="AR38" s="901"/>
      <c r="AS38" s="884"/>
    </row>
    <row r="39" spans="2:45" s="275" customFormat="1" ht="12.75" customHeight="1" x14ac:dyDescent="0.2">
      <c r="B39" s="1093"/>
      <c r="C39" s="277"/>
      <c r="D39" s="693" t="s">
        <v>480</v>
      </c>
      <c r="E39" s="693" t="s">
        <v>171</v>
      </c>
      <c r="F39" s="732" t="s">
        <v>119</v>
      </c>
      <c r="G39" s="733" t="s">
        <v>289</v>
      </c>
      <c r="H39" s="732" t="s">
        <v>201</v>
      </c>
      <c r="I39" s="732" t="s">
        <v>229</v>
      </c>
      <c r="J39" s="734" t="s">
        <v>122</v>
      </c>
      <c r="K39" s="969"/>
      <c r="L39" s="735" t="s">
        <v>475</v>
      </c>
      <c r="M39" s="735" t="s">
        <v>468</v>
      </c>
      <c r="N39" s="735" t="s">
        <v>482</v>
      </c>
      <c r="O39" s="735" t="s">
        <v>475</v>
      </c>
      <c r="P39" s="952" t="s">
        <v>487</v>
      </c>
      <c r="Q39" s="702"/>
      <c r="R39" s="863" t="s">
        <v>186</v>
      </c>
      <c r="S39" s="737" t="s">
        <v>493</v>
      </c>
      <c r="T39" s="738" t="s">
        <v>186</v>
      </c>
      <c r="U39" s="747"/>
      <c r="V39" s="281"/>
      <c r="W39" s="282"/>
      <c r="X39" s="282"/>
      <c r="Y39" s="914" t="s">
        <v>322</v>
      </c>
      <c r="Z39" s="960" t="s">
        <v>479</v>
      </c>
      <c r="AA39" s="903" t="s">
        <v>488</v>
      </c>
      <c r="AB39" s="903" t="s">
        <v>488</v>
      </c>
      <c r="AC39" s="903" t="s">
        <v>491</v>
      </c>
      <c r="AD39" s="915" t="s">
        <v>473</v>
      </c>
      <c r="AE39" s="915" t="s">
        <v>474</v>
      </c>
      <c r="AF39" s="902" t="s">
        <v>470</v>
      </c>
      <c r="AG39" s="934" t="s">
        <v>306</v>
      </c>
      <c r="AH39" s="941" t="s">
        <v>415</v>
      </c>
      <c r="AI39" s="902" t="s">
        <v>292</v>
      </c>
      <c r="AJ39" s="902" t="s">
        <v>293</v>
      </c>
      <c r="AK39" s="902" t="s">
        <v>121</v>
      </c>
      <c r="AL39" s="902" t="s">
        <v>198</v>
      </c>
      <c r="AM39" s="915" t="s">
        <v>173</v>
      </c>
      <c r="AN39" s="884"/>
      <c r="AO39" s="884"/>
      <c r="AP39" s="884"/>
      <c r="AQ39" s="901"/>
      <c r="AR39" s="903"/>
      <c r="AS39" s="884"/>
    </row>
    <row r="40" spans="2:45" s="275" customFormat="1" ht="12.75" customHeight="1" x14ac:dyDescent="0.2">
      <c r="B40" s="1093"/>
      <c r="C40" s="277"/>
      <c r="D40" s="865"/>
      <c r="E40" s="693"/>
      <c r="F40" s="732" t="s">
        <v>120</v>
      </c>
      <c r="G40" s="733" t="s">
        <v>290</v>
      </c>
      <c r="H40" s="732"/>
      <c r="I40" s="732"/>
      <c r="J40" s="734"/>
      <c r="K40" s="969"/>
      <c r="L40" s="735" t="s">
        <v>476</v>
      </c>
      <c r="M40" s="735" t="s">
        <v>478</v>
      </c>
      <c r="N40" s="735" t="s">
        <v>483</v>
      </c>
      <c r="O40" s="735" t="s">
        <v>477</v>
      </c>
      <c r="P40" s="952" t="s">
        <v>284</v>
      </c>
      <c r="Q40" s="702"/>
      <c r="R40" s="706" t="s">
        <v>485</v>
      </c>
      <c r="S40" s="737" t="s">
        <v>469</v>
      </c>
      <c r="T40" s="738" t="s">
        <v>284</v>
      </c>
      <c r="U40" s="710"/>
      <c r="V40" s="58"/>
      <c r="W40" s="81"/>
      <c r="X40" s="81"/>
      <c r="Y40" s="914" t="s">
        <v>193</v>
      </c>
      <c r="Z40" s="961">
        <f>tab!$D$62</f>
        <v>0.6</v>
      </c>
      <c r="AA40" s="903" t="s">
        <v>489</v>
      </c>
      <c r="AB40" s="903" t="s">
        <v>490</v>
      </c>
      <c r="AC40" s="903" t="s">
        <v>486</v>
      </c>
      <c r="AD40" s="915" t="s">
        <v>472</v>
      </c>
      <c r="AE40" s="915" t="s">
        <v>472</v>
      </c>
      <c r="AF40" s="902" t="s">
        <v>471</v>
      </c>
      <c r="AG40" s="934"/>
      <c r="AH40" s="940" t="s">
        <v>228</v>
      </c>
      <c r="AI40" s="915" t="s">
        <v>291</v>
      </c>
      <c r="AJ40" s="915" t="s">
        <v>291</v>
      </c>
      <c r="AK40" s="902"/>
      <c r="AL40" s="902" t="s">
        <v>173</v>
      </c>
      <c r="AM40" s="915"/>
      <c r="AN40" s="884"/>
      <c r="AO40" s="884"/>
      <c r="AP40" s="884"/>
      <c r="AQ40" s="884"/>
      <c r="AR40" s="904"/>
      <c r="AS40" s="884"/>
    </row>
    <row r="41" spans="2:45" ht="12.75" customHeight="1" x14ac:dyDescent="0.2">
      <c r="B41" s="49"/>
      <c r="C41" s="69"/>
      <c r="D41" s="136"/>
      <c r="E41" s="70"/>
      <c r="F41" s="283"/>
      <c r="G41" s="284"/>
      <c r="H41" s="285"/>
      <c r="I41" s="285"/>
      <c r="J41" s="286"/>
      <c r="K41" s="283"/>
      <c r="L41" s="283"/>
      <c r="M41" s="283"/>
      <c r="N41" s="283"/>
      <c r="O41" s="875"/>
      <c r="P41" s="283"/>
      <c r="Q41" s="283"/>
      <c r="R41" s="287"/>
      <c r="S41" s="287"/>
      <c r="T41" s="363"/>
      <c r="U41" s="120"/>
      <c r="V41" s="53"/>
      <c r="Y41" s="914"/>
      <c r="Z41" s="901"/>
      <c r="AA41" s="901"/>
      <c r="AB41" s="901"/>
      <c r="AC41" s="901"/>
      <c r="AD41" s="915"/>
      <c r="AE41" s="915"/>
      <c r="AF41" s="901"/>
      <c r="AG41" s="934"/>
      <c r="AH41" s="980"/>
      <c r="AO41" s="882"/>
      <c r="AP41" s="882"/>
      <c r="AR41" s="905"/>
    </row>
    <row r="42" spans="2:45" ht="12.75" customHeight="1" x14ac:dyDescent="0.2">
      <c r="B42" s="49"/>
      <c r="C42" s="69"/>
      <c r="D42" s="289" t="str">
        <f>IF(dir!D18="","",dir!D18)</f>
        <v/>
      </c>
      <c r="E42" s="75" t="str">
        <f>IF(dir!E18=0,"",dir!E18)</f>
        <v>nn</v>
      </c>
      <c r="F42" s="88">
        <f>IF(dir!F18="","",dir!F18+1)</f>
        <v>24</v>
      </c>
      <c r="G42" s="290" t="str">
        <f>IF(dir!G18="","",dir!G18)</f>
        <v/>
      </c>
      <c r="H42" s="99" t="str">
        <f t="shared" ref="H42:H51" si="13">IF(H18=0,"",H18)</f>
        <v>DB</v>
      </c>
      <c r="I42" s="99">
        <f>IF(J42="","",(IF(dir!I18+1&gt;LOOKUP(H42,schaal2019,regels2019),dir!I18,dir!I18+1)))</f>
        <v>4</v>
      </c>
      <c r="J42" s="291">
        <f>IF(dir!J18="","",dir!J18)</f>
        <v>0</v>
      </c>
      <c r="K42" s="292"/>
      <c r="L42" s="868">
        <f>IF(dir!L18="",0,dir!L18)</f>
        <v>0</v>
      </c>
      <c r="M42" s="868">
        <f>IF(dir!M18="",0,dir!M18)</f>
        <v>0</v>
      </c>
      <c r="N42" s="867">
        <f t="shared" ref="N42:N51" si="14">IF(J42="","",IF((J42*40)&gt;40,40,((J42*40))))</f>
        <v>0</v>
      </c>
      <c r="O42" s="867"/>
      <c r="P42" s="953">
        <f t="shared" ref="P42:P51" si="15">IF(J42="","",(SUM(L42:O42)))</f>
        <v>0</v>
      </c>
      <c r="Q42" s="70"/>
      <c r="R42" s="739">
        <f t="shared" ref="R42:R51" si="16">IF(J42="","",(((1659*J42)-P42)*AB42))</f>
        <v>0</v>
      </c>
      <c r="S42" s="739">
        <f>IF(J42="","",(P42*AC42)+(AA42*AD42)+((AE42*AA42*(1-AF42))))</f>
        <v>0</v>
      </c>
      <c r="T42" s="740">
        <f t="shared" ref="T42:T51" si="17">IF(J42="","",(R42+S42))</f>
        <v>0</v>
      </c>
      <c r="U42" s="275"/>
      <c r="V42" s="293"/>
      <c r="W42" s="288"/>
      <c r="X42" s="288"/>
      <c r="Y42" s="908">
        <f t="shared" ref="Y42:Y51" si="18">IF(H42="",0,5/12*VLOOKUP(H42,salaris2020,I42+1,FALSE)+7/12*VLOOKUP(H42,salaris2020,I42+1,FALSE))</f>
        <v>3559</v>
      </c>
      <c r="Z42" s="986">
        <f>tab!$D$62</f>
        <v>0.6</v>
      </c>
      <c r="AA42" s="944">
        <f>(Y42*12/1659)</f>
        <v>25.743218806509947</v>
      </c>
      <c r="AB42" s="944">
        <f>(Y42*12*(1+Z42))/1659</f>
        <v>41.189150090415914</v>
      </c>
      <c r="AC42" s="944">
        <f>AB42-AA42</f>
        <v>15.445931283905967</v>
      </c>
      <c r="AD42" s="943">
        <f t="shared" ref="AD42:AD51" si="19">(N42+O42)</f>
        <v>0</v>
      </c>
      <c r="AE42" s="943">
        <f>(L42+M42)</f>
        <v>0</v>
      </c>
      <c r="AF42" s="916">
        <f>IF(H42&gt;8,tab!$D$63,tab!$D$65)</f>
        <v>0.5</v>
      </c>
      <c r="AG42" s="925">
        <f t="shared" ref="AG42:AG51" si="20">IF(F42&lt;25,0,IF(F42=25,25,IF(F42&lt;40,0,IF(F42=40,40,IF(F42&gt;=40,0)))))</f>
        <v>0</v>
      </c>
      <c r="AH42" s="980">
        <f t="shared" ref="AH42:AH51" si="21">IF(AG42=25,(Y42*1.08*(J42)/2),IF(AG42=40,(Y42*1.08*(J42)),IF(AG42=0,0)))</f>
        <v>0</v>
      </c>
      <c r="AM42" s="907"/>
    </row>
    <row r="43" spans="2:45" ht="12.75" customHeight="1" x14ac:dyDescent="0.2">
      <c r="B43" s="49"/>
      <c r="C43" s="69"/>
      <c r="D43" s="289" t="str">
        <f>IF(dir!D19="","",dir!D19)</f>
        <v/>
      </c>
      <c r="E43" s="75" t="str">
        <f>IF(dir!E19=0,"",dir!E19)</f>
        <v/>
      </c>
      <c r="F43" s="88" t="str">
        <f>IF(dir!F19="","",dir!F19+1)</f>
        <v/>
      </c>
      <c r="G43" s="290" t="str">
        <f>IF(dir!G19="","",dir!G19)</f>
        <v/>
      </c>
      <c r="H43" s="99" t="str">
        <f t="shared" si="13"/>
        <v/>
      </c>
      <c r="I43" s="99" t="str">
        <f>IF(J43="","",(IF(dir!I19+1&gt;LOOKUP(H43,schaal2019,regels2019),dir!I19,dir!I19+1)))</f>
        <v/>
      </c>
      <c r="J43" s="291" t="str">
        <f>IF(dir!J19="","",dir!J19)</f>
        <v/>
      </c>
      <c r="K43" s="292"/>
      <c r="L43" s="868">
        <f>IF(dir!L19="",0,dir!L19)</f>
        <v>0</v>
      </c>
      <c r="M43" s="868">
        <f>IF(dir!M19="",0,dir!M19)</f>
        <v>0</v>
      </c>
      <c r="N43" s="867" t="str">
        <f t="shared" si="14"/>
        <v/>
      </c>
      <c r="O43" s="867"/>
      <c r="P43" s="953" t="str">
        <f t="shared" si="15"/>
        <v/>
      </c>
      <c r="Q43" s="70"/>
      <c r="R43" s="739" t="str">
        <f t="shared" si="16"/>
        <v/>
      </c>
      <c r="S43" s="739" t="str">
        <f t="shared" ref="S43:S51" si="22">IF(J43="","",(P43*AC43)+(AA43*AD43)+((AE43*AA43*(1-AF43))))</f>
        <v/>
      </c>
      <c r="T43" s="740" t="str">
        <f t="shared" si="17"/>
        <v/>
      </c>
      <c r="U43" s="275"/>
      <c r="V43" s="293"/>
      <c r="W43" s="288"/>
      <c r="X43" s="288"/>
      <c r="Y43" s="908">
        <f t="shared" si="18"/>
        <v>0</v>
      </c>
      <c r="Z43" s="986">
        <f>tab!$D$62</f>
        <v>0.6</v>
      </c>
      <c r="AA43" s="944">
        <f t="shared" ref="AA43:AA51" si="23">(Y43*12/1659)</f>
        <v>0</v>
      </c>
      <c r="AB43" s="944">
        <f t="shared" ref="AB43:AB51" si="24">(Y43*12*(1+Z43))/1659</f>
        <v>0</v>
      </c>
      <c r="AC43" s="944">
        <f t="shared" ref="AC43:AC51" si="25">AB43-AA43</f>
        <v>0</v>
      </c>
      <c r="AD43" s="943" t="e">
        <f t="shared" si="19"/>
        <v>#VALUE!</v>
      </c>
      <c r="AE43" s="943">
        <f t="shared" ref="AE43:AE51" si="26">(L43+M43)</f>
        <v>0</v>
      </c>
      <c r="AF43" s="916">
        <f>IF(H43&gt;8,tab!$D$63,tab!$D$65)</f>
        <v>0.5</v>
      </c>
      <c r="AG43" s="925">
        <f t="shared" si="20"/>
        <v>0</v>
      </c>
      <c r="AH43" s="980">
        <f t="shared" si="21"/>
        <v>0</v>
      </c>
      <c r="AM43" s="907"/>
    </row>
    <row r="44" spans="2:45" ht="12.75" customHeight="1" x14ac:dyDescent="0.2">
      <c r="B44" s="49"/>
      <c r="C44" s="69"/>
      <c r="D44" s="289" t="str">
        <f>IF(dir!D20="","",dir!D20)</f>
        <v/>
      </c>
      <c r="E44" s="75" t="str">
        <f>IF(dir!E20=0,"",dir!E20)</f>
        <v/>
      </c>
      <c r="F44" s="88" t="str">
        <f>IF(dir!F20="","",dir!F20+1)</f>
        <v/>
      </c>
      <c r="G44" s="290" t="str">
        <f>IF(dir!G20="","",dir!G20)</f>
        <v/>
      </c>
      <c r="H44" s="99" t="str">
        <f t="shared" si="13"/>
        <v/>
      </c>
      <c r="I44" s="99" t="str">
        <f>IF(J44="","",(IF(dir!I20+1&gt;LOOKUP(H44,schaal2019,regels2019),dir!I20,dir!I20+1)))</f>
        <v/>
      </c>
      <c r="J44" s="291" t="str">
        <f>IF(dir!J20="","",dir!J20)</f>
        <v/>
      </c>
      <c r="K44" s="292"/>
      <c r="L44" s="868">
        <f>IF(dir!L20="",0,dir!L20)</f>
        <v>0</v>
      </c>
      <c r="M44" s="868">
        <f>IF(dir!M20="",0,dir!M20)</f>
        <v>0</v>
      </c>
      <c r="N44" s="867" t="str">
        <f t="shared" si="14"/>
        <v/>
      </c>
      <c r="O44" s="867"/>
      <c r="P44" s="953" t="str">
        <f t="shared" si="15"/>
        <v/>
      </c>
      <c r="Q44" s="70"/>
      <c r="R44" s="739" t="str">
        <f t="shared" si="16"/>
        <v/>
      </c>
      <c r="S44" s="739" t="str">
        <f t="shared" si="22"/>
        <v/>
      </c>
      <c r="T44" s="740" t="str">
        <f t="shared" si="17"/>
        <v/>
      </c>
      <c r="U44" s="275"/>
      <c r="V44" s="293"/>
      <c r="W44" s="288"/>
      <c r="X44" s="288"/>
      <c r="Y44" s="908">
        <f t="shared" si="18"/>
        <v>0</v>
      </c>
      <c r="Z44" s="986">
        <f>tab!$D$62</f>
        <v>0.6</v>
      </c>
      <c r="AA44" s="944">
        <f t="shared" si="23"/>
        <v>0</v>
      </c>
      <c r="AB44" s="944">
        <f t="shared" si="24"/>
        <v>0</v>
      </c>
      <c r="AC44" s="944">
        <f t="shared" si="25"/>
        <v>0</v>
      </c>
      <c r="AD44" s="943" t="e">
        <f t="shared" si="19"/>
        <v>#VALUE!</v>
      </c>
      <c r="AE44" s="943">
        <f t="shared" si="26"/>
        <v>0</v>
      </c>
      <c r="AF44" s="916">
        <f>IF(H44&gt;8,tab!$D$63,tab!$D$65)</f>
        <v>0.5</v>
      </c>
      <c r="AG44" s="925">
        <f t="shared" si="20"/>
        <v>0</v>
      </c>
      <c r="AH44" s="980">
        <f t="shared" si="21"/>
        <v>0</v>
      </c>
      <c r="AM44" s="907"/>
    </row>
    <row r="45" spans="2:45" ht="12.75" customHeight="1" x14ac:dyDescent="0.2">
      <c r="B45" s="49"/>
      <c r="C45" s="69"/>
      <c r="D45" s="289" t="str">
        <f>IF(dir!D21="","",dir!D21)</f>
        <v/>
      </c>
      <c r="E45" s="75" t="str">
        <f>IF(dir!E21=0,"",dir!E21)</f>
        <v/>
      </c>
      <c r="F45" s="88" t="str">
        <f>IF(dir!F21="","",dir!F21+1)</f>
        <v/>
      </c>
      <c r="G45" s="290" t="str">
        <f>IF(dir!G21="","",dir!G21)</f>
        <v/>
      </c>
      <c r="H45" s="99" t="str">
        <f t="shared" si="13"/>
        <v/>
      </c>
      <c r="I45" s="99" t="str">
        <f>IF(J45="","",(IF(dir!I21+1&gt;LOOKUP(H45,schaal2019,regels2019),dir!I21,dir!I21+1)))</f>
        <v/>
      </c>
      <c r="J45" s="291" t="str">
        <f>IF(dir!J21="","",dir!J21)</f>
        <v/>
      </c>
      <c r="K45" s="292"/>
      <c r="L45" s="868">
        <f>IF(dir!L21="",0,dir!L21)</f>
        <v>0</v>
      </c>
      <c r="M45" s="868">
        <f>IF(dir!M21="",0,dir!M21)</f>
        <v>0</v>
      </c>
      <c r="N45" s="867" t="str">
        <f t="shared" si="14"/>
        <v/>
      </c>
      <c r="O45" s="867"/>
      <c r="P45" s="953" t="str">
        <f t="shared" si="15"/>
        <v/>
      </c>
      <c r="Q45" s="70"/>
      <c r="R45" s="739" t="str">
        <f t="shared" si="16"/>
        <v/>
      </c>
      <c r="S45" s="739" t="str">
        <f t="shared" si="22"/>
        <v/>
      </c>
      <c r="T45" s="740" t="str">
        <f t="shared" si="17"/>
        <v/>
      </c>
      <c r="U45" s="275"/>
      <c r="V45" s="293"/>
      <c r="W45" s="288"/>
      <c r="X45" s="288"/>
      <c r="Y45" s="908">
        <f t="shared" si="18"/>
        <v>0</v>
      </c>
      <c r="Z45" s="986">
        <f>tab!$D$62</f>
        <v>0.6</v>
      </c>
      <c r="AA45" s="944">
        <f t="shared" si="23"/>
        <v>0</v>
      </c>
      <c r="AB45" s="944">
        <f t="shared" si="24"/>
        <v>0</v>
      </c>
      <c r="AC45" s="944">
        <f t="shared" si="25"/>
        <v>0</v>
      </c>
      <c r="AD45" s="943" t="e">
        <f t="shared" si="19"/>
        <v>#VALUE!</v>
      </c>
      <c r="AE45" s="943">
        <f t="shared" si="26"/>
        <v>0</v>
      </c>
      <c r="AF45" s="916">
        <f>IF(H45&gt;8,tab!$D$63,tab!$D$65)</f>
        <v>0.5</v>
      </c>
      <c r="AG45" s="925">
        <f t="shared" si="20"/>
        <v>0</v>
      </c>
      <c r="AH45" s="980">
        <f t="shared" si="21"/>
        <v>0</v>
      </c>
      <c r="AM45" s="907"/>
    </row>
    <row r="46" spans="2:45" ht="12.75" customHeight="1" x14ac:dyDescent="0.2">
      <c r="B46" s="49"/>
      <c r="C46" s="69"/>
      <c r="D46" s="289" t="str">
        <f>IF(dir!D22="","",dir!D22)</f>
        <v/>
      </c>
      <c r="E46" s="75" t="str">
        <f>IF(dir!E22=0,"",dir!E22)</f>
        <v/>
      </c>
      <c r="F46" s="88" t="str">
        <f>IF(dir!F22="","",dir!F22+1)</f>
        <v/>
      </c>
      <c r="G46" s="290" t="str">
        <f>IF(dir!G22="","",dir!G22)</f>
        <v/>
      </c>
      <c r="H46" s="99" t="str">
        <f t="shared" si="13"/>
        <v/>
      </c>
      <c r="I46" s="99" t="str">
        <f>IF(J46="","",(IF(dir!I22+1&gt;LOOKUP(H46,schaal2019,regels2019),dir!I22,dir!I22+1)))</f>
        <v/>
      </c>
      <c r="J46" s="291" t="str">
        <f>IF(dir!J22="","",dir!J22)</f>
        <v/>
      </c>
      <c r="K46" s="292"/>
      <c r="L46" s="868">
        <f>IF(dir!L22="",0,dir!L22)</f>
        <v>0</v>
      </c>
      <c r="M46" s="868">
        <f>IF(dir!M22="",0,dir!M22)</f>
        <v>0</v>
      </c>
      <c r="N46" s="867" t="str">
        <f t="shared" si="14"/>
        <v/>
      </c>
      <c r="O46" s="867"/>
      <c r="P46" s="953" t="str">
        <f t="shared" si="15"/>
        <v/>
      </c>
      <c r="Q46" s="70"/>
      <c r="R46" s="739" t="str">
        <f t="shared" si="16"/>
        <v/>
      </c>
      <c r="S46" s="739" t="str">
        <f t="shared" si="22"/>
        <v/>
      </c>
      <c r="T46" s="740" t="str">
        <f t="shared" si="17"/>
        <v/>
      </c>
      <c r="U46" s="275"/>
      <c r="V46" s="293"/>
      <c r="W46" s="288"/>
      <c r="X46" s="288"/>
      <c r="Y46" s="908">
        <f t="shared" si="18"/>
        <v>0</v>
      </c>
      <c r="Z46" s="986">
        <f>tab!$D$62</f>
        <v>0.6</v>
      </c>
      <c r="AA46" s="944">
        <f t="shared" si="23"/>
        <v>0</v>
      </c>
      <c r="AB46" s="944">
        <f t="shared" si="24"/>
        <v>0</v>
      </c>
      <c r="AC46" s="944">
        <f t="shared" si="25"/>
        <v>0</v>
      </c>
      <c r="AD46" s="943" t="e">
        <f t="shared" si="19"/>
        <v>#VALUE!</v>
      </c>
      <c r="AE46" s="943">
        <f t="shared" si="26"/>
        <v>0</v>
      </c>
      <c r="AF46" s="916">
        <f>IF(H46&gt;8,tab!$D$63,tab!$D$65)</f>
        <v>0.5</v>
      </c>
      <c r="AG46" s="925">
        <f t="shared" si="20"/>
        <v>0</v>
      </c>
      <c r="AH46" s="980">
        <f t="shared" si="21"/>
        <v>0</v>
      </c>
      <c r="AM46" s="907"/>
    </row>
    <row r="47" spans="2:45" ht="12.75" customHeight="1" x14ac:dyDescent="0.2">
      <c r="B47" s="49"/>
      <c r="C47" s="69"/>
      <c r="D47" s="289" t="str">
        <f>IF(dir!D23="","",dir!D23)</f>
        <v/>
      </c>
      <c r="E47" s="75" t="str">
        <f>IF(dir!E23=0,"",dir!E23)</f>
        <v/>
      </c>
      <c r="F47" s="88" t="str">
        <f>IF(dir!F23="","",dir!F23+1)</f>
        <v/>
      </c>
      <c r="G47" s="290" t="str">
        <f>IF(dir!G23="","",dir!G23)</f>
        <v/>
      </c>
      <c r="H47" s="99" t="str">
        <f t="shared" si="13"/>
        <v/>
      </c>
      <c r="I47" s="99" t="str">
        <f>IF(J47="","",(IF(dir!I23+1&gt;LOOKUP(H47,schaal2019,regels2019),dir!I23,dir!I23+1)))</f>
        <v/>
      </c>
      <c r="J47" s="291" t="str">
        <f>IF(dir!J23="","",dir!J23)</f>
        <v/>
      </c>
      <c r="K47" s="292"/>
      <c r="L47" s="868">
        <f>IF(dir!L23="",0,dir!L23)</f>
        <v>0</v>
      </c>
      <c r="M47" s="868">
        <f>IF(dir!M23="",0,dir!M23)</f>
        <v>0</v>
      </c>
      <c r="N47" s="867" t="str">
        <f t="shared" si="14"/>
        <v/>
      </c>
      <c r="O47" s="867"/>
      <c r="P47" s="953" t="str">
        <f t="shared" si="15"/>
        <v/>
      </c>
      <c r="Q47" s="70"/>
      <c r="R47" s="739" t="str">
        <f t="shared" si="16"/>
        <v/>
      </c>
      <c r="S47" s="739" t="str">
        <f t="shared" si="22"/>
        <v/>
      </c>
      <c r="T47" s="740" t="str">
        <f t="shared" si="17"/>
        <v/>
      </c>
      <c r="U47" s="275"/>
      <c r="V47" s="293"/>
      <c r="W47" s="288"/>
      <c r="X47" s="288"/>
      <c r="Y47" s="908">
        <f t="shared" si="18"/>
        <v>0</v>
      </c>
      <c r="Z47" s="986">
        <f>tab!$D$62</f>
        <v>0.6</v>
      </c>
      <c r="AA47" s="944">
        <f t="shared" si="23"/>
        <v>0</v>
      </c>
      <c r="AB47" s="944">
        <f t="shared" si="24"/>
        <v>0</v>
      </c>
      <c r="AC47" s="944">
        <f t="shared" si="25"/>
        <v>0</v>
      </c>
      <c r="AD47" s="943" t="e">
        <f t="shared" si="19"/>
        <v>#VALUE!</v>
      </c>
      <c r="AE47" s="943">
        <f t="shared" si="26"/>
        <v>0</v>
      </c>
      <c r="AF47" s="916">
        <f>IF(H47&gt;8,tab!$D$63,tab!$D$65)</f>
        <v>0.5</v>
      </c>
      <c r="AG47" s="925">
        <f t="shared" si="20"/>
        <v>0</v>
      </c>
      <c r="AH47" s="980">
        <f t="shared" si="21"/>
        <v>0</v>
      </c>
      <c r="AM47" s="907"/>
    </row>
    <row r="48" spans="2:45" ht="12.75" customHeight="1" x14ac:dyDescent="0.2">
      <c r="B48" s="49"/>
      <c r="C48" s="69"/>
      <c r="D48" s="289" t="str">
        <f>IF(dir!D24="","",dir!D24)</f>
        <v/>
      </c>
      <c r="E48" s="75" t="str">
        <f>IF(dir!E24=0,"",dir!E24)</f>
        <v/>
      </c>
      <c r="F48" s="88" t="str">
        <f>IF(dir!F24="","",dir!F24+1)</f>
        <v/>
      </c>
      <c r="G48" s="290" t="str">
        <f>IF(dir!G24="","",dir!G24)</f>
        <v/>
      </c>
      <c r="H48" s="99" t="str">
        <f t="shared" si="13"/>
        <v/>
      </c>
      <c r="I48" s="99" t="str">
        <f>IF(J48="","",(IF(dir!I24+1&gt;LOOKUP(H48,schaal2019,regels2019),dir!I24,dir!I24+1)))</f>
        <v/>
      </c>
      <c r="J48" s="291" t="str">
        <f>IF(dir!J24="","",dir!J24)</f>
        <v/>
      </c>
      <c r="K48" s="292"/>
      <c r="L48" s="868">
        <f>IF(dir!L24="",0,dir!L24)</f>
        <v>0</v>
      </c>
      <c r="M48" s="868">
        <f>IF(dir!M24="",0,dir!M24)</f>
        <v>0</v>
      </c>
      <c r="N48" s="867" t="str">
        <f t="shared" si="14"/>
        <v/>
      </c>
      <c r="O48" s="867"/>
      <c r="P48" s="953" t="str">
        <f t="shared" si="15"/>
        <v/>
      </c>
      <c r="Q48" s="70"/>
      <c r="R48" s="739" t="str">
        <f t="shared" si="16"/>
        <v/>
      </c>
      <c r="S48" s="739" t="str">
        <f t="shared" si="22"/>
        <v/>
      </c>
      <c r="T48" s="740" t="str">
        <f t="shared" si="17"/>
        <v/>
      </c>
      <c r="U48" s="275"/>
      <c r="V48" s="293"/>
      <c r="W48" s="288"/>
      <c r="X48" s="288"/>
      <c r="Y48" s="908">
        <f t="shared" si="18"/>
        <v>0</v>
      </c>
      <c r="Z48" s="986">
        <f>tab!$D$62</f>
        <v>0.6</v>
      </c>
      <c r="AA48" s="944">
        <f t="shared" si="23"/>
        <v>0</v>
      </c>
      <c r="AB48" s="944">
        <f t="shared" si="24"/>
        <v>0</v>
      </c>
      <c r="AC48" s="944">
        <f t="shared" si="25"/>
        <v>0</v>
      </c>
      <c r="AD48" s="943" t="e">
        <f t="shared" si="19"/>
        <v>#VALUE!</v>
      </c>
      <c r="AE48" s="943">
        <f t="shared" si="26"/>
        <v>0</v>
      </c>
      <c r="AF48" s="916">
        <f>IF(H48&gt;8,tab!$D$63,tab!$D$65)</f>
        <v>0.5</v>
      </c>
      <c r="AG48" s="925">
        <f t="shared" si="20"/>
        <v>0</v>
      </c>
      <c r="AH48" s="980">
        <f t="shared" si="21"/>
        <v>0</v>
      </c>
      <c r="AM48" s="907"/>
    </row>
    <row r="49" spans="2:45" ht="12.75" customHeight="1" x14ac:dyDescent="0.2">
      <c r="B49" s="49"/>
      <c r="C49" s="69"/>
      <c r="D49" s="289" t="str">
        <f>IF(dir!D25="","",dir!D25)</f>
        <v/>
      </c>
      <c r="E49" s="75" t="str">
        <f>IF(dir!E25=0,"",dir!E25)</f>
        <v/>
      </c>
      <c r="F49" s="88" t="str">
        <f>IF(dir!F25="","",dir!F25+1)</f>
        <v/>
      </c>
      <c r="G49" s="290" t="str">
        <f>IF(dir!G25="","",dir!G25)</f>
        <v/>
      </c>
      <c r="H49" s="99" t="str">
        <f t="shared" si="13"/>
        <v/>
      </c>
      <c r="I49" s="99" t="str">
        <f>IF(J49="","",(IF(dir!I25+1&gt;LOOKUP(H49,schaal2019,regels2019),dir!I25,dir!I25+1)))</f>
        <v/>
      </c>
      <c r="J49" s="291" t="str">
        <f>IF(dir!J25="","",dir!J25)</f>
        <v/>
      </c>
      <c r="K49" s="292"/>
      <c r="L49" s="868">
        <f>IF(dir!L25="",0,dir!L25)</f>
        <v>0</v>
      </c>
      <c r="M49" s="868">
        <f>IF(dir!M25="",0,dir!M25)</f>
        <v>0</v>
      </c>
      <c r="N49" s="867" t="str">
        <f t="shared" si="14"/>
        <v/>
      </c>
      <c r="O49" s="867"/>
      <c r="P49" s="953" t="str">
        <f t="shared" si="15"/>
        <v/>
      </c>
      <c r="Q49" s="70"/>
      <c r="R49" s="739" t="str">
        <f t="shared" si="16"/>
        <v/>
      </c>
      <c r="S49" s="739" t="str">
        <f t="shared" si="22"/>
        <v/>
      </c>
      <c r="T49" s="740" t="str">
        <f t="shared" si="17"/>
        <v/>
      </c>
      <c r="U49" s="275"/>
      <c r="V49" s="293"/>
      <c r="W49" s="288"/>
      <c r="X49" s="288"/>
      <c r="Y49" s="908">
        <f t="shared" si="18"/>
        <v>0</v>
      </c>
      <c r="Z49" s="986">
        <f>tab!$D$62</f>
        <v>0.6</v>
      </c>
      <c r="AA49" s="944">
        <f t="shared" si="23"/>
        <v>0</v>
      </c>
      <c r="AB49" s="944">
        <f t="shared" si="24"/>
        <v>0</v>
      </c>
      <c r="AC49" s="944">
        <f t="shared" si="25"/>
        <v>0</v>
      </c>
      <c r="AD49" s="943" t="e">
        <f t="shared" si="19"/>
        <v>#VALUE!</v>
      </c>
      <c r="AE49" s="943">
        <f t="shared" si="26"/>
        <v>0</v>
      </c>
      <c r="AF49" s="916">
        <f>IF(H49&gt;8,tab!$D$63,tab!$D$65)</f>
        <v>0.5</v>
      </c>
      <c r="AG49" s="925">
        <f t="shared" si="20"/>
        <v>0</v>
      </c>
      <c r="AH49" s="980">
        <f t="shared" si="21"/>
        <v>0</v>
      </c>
      <c r="AM49" s="907"/>
    </row>
    <row r="50" spans="2:45" ht="12.75" customHeight="1" x14ac:dyDescent="0.2">
      <c r="B50" s="49"/>
      <c r="C50" s="69"/>
      <c r="D50" s="289" t="str">
        <f>IF(dir!D26="","",dir!D26)</f>
        <v/>
      </c>
      <c r="E50" s="75" t="str">
        <f>IF(dir!E26=0,"",dir!E26)</f>
        <v/>
      </c>
      <c r="F50" s="88" t="str">
        <f>IF(dir!F26="","",dir!F26+1)</f>
        <v/>
      </c>
      <c r="G50" s="290" t="str">
        <f>IF(dir!G26="","",dir!G26)</f>
        <v/>
      </c>
      <c r="H50" s="99" t="str">
        <f t="shared" si="13"/>
        <v/>
      </c>
      <c r="I50" s="99" t="str">
        <f>IF(J50="","",(IF(dir!I26+1&gt;LOOKUP(H50,schaal2019,regels2019),dir!I26,dir!I26+1)))</f>
        <v/>
      </c>
      <c r="J50" s="291" t="str">
        <f>IF(dir!J26="","",dir!J26)</f>
        <v/>
      </c>
      <c r="K50" s="292"/>
      <c r="L50" s="868">
        <f>IF(dir!L26="",0,dir!L26)</f>
        <v>0</v>
      </c>
      <c r="M50" s="868">
        <f>IF(dir!M26="",0,dir!M26)</f>
        <v>0</v>
      </c>
      <c r="N50" s="867" t="str">
        <f t="shared" si="14"/>
        <v/>
      </c>
      <c r="O50" s="867"/>
      <c r="P50" s="953" t="str">
        <f t="shared" si="15"/>
        <v/>
      </c>
      <c r="Q50" s="70"/>
      <c r="R50" s="739" t="str">
        <f t="shared" si="16"/>
        <v/>
      </c>
      <c r="S50" s="739" t="str">
        <f t="shared" si="22"/>
        <v/>
      </c>
      <c r="T50" s="740" t="str">
        <f t="shared" si="17"/>
        <v/>
      </c>
      <c r="U50" s="275"/>
      <c r="V50" s="293"/>
      <c r="W50" s="288"/>
      <c r="X50" s="288"/>
      <c r="Y50" s="908">
        <f t="shared" si="18"/>
        <v>0</v>
      </c>
      <c r="Z50" s="986">
        <f>tab!$D$62</f>
        <v>0.6</v>
      </c>
      <c r="AA50" s="944">
        <f t="shared" si="23"/>
        <v>0</v>
      </c>
      <c r="AB50" s="944">
        <f t="shared" si="24"/>
        <v>0</v>
      </c>
      <c r="AC50" s="944">
        <f t="shared" si="25"/>
        <v>0</v>
      </c>
      <c r="AD50" s="943" t="e">
        <f t="shared" si="19"/>
        <v>#VALUE!</v>
      </c>
      <c r="AE50" s="943">
        <f t="shared" si="26"/>
        <v>0</v>
      </c>
      <c r="AF50" s="916">
        <f>IF(H50&gt;8,tab!$D$63,tab!$D$65)</f>
        <v>0.5</v>
      </c>
      <c r="AG50" s="925">
        <f t="shared" si="20"/>
        <v>0</v>
      </c>
      <c r="AH50" s="980">
        <f t="shared" si="21"/>
        <v>0</v>
      </c>
      <c r="AM50" s="907"/>
    </row>
    <row r="51" spans="2:45" ht="12.75" customHeight="1" x14ac:dyDescent="0.2">
      <c r="B51" s="49"/>
      <c r="C51" s="69"/>
      <c r="D51" s="289" t="str">
        <f>IF(dir!D27="","",dir!D27)</f>
        <v/>
      </c>
      <c r="E51" s="75" t="str">
        <f>IF(dir!E27=0,"",dir!E27)</f>
        <v/>
      </c>
      <c r="F51" s="88" t="str">
        <f>IF(dir!F27="","",dir!F27+1)</f>
        <v/>
      </c>
      <c r="G51" s="290" t="str">
        <f>IF(dir!G27="","",dir!G27)</f>
        <v/>
      </c>
      <c r="H51" s="99" t="str">
        <f t="shared" si="13"/>
        <v/>
      </c>
      <c r="I51" s="99" t="str">
        <f>IF(J51="","",(IF(dir!I27+1&gt;LOOKUP(H51,schaal2019,regels2019),dir!I27,dir!I27+1)))</f>
        <v/>
      </c>
      <c r="J51" s="291" t="str">
        <f>IF(dir!J27="","",dir!J27)</f>
        <v/>
      </c>
      <c r="K51" s="292"/>
      <c r="L51" s="868">
        <f>IF(dir!L27="",0,dir!L27)</f>
        <v>0</v>
      </c>
      <c r="M51" s="868">
        <f>IF(dir!M27="",0,dir!M27)</f>
        <v>0</v>
      </c>
      <c r="N51" s="867" t="str">
        <f t="shared" si="14"/>
        <v/>
      </c>
      <c r="O51" s="867"/>
      <c r="P51" s="953" t="str">
        <f t="shared" si="15"/>
        <v/>
      </c>
      <c r="Q51" s="70"/>
      <c r="R51" s="739" t="str">
        <f t="shared" si="16"/>
        <v/>
      </c>
      <c r="S51" s="739" t="str">
        <f t="shared" si="22"/>
        <v/>
      </c>
      <c r="T51" s="740" t="str">
        <f t="shared" si="17"/>
        <v/>
      </c>
      <c r="U51" s="275"/>
      <c r="V51" s="293"/>
      <c r="W51" s="288"/>
      <c r="X51" s="288"/>
      <c r="Y51" s="908">
        <f t="shared" si="18"/>
        <v>0</v>
      </c>
      <c r="Z51" s="986">
        <f>tab!$D$62</f>
        <v>0.6</v>
      </c>
      <c r="AA51" s="944">
        <f t="shared" si="23"/>
        <v>0</v>
      </c>
      <c r="AB51" s="944">
        <f t="shared" si="24"/>
        <v>0</v>
      </c>
      <c r="AC51" s="944">
        <f t="shared" si="25"/>
        <v>0</v>
      </c>
      <c r="AD51" s="943" t="e">
        <f t="shared" si="19"/>
        <v>#VALUE!</v>
      </c>
      <c r="AE51" s="943">
        <f t="shared" si="26"/>
        <v>0</v>
      </c>
      <c r="AF51" s="916">
        <f>IF(H51&gt;8,tab!$D$63,tab!$D$65)</f>
        <v>0.5</v>
      </c>
      <c r="AG51" s="925">
        <f t="shared" si="20"/>
        <v>0</v>
      </c>
      <c r="AH51" s="980">
        <f t="shared" si="21"/>
        <v>0</v>
      </c>
      <c r="AM51" s="907"/>
    </row>
    <row r="52" spans="2:45" ht="12.75" customHeight="1" x14ac:dyDescent="0.2">
      <c r="B52" s="49"/>
      <c r="C52" s="69"/>
      <c r="D52" s="297"/>
      <c r="E52" s="89"/>
      <c r="F52" s="298"/>
      <c r="G52" s="299"/>
      <c r="H52" s="74"/>
      <c r="I52" s="74"/>
      <c r="J52" s="742">
        <f>SUM(J42:J51)</f>
        <v>0</v>
      </c>
      <c r="K52" s="107"/>
      <c r="L52" s="869">
        <f>SUM(L42:L51)</f>
        <v>0</v>
      </c>
      <c r="M52" s="869">
        <f>SUM(M42:M51)</f>
        <v>0</v>
      </c>
      <c r="N52" s="869">
        <f>SUM(N42:N51)</f>
        <v>0</v>
      </c>
      <c r="O52" s="876"/>
      <c r="P52" s="869">
        <f>SUM(P42:P51)</f>
        <v>0</v>
      </c>
      <c r="Q52" s="107"/>
      <c r="R52" s="743">
        <f>SUM(R42:R51)</f>
        <v>0</v>
      </c>
      <c r="S52" s="743">
        <f>SUM(S42:S51)</f>
        <v>0</v>
      </c>
      <c r="T52" s="743">
        <f>SUM(T42:T51)</f>
        <v>0</v>
      </c>
      <c r="U52" s="295"/>
      <c r="V52" s="53"/>
      <c r="Y52" s="909">
        <f>SUM(Y42:Y51)</f>
        <v>3559</v>
      </c>
      <c r="Z52" s="909"/>
      <c r="AA52" s="909"/>
      <c r="AB52" s="909"/>
      <c r="AC52" s="909"/>
      <c r="AD52" s="917" t="e">
        <f>SUM(AD42:AD51)</f>
        <v>#VALUE!</v>
      </c>
      <c r="AE52" s="930">
        <f>SUM(AE42:AE51)</f>
        <v>0</v>
      </c>
      <c r="AF52" s="909"/>
      <c r="AG52" s="933">
        <f>SUM(AG42:AG51)</f>
        <v>0</v>
      </c>
      <c r="AH52" s="981">
        <f>SUM(AH42:AH51)</f>
        <v>0</v>
      </c>
      <c r="AM52" s="907"/>
    </row>
    <row r="53" spans="2:45" ht="12.75" customHeight="1" x14ac:dyDescent="0.2">
      <c r="B53" s="124"/>
      <c r="C53" s="1059"/>
      <c r="D53" s="1094"/>
      <c r="E53" s="1060"/>
      <c r="F53" s="1061"/>
      <c r="G53" s="1062"/>
      <c r="H53" s="1061"/>
      <c r="I53" s="1063"/>
      <c r="J53" s="1064"/>
      <c r="K53" s="1060"/>
      <c r="L53" s="1063"/>
      <c r="M53" s="1063"/>
      <c r="N53" s="1063"/>
      <c r="O53" s="1095"/>
      <c r="P53" s="1063"/>
      <c r="Q53" s="1060"/>
      <c r="R53" s="1066"/>
      <c r="S53" s="1066"/>
      <c r="T53" s="1066"/>
      <c r="U53" s="1096"/>
      <c r="V53" s="126"/>
      <c r="Y53" s="881"/>
      <c r="Z53" s="909"/>
      <c r="AA53" s="909"/>
      <c r="AB53" s="909"/>
      <c r="AC53" s="909"/>
      <c r="AE53" s="911"/>
      <c r="AF53" s="909"/>
      <c r="AG53" s="933"/>
      <c r="AH53" s="981"/>
      <c r="AM53" s="907"/>
    </row>
    <row r="54" spans="2:45" ht="12.75" customHeight="1" x14ac:dyDescent="0.2">
      <c r="B54" s="43"/>
      <c r="C54" s="44"/>
      <c r="D54" s="217"/>
      <c r="E54" s="218"/>
      <c r="F54" s="128"/>
      <c r="G54" s="219"/>
      <c r="H54" s="128"/>
      <c r="I54" s="220"/>
      <c r="J54" s="221"/>
      <c r="K54" s="218"/>
      <c r="L54" s="220"/>
      <c r="M54" s="220"/>
      <c r="N54" s="220"/>
      <c r="O54" s="871"/>
      <c r="P54" s="220"/>
      <c r="Q54" s="218"/>
      <c r="R54" s="622"/>
      <c r="S54" s="622"/>
      <c r="T54" s="622"/>
      <c r="U54" s="478"/>
      <c r="V54" s="47"/>
      <c r="Y54" s="881"/>
      <c r="Z54" s="909"/>
      <c r="AA54" s="909"/>
      <c r="AB54" s="909"/>
      <c r="AC54" s="909"/>
      <c r="AE54" s="911"/>
      <c r="AF54" s="909"/>
      <c r="AG54" s="933"/>
      <c r="AH54" s="981"/>
      <c r="AM54" s="907"/>
    </row>
    <row r="55" spans="2:45" ht="12.75" customHeight="1" x14ac:dyDescent="0.2">
      <c r="B55" s="49"/>
      <c r="C55" s="50"/>
      <c r="D55" s="223"/>
      <c r="E55" s="176"/>
      <c r="F55" s="129"/>
      <c r="G55" s="224"/>
      <c r="H55" s="129"/>
      <c r="I55" s="225"/>
      <c r="J55" s="226"/>
      <c r="K55" s="176"/>
      <c r="L55" s="225"/>
      <c r="M55" s="225"/>
      <c r="N55" s="225"/>
      <c r="O55" s="872"/>
      <c r="P55" s="225"/>
      <c r="Q55" s="176"/>
      <c r="R55" s="308"/>
      <c r="S55" s="308"/>
      <c r="T55" s="308"/>
      <c r="U55" s="309"/>
      <c r="V55" s="53"/>
      <c r="Y55" s="881"/>
      <c r="Z55" s="909"/>
      <c r="AA55" s="909"/>
      <c r="AB55" s="909"/>
      <c r="AC55" s="909"/>
      <c r="AE55" s="911"/>
      <c r="AF55" s="909"/>
      <c r="AG55" s="933"/>
      <c r="AH55" s="981"/>
      <c r="AM55" s="907"/>
    </row>
    <row r="56" spans="2:45" ht="12.75" customHeight="1" x14ac:dyDescent="0.2">
      <c r="B56" s="49"/>
      <c r="C56" s="50"/>
      <c r="D56" s="223"/>
      <c r="E56" s="176"/>
      <c r="F56" s="129"/>
      <c r="G56" s="224"/>
      <c r="H56" s="129"/>
      <c r="I56" s="225"/>
      <c r="J56" s="226"/>
      <c r="K56" s="176"/>
      <c r="L56" s="225"/>
      <c r="M56" s="225"/>
      <c r="N56" s="225"/>
      <c r="O56" s="872"/>
      <c r="P56" s="225"/>
      <c r="Q56" s="176"/>
      <c r="R56" s="308"/>
      <c r="S56" s="308"/>
      <c r="T56" s="308"/>
      <c r="U56" s="309"/>
      <c r="V56" s="53"/>
      <c r="Y56" s="881"/>
      <c r="Z56" s="909"/>
      <c r="AA56" s="909"/>
      <c r="AB56" s="909"/>
      <c r="AC56" s="909"/>
      <c r="AE56" s="911"/>
      <c r="AF56" s="909"/>
      <c r="AG56" s="933"/>
      <c r="AH56" s="981"/>
      <c r="AM56" s="907"/>
    </row>
    <row r="57" spans="2:45" ht="12.75" customHeight="1" x14ac:dyDescent="0.2">
      <c r="B57" s="49"/>
      <c r="C57" s="50" t="s">
        <v>165</v>
      </c>
      <c r="D57" s="223"/>
      <c r="E57" s="310" t="str">
        <f>tab!G2</f>
        <v>2021/22</v>
      </c>
      <c r="F57" s="129"/>
      <c r="G57" s="224"/>
      <c r="H57" s="129"/>
      <c r="I57" s="225"/>
      <c r="J57" s="351"/>
      <c r="K57" s="50"/>
      <c r="L57" s="226"/>
      <c r="M57" s="226"/>
      <c r="N57" s="226"/>
      <c r="O57" s="1080"/>
      <c r="P57" s="226"/>
      <c r="Q57" s="50"/>
      <c r="R57" s="352"/>
      <c r="S57" s="352"/>
      <c r="T57" s="629"/>
      <c r="U57" s="50"/>
      <c r="V57" s="53"/>
      <c r="Y57" s="908"/>
      <c r="Z57" s="905"/>
      <c r="AA57" s="905"/>
      <c r="AB57" s="905"/>
      <c r="AC57" s="905"/>
      <c r="AD57" s="892"/>
      <c r="AE57" s="911"/>
      <c r="AF57" s="905"/>
      <c r="AH57" s="980"/>
    </row>
    <row r="58" spans="2:45" ht="12.75" customHeight="1" x14ac:dyDescent="0.2">
      <c r="B58" s="49"/>
      <c r="C58" s="176" t="s">
        <v>187</v>
      </c>
      <c r="D58" s="223"/>
      <c r="E58" s="270">
        <f>tab!H3</f>
        <v>44470</v>
      </c>
      <c r="F58" s="129"/>
      <c r="G58" s="224"/>
      <c r="H58" s="129"/>
      <c r="I58" s="225"/>
      <c r="J58" s="351"/>
      <c r="K58" s="50"/>
      <c r="L58" s="226"/>
      <c r="M58" s="226"/>
      <c r="N58" s="226"/>
      <c r="O58" s="1080"/>
      <c r="P58" s="226"/>
      <c r="Q58" s="50"/>
      <c r="R58" s="352"/>
      <c r="S58" s="352"/>
      <c r="T58" s="629"/>
      <c r="U58" s="50"/>
      <c r="V58" s="53"/>
      <c r="Y58" s="908"/>
      <c r="Z58" s="905"/>
      <c r="AA58" s="905"/>
      <c r="AB58" s="905"/>
      <c r="AC58" s="905"/>
      <c r="AD58" s="892"/>
      <c r="AE58" s="911"/>
      <c r="AF58" s="905"/>
      <c r="AH58" s="980"/>
    </row>
    <row r="59" spans="2:45" s="312" customFormat="1" ht="12.75" customHeight="1" x14ac:dyDescent="0.2">
      <c r="B59" s="313"/>
      <c r="C59" s="1081"/>
      <c r="D59" s="1082"/>
      <c r="E59" s="1083"/>
      <c r="F59" s="1084"/>
      <c r="G59" s="1085"/>
      <c r="H59" s="1086"/>
      <c r="I59" s="1086"/>
      <c r="J59" s="1087"/>
      <c r="K59" s="1088"/>
      <c r="L59" s="1086"/>
      <c r="M59" s="1086"/>
      <c r="N59" s="1086"/>
      <c r="O59" s="1089"/>
      <c r="P59" s="1086"/>
      <c r="Q59" s="1088"/>
      <c r="R59" s="1088"/>
      <c r="S59" s="1088"/>
      <c r="T59" s="1090"/>
      <c r="U59" s="1091"/>
      <c r="V59" s="314"/>
      <c r="Y59" s="880"/>
      <c r="Z59" s="882"/>
      <c r="AA59" s="882"/>
      <c r="AB59" s="882"/>
      <c r="AC59" s="882"/>
      <c r="AD59" s="881"/>
      <c r="AE59" s="911"/>
      <c r="AF59" s="882"/>
      <c r="AG59" s="925"/>
      <c r="AH59" s="975"/>
      <c r="AI59" s="891"/>
      <c r="AJ59" s="891"/>
      <c r="AK59" s="891"/>
      <c r="AL59" s="892"/>
      <c r="AM59" s="881"/>
      <c r="AN59" s="893"/>
      <c r="AO59" s="894"/>
      <c r="AP59" s="892"/>
      <c r="AQ59" s="882"/>
      <c r="AR59" s="882"/>
      <c r="AS59" s="882"/>
    </row>
    <row r="60" spans="2:45" s="312" customFormat="1" ht="12.75" customHeight="1" x14ac:dyDescent="0.2">
      <c r="B60" s="313"/>
      <c r="C60" s="66"/>
      <c r="D60" s="722"/>
      <c r="E60" s="723"/>
      <c r="F60" s="704"/>
      <c r="G60" s="725"/>
      <c r="H60" s="726"/>
      <c r="I60" s="726"/>
      <c r="J60" s="727"/>
      <c r="K60" s="728"/>
      <c r="L60" s="726"/>
      <c r="M60" s="726"/>
      <c r="N60" s="726"/>
      <c r="O60" s="878"/>
      <c r="P60" s="726"/>
      <c r="Q60" s="728"/>
      <c r="R60" s="728"/>
      <c r="S60" s="728"/>
      <c r="T60" s="729"/>
      <c r="U60" s="119"/>
      <c r="V60" s="314"/>
      <c r="Y60" s="880"/>
      <c r="Z60" s="882"/>
      <c r="AA60" s="882"/>
      <c r="AB60" s="882"/>
      <c r="AC60" s="882"/>
      <c r="AD60" s="881"/>
      <c r="AE60" s="911"/>
      <c r="AF60" s="882"/>
      <c r="AG60" s="925"/>
      <c r="AH60" s="975"/>
      <c r="AI60" s="891"/>
      <c r="AJ60" s="891"/>
      <c r="AK60" s="891"/>
      <c r="AL60" s="892"/>
      <c r="AM60" s="881"/>
      <c r="AN60" s="893"/>
      <c r="AO60" s="894"/>
      <c r="AP60" s="892"/>
      <c r="AQ60" s="882"/>
      <c r="AR60" s="882"/>
      <c r="AS60" s="882"/>
    </row>
    <row r="61" spans="2:45" s="275" customFormat="1" ht="12.75" customHeight="1" x14ac:dyDescent="0.2">
      <c r="B61" s="1093"/>
      <c r="C61" s="277"/>
      <c r="D61" s="864" t="s">
        <v>298</v>
      </c>
      <c r="E61" s="865"/>
      <c r="F61" s="865"/>
      <c r="G61" s="865"/>
      <c r="H61" s="866"/>
      <c r="I61" s="866"/>
      <c r="J61" s="866"/>
      <c r="K61" s="968"/>
      <c r="L61" s="864" t="s">
        <v>492</v>
      </c>
      <c r="M61" s="858"/>
      <c r="N61" s="864"/>
      <c r="O61" s="864"/>
      <c r="P61" s="951"/>
      <c r="Q61" s="730"/>
      <c r="R61" s="864" t="s">
        <v>494</v>
      </c>
      <c r="S61" s="866"/>
      <c r="T61" s="935"/>
      <c r="U61" s="746"/>
      <c r="V61" s="278"/>
      <c r="W61" s="279"/>
      <c r="X61" s="279"/>
      <c r="Y61" s="882"/>
      <c r="Z61" s="913"/>
      <c r="AA61" s="882"/>
      <c r="AB61" s="882"/>
      <c r="AC61" s="882"/>
      <c r="AD61" s="912"/>
      <c r="AE61" s="912"/>
      <c r="AF61" s="913"/>
      <c r="AG61" s="933"/>
      <c r="AH61" s="941"/>
      <c r="AI61" s="923"/>
      <c r="AJ61" s="923"/>
      <c r="AK61" s="923"/>
      <c r="AL61" s="923"/>
      <c r="AM61" s="923"/>
      <c r="AN61" s="884"/>
      <c r="AO61" s="884"/>
      <c r="AP61" s="884"/>
      <c r="AQ61" s="901"/>
      <c r="AR61" s="901"/>
      <c r="AS61" s="884"/>
    </row>
    <row r="62" spans="2:45" s="275" customFormat="1" ht="12.75" customHeight="1" x14ac:dyDescent="0.2">
      <c r="B62" s="1093"/>
      <c r="C62" s="277"/>
      <c r="D62" s="693" t="s">
        <v>480</v>
      </c>
      <c r="E62" s="693" t="s">
        <v>171</v>
      </c>
      <c r="F62" s="732" t="s">
        <v>119</v>
      </c>
      <c r="G62" s="733" t="s">
        <v>289</v>
      </c>
      <c r="H62" s="732" t="s">
        <v>201</v>
      </c>
      <c r="I62" s="732" t="s">
        <v>229</v>
      </c>
      <c r="J62" s="734" t="s">
        <v>122</v>
      </c>
      <c r="K62" s="969"/>
      <c r="L62" s="735" t="s">
        <v>475</v>
      </c>
      <c r="M62" s="735" t="s">
        <v>468</v>
      </c>
      <c r="N62" s="735" t="s">
        <v>482</v>
      </c>
      <c r="O62" s="735" t="s">
        <v>475</v>
      </c>
      <c r="P62" s="952" t="s">
        <v>487</v>
      </c>
      <c r="Q62" s="702"/>
      <c r="R62" s="863" t="s">
        <v>186</v>
      </c>
      <c r="S62" s="737" t="s">
        <v>493</v>
      </c>
      <c r="T62" s="738" t="s">
        <v>186</v>
      </c>
      <c r="U62" s="747"/>
      <c r="V62" s="281"/>
      <c r="W62" s="282"/>
      <c r="X62" s="282"/>
      <c r="Y62" s="914" t="s">
        <v>322</v>
      </c>
      <c r="Z62" s="960" t="s">
        <v>479</v>
      </c>
      <c r="AA62" s="903" t="s">
        <v>488</v>
      </c>
      <c r="AB62" s="903" t="s">
        <v>488</v>
      </c>
      <c r="AC62" s="903" t="s">
        <v>491</v>
      </c>
      <c r="AD62" s="915" t="s">
        <v>473</v>
      </c>
      <c r="AE62" s="915" t="s">
        <v>474</v>
      </c>
      <c r="AF62" s="902" t="s">
        <v>470</v>
      </c>
      <c r="AG62" s="934" t="s">
        <v>306</v>
      </c>
      <c r="AH62" s="941" t="s">
        <v>415</v>
      </c>
      <c r="AI62" s="902" t="s">
        <v>292</v>
      </c>
      <c r="AJ62" s="902" t="s">
        <v>293</v>
      </c>
      <c r="AK62" s="902" t="s">
        <v>121</v>
      </c>
      <c r="AL62" s="902" t="s">
        <v>198</v>
      </c>
      <c r="AM62" s="915" t="s">
        <v>173</v>
      </c>
      <c r="AN62" s="884"/>
      <c r="AO62" s="884"/>
      <c r="AP62" s="884"/>
      <c r="AQ62" s="901"/>
      <c r="AR62" s="903"/>
      <c r="AS62" s="884"/>
    </row>
    <row r="63" spans="2:45" s="275" customFormat="1" ht="12.75" customHeight="1" x14ac:dyDescent="0.2">
      <c r="B63" s="1093"/>
      <c r="C63" s="277"/>
      <c r="D63" s="865"/>
      <c r="E63" s="693"/>
      <c r="F63" s="732" t="s">
        <v>120</v>
      </c>
      <c r="G63" s="733" t="s">
        <v>290</v>
      </c>
      <c r="H63" s="732"/>
      <c r="I63" s="732"/>
      <c r="J63" s="734"/>
      <c r="K63" s="969"/>
      <c r="L63" s="735" t="s">
        <v>476</v>
      </c>
      <c r="M63" s="735" t="s">
        <v>478</v>
      </c>
      <c r="N63" s="735" t="s">
        <v>483</v>
      </c>
      <c r="O63" s="735" t="s">
        <v>477</v>
      </c>
      <c r="P63" s="952" t="s">
        <v>284</v>
      </c>
      <c r="Q63" s="702"/>
      <c r="R63" s="706" t="s">
        <v>485</v>
      </c>
      <c r="S63" s="737" t="s">
        <v>469</v>
      </c>
      <c r="T63" s="738" t="s">
        <v>284</v>
      </c>
      <c r="U63" s="710"/>
      <c r="V63" s="58"/>
      <c r="W63" s="81"/>
      <c r="X63" s="81"/>
      <c r="Y63" s="914" t="s">
        <v>193</v>
      </c>
      <c r="Z63" s="961">
        <f>tab!$D$62</f>
        <v>0.6</v>
      </c>
      <c r="AA63" s="903" t="s">
        <v>489</v>
      </c>
      <c r="AB63" s="903" t="s">
        <v>490</v>
      </c>
      <c r="AC63" s="903" t="s">
        <v>486</v>
      </c>
      <c r="AD63" s="915" t="s">
        <v>472</v>
      </c>
      <c r="AE63" s="915" t="s">
        <v>472</v>
      </c>
      <c r="AF63" s="902" t="s">
        <v>471</v>
      </c>
      <c r="AG63" s="934"/>
      <c r="AH63" s="940" t="s">
        <v>228</v>
      </c>
      <c r="AI63" s="915" t="s">
        <v>291</v>
      </c>
      <c r="AJ63" s="915" t="s">
        <v>291</v>
      </c>
      <c r="AK63" s="902"/>
      <c r="AL63" s="902" t="s">
        <v>173</v>
      </c>
      <c r="AM63" s="915"/>
      <c r="AN63" s="884"/>
      <c r="AO63" s="884"/>
      <c r="AP63" s="884"/>
      <c r="AQ63" s="884"/>
      <c r="AR63" s="904"/>
      <c r="AS63" s="884"/>
    </row>
    <row r="64" spans="2:45" ht="12.75" customHeight="1" x14ac:dyDescent="0.2">
      <c r="B64" s="49"/>
      <c r="C64" s="69"/>
      <c r="D64" s="136"/>
      <c r="E64" s="70"/>
      <c r="F64" s="283"/>
      <c r="G64" s="284"/>
      <c r="H64" s="285"/>
      <c r="I64" s="285"/>
      <c r="J64" s="286"/>
      <c r="K64" s="283"/>
      <c r="L64" s="283"/>
      <c r="M64" s="283"/>
      <c r="N64" s="283"/>
      <c r="O64" s="875"/>
      <c r="P64" s="283"/>
      <c r="Q64" s="283"/>
      <c r="R64" s="287"/>
      <c r="S64" s="287"/>
      <c r="T64" s="363"/>
      <c r="U64" s="120"/>
      <c r="V64" s="278"/>
      <c r="Y64" s="914"/>
      <c r="Z64" s="901"/>
      <c r="AA64" s="901"/>
      <c r="AB64" s="901"/>
      <c r="AC64" s="901"/>
      <c r="AD64" s="915"/>
      <c r="AE64" s="915"/>
      <c r="AF64" s="901"/>
      <c r="AG64" s="934"/>
      <c r="AH64" s="980"/>
      <c r="AO64" s="882"/>
      <c r="AP64" s="882"/>
      <c r="AR64" s="905"/>
    </row>
    <row r="65" spans="2:39" ht="12.75" customHeight="1" x14ac:dyDescent="0.2">
      <c r="B65" s="49"/>
      <c r="C65" s="69"/>
      <c r="D65" s="289" t="str">
        <f>IF(dir!D42=0,"",dir!D42)</f>
        <v/>
      </c>
      <c r="E65" s="75" t="str">
        <f>IF(dir!E42=0,"",dir!E42)</f>
        <v>nn</v>
      </c>
      <c r="F65" s="88">
        <f>IF(dir!F42="","",dir!F42+1)</f>
        <v>25</v>
      </c>
      <c r="G65" s="290" t="str">
        <f>IF(dir!G42="","",dir!G42)</f>
        <v/>
      </c>
      <c r="H65" s="99" t="str">
        <f t="shared" ref="H65:H74" si="27">IF(H42=0,"",H42)</f>
        <v>DB</v>
      </c>
      <c r="I65" s="99">
        <f>IF(J65="","",(IF(dir!I42+1&gt;LOOKUP(H65,schaal2019,regels2019),dir!I42,dir!I42+1)))</f>
        <v>5</v>
      </c>
      <c r="J65" s="291">
        <f>IF(dir!J42="","",dir!J42)</f>
        <v>0</v>
      </c>
      <c r="K65" s="292"/>
      <c r="L65" s="868">
        <f>IF(dir!L42="","",dir!L42)</f>
        <v>0</v>
      </c>
      <c r="M65" s="868">
        <f>IF(dir!M42="","",dir!M42)</f>
        <v>0</v>
      </c>
      <c r="N65" s="867">
        <f t="shared" ref="N65:N74" si="28">IF(J65="","",IF((J65*40)&gt;40,40,((J65*40))))</f>
        <v>0</v>
      </c>
      <c r="O65" s="867"/>
      <c r="P65" s="953">
        <f t="shared" ref="P65:P74" si="29">IF(J65="","",(SUM(L65:O65)))</f>
        <v>0</v>
      </c>
      <c r="Q65" s="70"/>
      <c r="R65" s="739">
        <f t="shared" ref="R65:R74" si="30">IF(J65="","",(((1659*J65)-P65)*AB65))</f>
        <v>0</v>
      </c>
      <c r="S65" s="739">
        <f t="shared" ref="S65:S74" si="31">IF(J65="","",(P65*AC65)+(AA65*AD65)+((AE65*AA65*(1-AF65))))</f>
        <v>0</v>
      </c>
      <c r="T65" s="740">
        <f t="shared" ref="T65:T74" si="32">IF(J65="","",(R65+S65))</f>
        <v>0</v>
      </c>
      <c r="U65" s="275"/>
      <c r="V65" s="293"/>
      <c r="W65" s="288"/>
      <c r="X65" s="288"/>
      <c r="Y65" s="908">
        <f t="shared" ref="Y65:Y74" si="33">IF(H65="",0,5/12*VLOOKUP(H65,salaris2020,I65+1,FALSE)+7/12*VLOOKUP(H65,salaris2020,I65+1,FALSE))</f>
        <v>3671.0000000000005</v>
      </c>
      <c r="Z65" s="986">
        <f>tab!$D$62</f>
        <v>0.6</v>
      </c>
      <c r="AA65" s="944">
        <f t="shared" ref="AA65:AA74" si="34">(Y65*12/1659)</f>
        <v>26.553345388788433</v>
      </c>
      <c r="AB65" s="944">
        <f t="shared" ref="AB65:AB74" si="35">(Y65*12*(1+Z65))/1659</f>
        <v>42.485352622061491</v>
      </c>
      <c r="AC65" s="944">
        <f t="shared" ref="AC65:AC74" si="36">AB65-AA65</f>
        <v>15.932007233273058</v>
      </c>
      <c r="AD65" s="943">
        <f t="shared" ref="AD65:AD74" si="37">(N65+O65)</f>
        <v>0</v>
      </c>
      <c r="AE65" s="943">
        <f t="shared" ref="AE65:AE74" si="38">(L65+M65)</f>
        <v>0</v>
      </c>
      <c r="AF65" s="916">
        <f>IF(H65&gt;8,tab!$D$63,tab!$D$65)</f>
        <v>0.5</v>
      </c>
      <c r="AG65" s="925">
        <f t="shared" ref="AG65:AG74" si="39">IF(F65&lt;25,0,IF(F65=25,25,IF(F65&lt;40,0,IF(F65=40,40,IF(F65&gt;=40,0)))))</f>
        <v>25</v>
      </c>
      <c r="AH65" s="980">
        <f>IF(AG65=25,Y65*1.08*(J65)/2,IF(AG65=40,(Y65*1.08*(J65)),IF(AG65=0,0)))</f>
        <v>0</v>
      </c>
      <c r="AM65" s="907"/>
    </row>
    <row r="66" spans="2:39" ht="12.75" customHeight="1" x14ac:dyDescent="0.2">
      <c r="B66" s="49"/>
      <c r="C66" s="69"/>
      <c r="D66" s="289" t="str">
        <f>IF(dir!D43=0,"",dir!D43)</f>
        <v/>
      </c>
      <c r="E66" s="75" t="str">
        <f>IF(dir!E43=0,"",dir!E43)</f>
        <v/>
      </c>
      <c r="F66" s="88" t="str">
        <f>IF(dir!F43="","",dir!F43+1)</f>
        <v/>
      </c>
      <c r="G66" s="290" t="str">
        <f>IF(dir!G43="","",dir!G43)</f>
        <v/>
      </c>
      <c r="H66" s="99" t="str">
        <f t="shared" si="27"/>
        <v/>
      </c>
      <c r="I66" s="99" t="str">
        <f>IF(J66="","",(IF(dir!I43+1&gt;LOOKUP(H66,schaal2019,regels2019),dir!I43,dir!I43+1)))</f>
        <v/>
      </c>
      <c r="J66" s="291" t="str">
        <f>IF(dir!J43="","",dir!J43)</f>
        <v/>
      </c>
      <c r="K66" s="292"/>
      <c r="L66" s="868">
        <f>IF(dir!L43="","",dir!L43)</f>
        <v>0</v>
      </c>
      <c r="M66" s="868">
        <f>IF(dir!M43="","",dir!M43)</f>
        <v>0</v>
      </c>
      <c r="N66" s="867" t="str">
        <f t="shared" si="28"/>
        <v/>
      </c>
      <c r="O66" s="867"/>
      <c r="P66" s="953" t="str">
        <f t="shared" si="29"/>
        <v/>
      </c>
      <c r="Q66" s="70"/>
      <c r="R66" s="739" t="str">
        <f t="shared" si="30"/>
        <v/>
      </c>
      <c r="S66" s="739" t="str">
        <f t="shared" si="31"/>
        <v/>
      </c>
      <c r="T66" s="740" t="str">
        <f t="shared" si="32"/>
        <v/>
      </c>
      <c r="U66" s="275"/>
      <c r="V66" s="293"/>
      <c r="W66" s="288"/>
      <c r="X66" s="288"/>
      <c r="Y66" s="908">
        <f t="shared" si="33"/>
        <v>0</v>
      </c>
      <c r="Z66" s="986">
        <f>tab!$D$62</f>
        <v>0.6</v>
      </c>
      <c r="AA66" s="944">
        <f t="shared" si="34"/>
        <v>0</v>
      </c>
      <c r="AB66" s="944">
        <f t="shared" si="35"/>
        <v>0</v>
      </c>
      <c r="AC66" s="944">
        <f t="shared" si="36"/>
        <v>0</v>
      </c>
      <c r="AD66" s="943" t="e">
        <f t="shared" si="37"/>
        <v>#VALUE!</v>
      </c>
      <c r="AE66" s="943">
        <f t="shared" si="38"/>
        <v>0</v>
      </c>
      <c r="AF66" s="916">
        <f>IF(H66&gt;8,tab!$D$63,tab!$D$65)</f>
        <v>0.5</v>
      </c>
      <c r="AG66" s="925">
        <f t="shared" si="39"/>
        <v>0</v>
      </c>
      <c r="AH66" s="980">
        <f t="shared" ref="AH66:AH74" si="40">IF(AG66=25,(Y66*1.08*(J66)/2),IF(AG66=40,(Y66*1.08*(J66)),IF(AG66=0,0)))</f>
        <v>0</v>
      </c>
      <c r="AM66" s="907"/>
    </row>
    <row r="67" spans="2:39" ht="12.75" customHeight="1" x14ac:dyDescent="0.2">
      <c r="B67" s="49"/>
      <c r="C67" s="69"/>
      <c r="D67" s="289" t="str">
        <f>IF(dir!D44=0,"",dir!D44)</f>
        <v/>
      </c>
      <c r="E67" s="75" t="str">
        <f>IF(dir!E44=0,"",dir!E44)</f>
        <v/>
      </c>
      <c r="F67" s="88" t="str">
        <f>IF(dir!F44="","",dir!F44+1)</f>
        <v/>
      </c>
      <c r="G67" s="290" t="str">
        <f>IF(dir!G44="","",dir!G44)</f>
        <v/>
      </c>
      <c r="H67" s="99" t="str">
        <f t="shared" si="27"/>
        <v/>
      </c>
      <c r="I67" s="99" t="str">
        <f>IF(J67="","",(IF(dir!I44+1&gt;LOOKUP(H67,schaal2019,regels2019),dir!I44,dir!I44+1)))</f>
        <v/>
      </c>
      <c r="J67" s="291" t="str">
        <f>IF(dir!J44="","",dir!J44)</f>
        <v/>
      </c>
      <c r="K67" s="292"/>
      <c r="L67" s="868">
        <f>IF(dir!L44="","",dir!L44)</f>
        <v>0</v>
      </c>
      <c r="M67" s="868">
        <f>IF(dir!M44="","",dir!M44)</f>
        <v>0</v>
      </c>
      <c r="N67" s="867" t="str">
        <f t="shared" si="28"/>
        <v/>
      </c>
      <c r="O67" s="867"/>
      <c r="P67" s="953" t="str">
        <f t="shared" si="29"/>
        <v/>
      </c>
      <c r="Q67" s="70"/>
      <c r="R67" s="739" t="str">
        <f t="shared" si="30"/>
        <v/>
      </c>
      <c r="S67" s="739" t="str">
        <f t="shared" si="31"/>
        <v/>
      </c>
      <c r="T67" s="740" t="str">
        <f t="shared" si="32"/>
        <v/>
      </c>
      <c r="U67" s="275"/>
      <c r="V67" s="293"/>
      <c r="W67" s="288"/>
      <c r="X67" s="288"/>
      <c r="Y67" s="908">
        <f t="shared" si="33"/>
        <v>0</v>
      </c>
      <c r="Z67" s="986">
        <f>tab!$D$62</f>
        <v>0.6</v>
      </c>
      <c r="AA67" s="944">
        <f t="shared" si="34"/>
        <v>0</v>
      </c>
      <c r="AB67" s="944">
        <f t="shared" si="35"/>
        <v>0</v>
      </c>
      <c r="AC67" s="944">
        <f t="shared" si="36"/>
        <v>0</v>
      </c>
      <c r="AD67" s="943" t="e">
        <f t="shared" si="37"/>
        <v>#VALUE!</v>
      </c>
      <c r="AE67" s="943">
        <f t="shared" si="38"/>
        <v>0</v>
      </c>
      <c r="AF67" s="916">
        <f>IF(H67&gt;8,tab!$D$63,tab!$D$65)</f>
        <v>0.5</v>
      </c>
      <c r="AG67" s="925">
        <f t="shared" si="39"/>
        <v>0</v>
      </c>
      <c r="AH67" s="980">
        <f t="shared" si="40"/>
        <v>0</v>
      </c>
      <c r="AM67" s="907"/>
    </row>
    <row r="68" spans="2:39" ht="12.75" customHeight="1" x14ac:dyDescent="0.2">
      <c r="B68" s="49"/>
      <c r="C68" s="69"/>
      <c r="D68" s="289" t="str">
        <f>IF(dir!D45=0,"",dir!D45)</f>
        <v/>
      </c>
      <c r="E68" s="75" t="str">
        <f>IF(dir!E45=0,"",dir!E45)</f>
        <v/>
      </c>
      <c r="F68" s="88" t="str">
        <f>IF(dir!F45="","",dir!F45+1)</f>
        <v/>
      </c>
      <c r="G68" s="290" t="str">
        <f>IF(dir!G45="","",dir!G45)</f>
        <v/>
      </c>
      <c r="H68" s="99" t="str">
        <f t="shared" si="27"/>
        <v/>
      </c>
      <c r="I68" s="99" t="str">
        <f>IF(J68="","",(IF(dir!I45+1&gt;LOOKUP(H68,schaal2019,regels2019),dir!I45,dir!I45+1)))</f>
        <v/>
      </c>
      <c r="J68" s="291" t="str">
        <f>IF(dir!J45="","",dir!J45)</f>
        <v/>
      </c>
      <c r="K68" s="292"/>
      <c r="L68" s="868">
        <f>IF(dir!L45="","",dir!L45)</f>
        <v>0</v>
      </c>
      <c r="M68" s="868">
        <f>IF(dir!M45="","",dir!M45)</f>
        <v>0</v>
      </c>
      <c r="N68" s="867" t="str">
        <f t="shared" si="28"/>
        <v/>
      </c>
      <c r="O68" s="867"/>
      <c r="P68" s="953" t="str">
        <f t="shared" si="29"/>
        <v/>
      </c>
      <c r="Q68" s="70"/>
      <c r="R68" s="739" t="str">
        <f t="shared" si="30"/>
        <v/>
      </c>
      <c r="S68" s="739" t="str">
        <f t="shared" si="31"/>
        <v/>
      </c>
      <c r="T68" s="740" t="str">
        <f t="shared" si="32"/>
        <v/>
      </c>
      <c r="U68" s="275"/>
      <c r="V68" s="293"/>
      <c r="W68" s="288"/>
      <c r="X68" s="288"/>
      <c r="Y68" s="908">
        <f t="shared" si="33"/>
        <v>0</v>
      </c>
      <c r="Z68" s="986">
        <f>tab!$D$62</f>
        <v>0.6</v>
      </c>
      <c r="AA68" s="944">
        <f t="shared" si="34"/>
        <v>0</v>
      </c>
      <c r="AB68" s="944">
        <f t="shared" si="35"/>
        <v>0</v>
      </c>
      <c r="AC68" s="944">
        <f t="shared" si="36"/>
        <v>0</v>
      </c>
      <c r="AD68" s="943" t="e">
        <f t="shared" si="37"/>
        <v>#VALUE!</v>
      </c>
      <c r="AE68" s="943">
        <f t="shared" si="38"/>
        <v>0</v>
      </c>
      <c r="AF68" s="916">
        <f>IF(H68&gt;8,tab!$D$63,tab!$D$65)</f>
        <v>0.5</v>
      </c>
      <c r="AG68" s="925">
        <f t="shared" si="39"/>
        <v>0</v>
      </c>
      <c r="AH68" s="980">
        <f t="shared" si="40"/>
        <v>0</v>
      </c>
      <c r="AM68" s="907"/>
    </row>
    <row r="69" spans="2:39" ht="12.75" customHeight="1" x14ac:dyDescent="0.2">
      <c r="B69" s="49"/>
      <c r="C69" s="69"/>
      <c r="D69" s="289" t="str">
        <f>IF(dir!D46=0,"",dir!D46)</f>
        <v/>
      </c>
      <c r="E69" s="75" t="str">
        <f>IF(dir!E46=0,"",dir!E46)</f>
        <v/>
      </c>
      <c r="F69" s="88" t="str">
        <f>IF(dir!F46="","",dir!F46+1)</f>
        <v/>
      </c>
      <c r="G69" s="290" t="str">
        <f>IF(dir!G46="","",dir!G46)</f>
        <v/>
      </c>
      <c r="H69" s="99" t="str">
        <f t="shared" si="27"/>
        <v/>
      </c>
      <c r="I69" s="99" t="str">
        <f>IF(J69="","",(IF(dir!I46+1&gt;LOOKUP(H69,schaal2019,regels2019),dir!I46,dir!I46+1)))</f>
        <v/>
      </c>
      <c r="J69" s="291" t="str">
        <f>IF(dir!J46="","",dir!J46)</f>
        <v/>
      </c>
      <c r="K69" s="292"/>
      <c r="L69" s="868">
        <f>IF(dir!L46="","",dir!L46)</f>
        <v>0</v>
      </c>
      <c r="M69" s="868">
        <f>IF(dir!M46="","",dir!M46)</f>
        <v>0</v>
      </c>
      <c r="N69" s="867" t="str">
        <f t="shared" si="28"/>
        <v/>
      </c>
      <c r="O69" s="867"/>
      <c r="P69" s="953" t="str">
        <f t="shared" si="29"/>
        <v/>
      </c>
      <c r="Q69" s="70"/>
      <c r="R69" s="739" t="str">
        <f t="shared" si="30"/>
        <v/>
      </c>
      <c r="S69" s="739" t="str">
        <f t="shared" si="31"/>
        <v/>
      </c>
      <c r="T69" s="740" t="str">
        <f t="shared" si="32"/>
        <v/>
      </c>
      <c r="U69" s="275"/>
      <c r="V69" s="293"/>
      <c r="W69" s="288"/>
      <c r="X69" s="288"/>
      <c r="Y69" s="908">
        <f t="shared" si="33"/>
        <v>0</v>
      </c>
      <c r="Z69" s="986">
        <f>tab!$D$62</f>
        <v>0.6</v>
      </c>
      <c r="AA69" s="944">
        <f t="shared" si="34"/>
        <v>0</v>
      </c>
      <c r="AB69" s="944">
        <f t="shared" si="35"/>
        <v>0</v>
      </c>
      <c r="AC69" s="944">
        <f t="shared" si="36"/>
        <v>0</v>
      </c>
      <c r="AD69" s="943" t="e">
        <f t="shared" si="37"/>
        <v>#VALUE!</v>
      </c>
      <c r="AE69" s="943">
        <f t="shared" si="38"/>
        <v>0</v>
      </c>
      <c r="AF69" s="916">
        <f>IF(H69&gt;8,tab!$D$63,tab!$D$65)</f>
        <v>0.5</v>
      </c>
      <c r="AG69" s="925">
        <f t="shared" si="39"/>
        <v>0</v>
      </c>
      <c r="AH69" s="980">
        <f t="shared" si="40"/>
        <v>0</v>
      </c>
      <c r="AM69" s="907"/>
    </row>
    <row r="70" spans="2:39" ht="12.75" customHeight="1" x14ac:dyDescent="0.2">
      <c r="B70" s="49"/>
      <c r="C70" s="69"/>
      <c r="D70" s="289" t="str">
        <f>IF(dir!D47=0,"",dir!D47)</f>
        <v/>
      </c>
      <c r="E70" s="75" t="str">
        <f>IF(dir!E47=0,"",dir!E47)</f>
        <v/>
      </c>
      <c r="F70" s="88" t="str">
        <f>IF(dir!F47="","",dir!F47+1)</f>
        <v/>
      </c>
      <c r="G70" s="290" t="str">
        <f>IF(dir!G47="","",dir!G47)</f>
        <v/>
      </c>
      <c r="H70" s="99" t="str">
        <f t="shared" si="27"/>
        <v/>
      </c>
      <c r="I70" s="99" t="str">
        <f>IF(J70="","",(IF(dir!I47+1&gt;LOOKUP(H70,schaal2019,regels2019),dir!I47,dir!I47+1)))</f>
        <v/>
      </c>
      <c r="J70" s="291" t="str">
        <f>IF(dir!J47="","",dir!J47)</f>
        <v/>
      </c>
      <c r="K70" s="292"/>
      <c r="L70" s="868">
        <f>IF(dir!L47="","",dir!L47)</f>
        <v>0</v>
      </c>
      <c r="M70" s="868">
        <f>IF(dir!M47="","",dir!M47)</f>
        <v>0</v>
      </c>
      <c r="N70" s="867" t="str">
        <f t="shared" si="28"/>
        <v/>
      </c>
      <c r="O70" s="867"/>
      <c r="P70" s="953" t="str">
        <f t="shared" si="29"/>
        <v/>
      </c>
      <c r="Q70" s="70"/>
      <c r="R70" s="739" t="str">
        <f t="shared" si="30"/>
        <v/>
      </c>
      <c r="S70" s="739" t="str">
        <f t="shared" si="31"/>
        <v/>
      </c>
      <c r="T70" s="740" t="str">
        <f t="shared" si="32"/>
        <v/>
      </c>
      <c r="U70" s="275"/>
      <c r="V70" s="293"/>
      <c r="W70" s="288"/>
      <c r="X70" s="288"/>
      <c r="Y70" s="908">
        <f t="shared" si="33"/>
        <v>0</v>
      </c>
      <c r="Z70" s="986">
        <f>tab!$D$62</f>
        <v>0.6</v>
      </c>
      <c r="AA70" s="944">
        <f t="shared" si="34"/>
        <v>0</v>
      </c>
      <c r="AB70" s="944">
        <f t="shared" si="35"/>
        <v>0</v>
      </c>
      <c r="AC70" s="944">
        <f t="shared" si="36"/>
        <v>0</v>
      </c>
      <c r="AD70" s="943" t="e">
        <f t="shared" si="37"/>
        <v>#VALUE!</v>
      </c>
      <c r="AE70" s="943">
        <f t="shared" si="38"/>
        <v>0</v>
      </c>
      <c r="AF70" s="916">
        <f>IF(H70&gt;8,tab!$D$63,tab!$D$65)</f>
        <v>0.5</v>
      </c>
      <c r="AG70" s="925">
        <f t="shared" si="39"/>
        <v>0</v>
      </c>
      <c r="AH70" s="980">
        <f t="shared" si="40"/>
        <v>0</v>
      </c>
      <c r="AM70" s="907"/>
    </row>
    <row r="71" spans="2:39" ht="12.75" customHeight="1" x14ac:dyDescent="0.2">
      <c r="B71" s="49"/>
      <c r="C71" s="69"/>
      <c r="D71" s="289" t="str">
        <f>IF(dir!D48=0,"",dir!D48)</f>
        <v/>
      </c>
      <c r="E71" s="75" t="str">
        <f>IF(dir!E48=0,"",dir!E48)</f>
        <v/>
      </c>
      <c r="F71" s="88" t="str">
        <f>IF(dir!F48="","",dir!F48+1)</f>
        <v/>
      </c>
      <c r="G71" s="290" t="str">
        <f>IF(dir!G48="","",dir!G48)</f>
        <v/>
      </c>
      <c r="H71" s="99" t="str">
        <f t="shared" si="27"/>
        <v/>
      </c>
      <c r="I71" s="99" t="str">
        <f>IF(J71="","",(IF(dir!I48+1&gt;LOOKUP(H71,schaal2019,regels2019),dir!I48,dir!I48+1)))</f>
        <v/>
      </c>
      <c r="J71" s="291" t="str">
        <f>IF(dir!J48="","",dir!J48)</f>
        <v/>
      </c>
      <c r="K71" s="292"/>
      <c r="L71" s="868">
        <f>IF(dir!L48="","",dir!L48)</f>
        <v>0</v>
      </c>
      <c r="M71" s="868">
        <f>IF(dir!M48="","",dir!M48)</f>
        <v>0</v>
      </c>
      <c r="N71" s="867" t="str">
        <f t="shared" si="28"/>
        <v/>
      </c>
      <c r="O71" s="867"/>
      <c r="P71" s="953" t="str">
        <f t="shared" si="29"/>
        <v/>
      </c>
      <c r="Q71" s="70"/>
      <c r="R71" s="739" t="str">
        <f t="shared" si="30"/>
        <v/>
      </c>
      <c r="S71" s="739" t="str">
        <f t="shared" si="31"/>
        <v/>
      </c>
      <c r="T71" s="740" t="str">
        <f t="shared" si="32"/>
        <v/>
      </c>
      <c r="U71" s="275"/>
      <c r="V71" s="293"/>
      <c r="W71" s="288"/>
      <c r="X71" s="288"/>
      <c r="Y71" s="908">
        <f t="shared" si="33"/>
        <v>0</v>
      </c>
      <c r="Z71" s="986">
        <f>tab!$D$62</f>
        <v>0.6</v>
      </c>
      <c r="AA71" s="944">
        <f t="shared" si="34"/>
        <v>0</v>
      </c>
      <c r="AB71" s="944">
        <f t="shared" si="35"/>
        <v>0</v>
      </c>
      <c r="AC71" s="944">
        <f t="shared" si="36"/>
        <v>0</v>
      </c>
      <c r="AD71" s="943" t="e">
        <f t="shared" si="37"/>
        <v>#VALUE!</v>
      </c>
      <c r="AE71" s="943">
        <f t="shared" si="38"/>
        <v>0</v>
      </c>
      <c r="AF71" s="916">
        <f>IF(H71&gt;8,tab!$D$63,tab!$D$65)</f>
        <v>0.5</v>
      </c>
      <c r="AG71" s="925">
        <f t="shared" si="39"/>
        <v>0</v>
      </c>
      <c r="AH71" s="980">
        <f t="shared" si="40"/>
        <v>0</v>
      </c>
      <c r="AM71" s="907"/>
    </row>
    <row r="72" spans="2:39" ht="12.75" customHeight="1" x14ac:dyDescent="0.2">
      <c r="B72" s="49"/>
      <c r="C72" s="69"/>
      <c r="D72" s="289" t="str">
        <f>IF(dir!D49=0,"",dir!D49)</f>
        <v/>
      </c>
      <c r="E72" s="75" t="str">
        <f>IF(dir!E49=0,"",dir!E49)</f>
        <v/>
      </c>
      <c r="F72" s="88" t="str">
        <f>IF(dir!F49="","",dir!F49+1)</f>
        <v/>
      </c>
      <c r="G72" s="290" t="str">
        <f>IF(dir!G49="","",dir!G49)</f>
        <v/>
      </c>
      <c r="H72" s="99" t="str">
        <f t="shared" si="27"/>
        <v/>
      </c>
      <c r="I72" s="99" t="str">
        <f>IF(J72="","",(IF(dir!I49+1&gt;LOOKUP(H72,schaal2019,regels2019),dir!I49,dir!I49+1)))</f>
        <v/>
      </c>
      <c r="J72" s="291" t="str">
        <f>IF(dir!J49="","",dir!J49)</f>
        <v/>
      </c>
      <c r="K72" s="292"/>
      <c r="L72" s="868">
        <f>IF(dir!L49="","",dir!L49)</f>
        <v>0</v>
      </c>
      <c r="M72" s="868">
        <f>IF(dir!M49="","",dir!M49)</f>
        <v>0</v>
      </c>
      <c r="N72" s="867" t="str">
        <f t="shared" si="28"/>
        <v/>
      </c>
      <c r="O72" s="867"/>
      <c r="P72" s="953" t="str">
        <f t="shared" si="29"/>
        <v/>
      </c>
      <c r="Q72" s="70"/>
      <c r="R72" s="739" t="str">
        <f t="shared" si="30"/>
        <v/>
      </c>
      <c r="S72" s="739" t="str">
        <f t="shared" si="31"/>
        <v/>
      </c>
      <c r="T72" s="740" t="str">
        <f t="shared" si="32"/>
        <v/>
      </c>
      <c r="U72" s="275"/>
      <c r="V72" s="293"/>
      <c r="W72" s="288"/>
      <c r="X72" s="288"/>
      <c r="Y72" s="908">
        <f t="shared" si="33"/>
        <v>0</v>
      </c>
      <c r="Z72" s="986">
        <f>tab!$D$62</f>
        <v>0.6</v>
      </c>
      <c r="AA72" s="944">
        <f t="shared" si="34"/>
        <v>0</v>
      </c>
      <c r="AB72" s="944">
        <f t="shared" si="35"/>
        <v>0</v>
      </c>
      <c r="AC72" s="944">
        <f t="shared" si="36"/>
        <v>0</v>
      </c>
      <c r="AD72" s="943" t="e">
        <f t="shared" si="37"/>
        <v>#VALUE!</v>
      </c>
      <c r="AE72" s="943">
        <f t="shared" si="38"/>
        <v>0</v>
      </c>
      <c r="AF72" s="916">
        <f>IF(H72&gt;8,tab!$D$63,tab!$D$65)</f>
        <v>0.5</v>
      </c>
      <c r="AG72" s="925">
        <f t="shared" si="39"/>
        <v>0</v>
      </c>
      <c r="AH72" s="980">
        <f t="shared" si="40"/>
        <v>0</v>
      </c>
      <c r="AM72" s="907"/>
    </row>
    <row r="73" spans="2:39" ht="12.75" customHeight="1" x14ac:dyDescent="0.2">
      <c r="B73" s="49"/>
      <c r="C73" s="69"/>
      <c r="D73" s="289" t="str">
        <f>IF(dir!D50=0,"",dir!D50)</f>
        <v/>
      </c>
      <c r="E73" s="75" t="str">
        <f>IF(dir!E50=0,"",dir!E50)</f>
        <v/>
      </c>
      <c r="F73" s="88" t="str">
        <f>IF(dir!F50="","",dir!F50+1)</f>
        <v/>
      </c>
      <c r="G73" s="290" t="str">
        <f>IF(dir!G50="","",dir!G50)</f>
        <v/>
      </c>
      <c r="H73" s="99" t="str">
        <f t="shared" si="27"/>
        <v/>
      </c>
      <c r="I73" s="99" t="str">
        <f>IF(J73="","",(IF(dir!I50+1&gt;LOOKUP(H73,schaal2019,regels2019),dir!I50,dir!I50+1)))</f>
        <v/>
      </c>
      <c r="J73" s="291" t="str">
        <f>IF(dir!J50="","",dir!J50)</f>
        <v/>
      </c>
      <c r="K73" s="292"/>
      <c r="L73" s="868">
        <f>IF(dir!L50="","",dir!L50)</f>
        <v>0</v>
      </c>
      <c r="M73" s="868">
        <f>IF(dir!M50="","",dir!M50)</f>
        <v>0</v>
      </c>
      <c r="N73" s="867" t="str">
        <f t="shared" si="28"/>
        <v/>
      </c>
      <c r="O73" s="867"/>
      <c r="P73" s="953" t="str">
        <f t="shared" si="29"/>
        <v/>
      </c>
      <c r="Q73" s="70"/>
      <c r="R73" s="739" t="str">
        <f t="shared" si="30"/>
        <v/>
      </c>
      <c r="S73" s="739" t="str">
        <f t="shared" si="31"/>
        <v/>
      </c>
      <c r="T73" s="740" t="str">
        <f t="shared" si="32"/>
        <v/>
      </c>
      <c r="U73" s="275"/>
      <c r="V73" s="293"/>
      <c r="W73" s="288"/>
      <c r="X73" s="288"/>
      <c r="Y73" s="908">
        <f t="shared" si="33"/>
        <v>0</v>
      </c>
      <c r="Z73" s="986">
        <f>tab!$D$62</f>
        <v>0.6</v>
      </c>
      <c r="AA73" s="944">
        <f t="shared" si="34"/>
        <v>0</v>
      </c>
      <c r="AB73" s="944">
        <f t="shared" si="35"/>
        <v>0</v>
      </c>
      <c r="AC73" s="944">
        <f t="shared" si="36"/>
        <v>0</v>
      </c>
      <c r="AD73" s="943" t="e">
        <f t="shared" si="37"/>
        <v>#VALUE!</v>
      </c>
      <c r="AE73" s="943">
        <f t="shared" si="38"/>
        <v>0</v>
      </c>
      <c r="AF73" s="916">
        <f>IF(H73&gt;8,tab!$D$63,tab!$D$65)</f>
        <v>0.5</v>
      </c>
      <c r="AG73" s="925">
        <f t="shared" si="39"/>
        <v>0</v>
      </c>
      <c r="AH73" s="980">
        <f t="shared" si="40"/>
        <v>0</v>
      </c>
      <c r="AM73" s="907"/>
    </row>
    <row r="74" spans="2:39" ht="12.75" customHeight="1" x14ac:dyDescent="0.2">
      <c r="B74" s="49"/>
      <c r="C74" s="69"/>
      <c r="D74" s="289" t="str">
        <f>IF(dir!D51=0,"",dir!D51)</f>
        <v/>
      </c>
      <c r="E74" s="75" t="str">
        <f>IF(dir!E51=0,"",dir!E51)</f>
        <v/>
      </c>
      <c r="F74" s="88" t="str">
        <f>IF(dir!F51="","",dir!F51+1)</f>
        <v/>
      </c>
      <c r="G74" s="290" t="str">
        <f>IF(dir!G51="","",dir!G51)</f>
        <v/>
      </c>
      <c r="H74" s="99" t="str">
        <f t="shared" si="27"/>
        <v/>
      </c>
      <c r="I74" s="99" t="str">
        <f>IF(J74="","",(IF(dir!I51+1&gt;LOOKUP(H74,schaal2019,regels2019),dir!I51,dir!I51+1)))</f>
        <v/>
      </c>
      <c r="J74" s="291" t="str">
        <f>IF(dir!J51="","",dir!J51)</f>
        <v/>
      </c>
      <c r="K74" s="292"/>
      <c r="L74" s="868">
        <f>IF(dir!L51="","",dir!L51)</f>
        <v>0</v>
      </c>
      <c r="M74" s="868">
        <f>IF(dir!M51="","",dir!M51)</f>
        <v>0</v>
      </c>
      <c r="N74" s="867" t="str">
        <f t="shared" si="28"/>
        <v/>
      </c>
      <c r="O74" s="867"/>
      <c r="P74" s="953" t="str">
        <f t="shared" si="29"/>
        <v/>
      </c>
      <c r="Q74" s="70"/>
      <c r="R74" s="739" t="str">
        <f t="shared" si="30"/>
        <v/>
      </c>
      <c r="S74" s="739" t="str">
        <f t="shared" si="31"/>
        <v/>
      </c>
      <c r="T74" s="740" t="str">
        <f t="shared" si="32"/>
        <v/>
      </c>
      <c r="U74" s="275"/>
      <c r="V74" s="293"/>
      <c r="W74" s="288"/>
      <c r="X74" s="288"/>
      <c r="Y74" s="908">
        <f t="shared" si="33"/>
        <v>0</v>
      </c>
      <c r="Z74" s="986">
        <f>tab!$D$62</f>
        <v>0.6</v>
      </c>
      <c r="AA74" s="944">
        <f t="shared" si="34"/>
        <v>0</v>
      </c>
      <c r="AB74" s="944">
        <f t="shared" si="35"/>
        <v>0</v>
      </c>
      <c r="AC74" s="944">
        <f t="shared" si="36"/>
        <v>0</v>
      </c>
      <c r="AD74" s="943" t="e">
        <f t="shared" si="37"/>
        <v>#VALUE!</v>
      </c>
      <c r="AE74" s="943">
        <f t="shared" si="38"/>
        <v>0</v>
      </c>
      <c r="AF74" s="916">
        <f>IF(H74&gt;8,tab!$D$63,tab!$D$65)</f>
        <v>0.5</v>
      </c>
      <c r="AG74" s="925">
        <f t="shared" si="39"/>
        <v>0</v>
      </c>
      <c r="AH74" s="980">
        <f t="shared" si="40"/>
        <v>0</v>
      </c>
      <c r="AM74" s="907"/>
    </row>
    <row r="75" spans="2:39" ht="12.75" customHeight="1" x14ac:dyDescent="0.2">
      <c r="B75" s="49"/>
      <c r="C75" s="69"/>
      <c r="D75" s="297"/>
      <c r="E75" s="89"/>
      <c r="F75" s="298"/>
      <c r="G75" s="299"/>
      <c r="H75" s="74"/>
      <c r="I75" s="74"/>
      <c r="J75" s="742">
        <f>SUM(J65:J74)</f>
        <v>0</v>
      </c>
      <c r="K75" s="107"/>
      <c r="L75" s="869">
        <f>SUM(L65:L74)</f>
        <v>0</v>
      </c>
      <c r="M75" s="869">
        <f>SUM(M65:M74)</f>
        <v>0</v>
      </c>
      <c r="N75" s="869">
        <f>SUM(N65:N74)</f>
        <v>0</v>
      </c>
      <c r="O75" s="876"/>
      <c r="P75" s="869">
        <f>SUM(P65:P74)</f>
        <v>0</v>
      </c>
      <c r="Q75" s="107"/>
      <c r="R75" s="743">
        <f>SUM(R65:R74)</f>
        <v>0</v>
      </c>
      <c r="S75" s="743">
        <f>SUM(S65:S74)</f>
        <v>0</v>
      </c>
      <c r="T75" s="743">
        <f>SUM(T65:T74)</f>
        <v>0</v>
      </c>
      <c r="U75" s="295"/>
      <c r="V75" s="278"/>
      <c r="Y75" s="909">
        <f>SUM(Y65:Y74)</f>
        <v>3671.0000000000005</v>
      </c>
      <c r="Z75" s="909"/>
      <c r="AA75" s="909"/>
      <c r="AB75" s="909"/>
      <c r="AC75" s="909"/>
      <c r="AD75" s="917" t="e">
        <f>SUM(AD65:AD74)</f>
        <v>#VALUE!</v>
      </c>
      <c r="AE75" s="930">
        <f>SUM(AE65:AE74)</f>
        <v>0</v>
      </c>
      <c r="AF75" s="909"/>
      <c r="AG75" s="933">
        <f>SUM(AG65:AG74)</f>
        <v>25</v>
      </c>
      <c r="AH75" s="981">
        <f>SUM(AH65:AH74)</f>
        <v>0</v>
      </c>
      <c r="AM75" s="907"/>
    </row>
    <row r="76" spans="2:39" ht="12.75" customHeight="1" x14ac:dyDescent="0.2">
      <c r="B76" s="124"/>
      <c r="C76" s="1059"/>
      <c r="D76" s="1094"/>
      <c r="E76" s="1060"/>
      <c r="F76" s="1061"/>
      <c r="G76" s="1062"/>
      <c r="H76" s="1061"/>
      <c r="I76" s="1063"/>
      <c r="J76" s="1064"/>
      <c r="K76" s="1060"/>
      <c r="L76" s="1063"/>
      <c r="M76" s="1063"/>
      <c r="N76" s="1063"/>
      <c r="O76" s="1095"/>
      <c r="P76" s="1063"/>
      <c r="Q76" s="1060"/>
      <c r="R76" s="1066"/>
      <c r="S76" s="1066"/>
      <c r="T76" s="1066"/>
      <c r="U76" s="1096"/>
      <c r="V76" s="1097"/>
      <c r="Y76" s="881"/>
      <c r="Z76" s="909"/>
      <c r="AA76" s="909"/>
      <c r="AB76" s="909"/>
      <c r="AC76" s="909"/>
      <c r="AE76" s="911"/>
      <c r="AF76" s="909"/>
      <c r="AG76" s="933"/>
      <c r="AH76" s="981"/>
    </row>
    <row r="77" spans="2:39" ht="12.75" customHeight="1" x14ac:dyDescent="0.2">
      <c r="H77" s="127"/>
      <c r="J77" s="294"/>
      <c r="R77" s="288"/>
      <c r="S77" s="288"/>
      <c r="T77" s="628"/>
      <c r="V77" s="279"/>
      <c r="Y77" s="908"/>
      <c r="Z77" s="905"/>
      <c r="AA77" s="905"/>
      <c r="AB77" s="905"/>
      <c r="AC77" s="905"/>
      <c r="AE77" s="911"/>
      <c r="AF77" s="905"/>
      <c r="AH77" s="980"/>
    </row>
    <row r="78" spans="2:39" ht="12.75" customHeight="1" x14ac:dyDescent="0.2">
      <c r="H78" s="127"/>
      <c r="J78" s="294"/>
      <c r="R78" s="288"/>
      <c r="S78" s="288"/>
      <c r="T78" s="628"/>
      <c r="V78" s="279"/>
      <c r="Y78" s="908"/>
      <c r="Z78" s="905"/>
      <c r="AA78" s="905"/>
      <c r="AB78" s="905"/>
      <c r="AC78" s="905"/>
      <c r="AE78" s="911"/>
      <c r="AF78" s="905"/>
      <c r="AH78" s="980"/>
    </row>
    <row r="79" spans="2:39" ht="12.75" customHeight="1" x14ac:dyDescent="0.2">
      <c r="C79" s="48" t="s">
        <v>165</v>
      </c>
      <c r="E79" s="326" t="str">
        <f>tab!H2</f>
        <v>2022/23</v>
      </c>
      <c r="H79" s="127"/>
      <c r="J79" s="294"/>
      <c r="R79" s="288"/>
      <c r="S79" s="288"/>
      <c r="T79" s="628"/>
      <c r="V79" s="279"/>
      <c r="Y79" s="908"/>
      <c r="Z79" s="905"/>
      <c r="AA79" s="905"/>
      <c r="AB79" s="905"/>
      <c r="AC79" s="905"/>
      <c r="AE79" s="911"/>
      <c r="AF79" s="905"/>
      <c r="AH79" s="980"/>
    </row>
    <row r="80" spans="2:39" ht="12.75" customHeight="1" x14ac:dyDescent="0.2">
      <c r="C80" s="209" t="s">
        <v>187</v>
      </c>
      <c r="E80" s="327">
        <f>tab!I3</f>
        <v>44835</v>
      </c>
      <c r="H80" s="127"/>
      <c r="J80" s="294"/>
      <c r="R80" s="288"/>
      <c r="S80" s="288"/>
      <c r="T80" s="628"/>
      <c r="V80" s="279"/>
      <c r="Y80" s="908"/>
      <c r="Z80" s="905"/>
      <c r="AA80" s="905"/>
      <c r="AB80" s="905"/>
      <c r="AC80" s="905"/>
      <c r="AE80" s="911"/>
      <c r="AF80" s="905"/>
      <c r="AH80" s="980"/>
    </row>
    <row r="81" spans="2:45" ht="12.75" customHeight="1" x14ac:dyDescent="0.2">
      <c r="H81" s="127"/>
      <c r="J81" s="294"/>
      <c r="R81" s="288"/>
      <c r="S81" s="288"/>
      <c r="T81" s="628"/>
      <c r="V81" s="279"/>
      <c r="Y81" s="908"/>
      <c r="Z81" s="905"/>
      <c r="AA81" s="905"/>
      <c r="AB81" s="905"/>
      <c r="AC81" s="905"/>
      <c r="AE81" s="911"/>
      <c r="AF81" s="905"/>
      <c r="AH81" s="980"/>
    </row>
    <row r="82" spans="2:45" ht="12.75" customHeight="1" x14ac:dyDescent="0.2">
      <c r="C82" s="66"/>
      <c r="D82" s="722"/>
      <c r="E82" s="723"/>
      <c r="F82" s="704"/>
      <c r="G82" s="725"/>
      <c r="H82" s="726"/>
      <c r="I82" s="726"/>
      <c r="J82" s="727"/>
      <c r="K82" s="728"/>
      <c r="L82" s="726"/>
      <c r="M82" s="726"/>
      <c r="N82" s="726"/>
      <c r="O82" s="878"/>
      <c r="P82" s="726"/>
      <c r="Q82" s="728"/>
      <c r="R82" s="728"/>
      <c r="S82" s="728"/>
      <c r="T82" s="729"/>
      <c r="U82" s="119"/>
      <c r="V82" s="279"/>
      <c r="AE82" s="911"/>
    </row>
    <row r="83" spans="2:45" s="275" customFormat="1" ht="12.75" customHeight="1" x14ac:dyDescent="0.2">
      <c r="B83" s="208"/>
      <c r="C83" s="277"/>
      <c r="D83" s="864" t="s">
        <v>298</v>
      </c>
      <c r="E83" s="865"/>
      <c r="F83" s="865"/>
      <c r="G83" s="865"/>
      <c r="H83" s="866"/>
      <c r="I83" s="866"/>
      <c r="J83" s="866"/>
      <c r="K83" s="968"/>
      <c r="L83" s="864" t="s">
        <v>492</v>
      </c>
      <c r="M83" s="858"/>
      <c r="N83" s="864"/>
      <c r="O83" s="864"/>
      <c r="P83" s="951"/>
      <c r="Q83" s="730"/>
      <c r="R83" s="864" t="s">
        <v>494</v>
      </c>
      <c r="S83" s="866"/>
      <c r="T83" s="935"/>
      <c r="U83" s="746"/>
      <c r="V83" s="279"/>
      <c r="W83" s="279"/>
      <c r="X83" s="279"/>
      <c r="Y83" s="882"/>
      <c r="Z83" s="913"/>
      <c r="AA83" s="882"/>
      <c r="AB83" s="882"/>
      <c r="AC83" s="882"/>
      <c r="AD83" s="912"/>
      <c r="AE83" s="912"/>
      <c r="AF83" s="913"/>
      <c r="AG83" s="933"/>
      <c r="AH83" s="941"/>
      <c r="AI83" s="923"/>
      <c r="AJ83" s="923"/>
      <c r="AK83" s="923"/>
      <c r="AL83" s="923"/>
      <c r="AM83" s="923"/>
      <c r="AN83" s="884"/>
      <c r="AO83" s="884"/>
      <c r="AP83" s="884"/>
      <c r="AQ83" s="901"/>
      <c r="AR83" s="901"/>
      <c r="AS83" s="884"/>
    </row>
    <row r="84" spans="2:45" s="275" customFormat="1" ht="12.75" customHeight="1" x14ac:dyDescent="0.2">
      <c r="B84" s="208"/>
      <c r="C84" s="277"/>
      <c r="D84" s="693" t="s">
        <v>480</v>
      </c>
      <c r="E84" s="693" t="s">
        <v>171</v>
      </c>
      <c r="F84" s="732" t="s">
        <v>119</v>
      </c>
      <c r="G84" s="733" t="s">
        <v>289</v>
      </c>
      <c r="H84" s="732" t="s">
        <v>201</v>
      </c>
      <c r="I84" s="732" t="s">
        <v>229</v>
      </c>
      <c r="J84" s="734" t="s">
        <v>122</v>
      </c>
      <c r="K84" s="969"/>
      <c r="L84" s="735" t="s">
        <v>475</v>
      </c>
      <c r="M84" s="735" t="s">
        <v>468</v>
      </c>
      <c r="N84" s="735" t="s">
        <v>482</v>
      </c>
      <c r="O84" s="735" t="s">
        <v>475</v>
      </c>
      <c r="P84" s="952" t="s">
        <v>487</v>
      </c>
      <c r="Q84" s="702"/>
      <c r="R84" s="863" t="s">
        <v>186</v>
      </c>
      <c r="S84" s="737" t="s">
        <v>493</v>
      </c>
      <c r="T84" s="738" t="s">
        <v>186</v>
      </c>
      <c r="U84" s="747"/>
      <c r="V84" s="282"/>
      <c r="W84" s="282"/>
      <c r="X84" s="282"/>
      <c r="Y84" s="914" t="s">
        <v>322</v>
      </c>
      <c r="Z84" s="960" t="s">
        <v>479</v>
      </c>
      <c r="AA84" s="903" t="s">
        <v>488</v>
      </c>
      <c r="AB84" s="903" t="s">
        <v>488</v>
      </c>
      <c r="AC84" s="903" t="s">
        <v>491</v>
      </c>
      <c r="AD84" s="915" t="s">
        <v>473</v>
      </c>
      <c r="AE84" s="915" t="s">
        <v>474</v>
      </c>
      <c r="AF84" s="902" t="s">
        <v>470</v>
      </c>
      <c r="AG84" s="934" t="s">
        <v>306</v>
      </c>
      <c r="AH84" s="941" t="s">
        <v>415</v>
      </c>
      <c r="AI84" s="902" t="s">
        <v>292</v>
      </c>
      <c r="AJ84" s="902" t="s">
        <v>293</v>
      </c>
      <c r="AK84" s="902" t="s">
        <v>121</v>
      </c>
      <c r="AL84" s="902" t="s">
        <v>198</v>
      </c>
      <c r="AM84" s="915" t="s">
        <v>173</v>
      </c>
      <c r="AN84" s="884"/>
      <c r="AO84" s="884"/>
      <c r="AP84" s="884"/>
      <c r="AQ84" s="901"/>
      <c r="AR84" s="903"/>
      <c r="AS84" s="884"/>
    </row>
    <row r="85" spans="2:45" s="275" customFormat="1" ht="12.75" customHeight="1" x14ac:dyDescent="0.2">
      <c r="B85" s="208"/>
      <c r="C85" s="277"/>
      <c r="D85" s="865"/>
      <c r="E85" s="693"/>
      <c r="F85" s="732" t="s">
        <v>120</v>
      </c>
      <c r="G85" s="733" t="s">
        <v>290</v>
      </c>
      <c r="H85" s="732"/>
      <c r="I85" s="732"/>
      <c r="J85" s="734"/>
      <c r="K85" s="969"/>
      <c r="L85" s="735" t="s">
        <v>476</v>
      </c>
      <c r="M85" s="735" t="s">
        <v>478</v>
      </c>
      <c r="N85" s="735" t="s">
        <v>483</v>
      </c>
      <c r="O85" s="735" t="s">
        <v>477</v>
      </c>
      <c r="P85" s="952" t="s">
        <v>284</v>
      </c>
      <c r="Q85" s="702"/>
      <c r="R85" s="706" t="s">
        <v>485</v>
      </c>
      <c r="S85" s="737" t="s">
        <v>469</v>
      </c>
      <c r="T85" s="738" t="s">
        <v>284</v>
      </c>
      <c r="U85" s="710"/>
      <c r="V85" s="81"/>
      <c r="W85" s="81"/>
      <c r="X85" s="81"/>
      <c r="Y85" s="914" t="s">
        <v>193</v>
      </c>
      <c r="Z85" s="961">
        <f>tab!$D$62</f>
        <v>0.6</v>
      </c>
      <c r="AA85" s="903" t="s">
        <v>489</v>
      </c>
      <c r="AB85" s="903" t="s">
        <v>490</v>
      </c>
      <c r="AC85" s="903" t="s">
        <v>486</v>
      </c>
      <c r="AD85" s="915" t="s">
        <v>472</v>
      </c>
      <c r="AE85" s="915" t="s">
        <v>472</v>
      </c>
      <c r="AF85" s="902" t="s">
        <v>471</v>
      </c>
      <c r="AG85" s="934"/>
      <c r="AH85" s="940" t="s">
        <v>228</v>
      </c>
      <c r="AI85" s="915" t="s">
        <v>291</v>
      </c>
      <c r="AJ85" s="915" t="s">
        <v>291</v>
      </c>
      <c r="AK85" s="902"/>
      <c r="AL85" s="902" t="s">
        <v>173</v>
      </c>
      <c r="AM85" s="915"/>
      <c r="AN85" s="884"/>
      <c r="AO85" s="884"/>
      <c r="AP85" s="884"/>
      <c r="AQ85" s="884"/>
      <c r="AR85" s="904"/>
      <c r="AS85" s="884"/>
    </row>
    <row r="86" spans="2:45" ht="12.75" customHeight="1" x14ac:dyDescent="0.2">
      <c r="C86" s="69"/>
      <c r="D86" s="136"/>
      <c r="E86" s="70"/>
      <c r="F86" s="283"/>
      <c r="G86" s="284"/>
      <c r="H86" s="285"/>
      <c r="I86" s="285"/>
      <c r="J86" s="286"/>
      <c r="K86" s="283"/>
      <c r="L86" s="283"/>
      <c r="M86" s="283"/>
      <c r="N86" s="283"/>
      <c r="O86" s="875"/>
      <c r="P86" s="283"/>
      <c r="Q86" s="283"/>
      <c r="R86" s="287"/>
      <c r="S86" s="287"/>
      <c r="T86" s="363"/>
      <c r="U86" s="120"/>
      <c r="V86" s="279"/>
      <c r="Y86" s="914"/>
      <c r="Z86" s="901"/>
      <c r="AA86" s="901"/>
      <c r="AB86" s="901"/>
      <c r="AC86" s="901"/>
      <c r="AD86" s="915"/>
      <c r="AE86" s="915"/>
      <c r="AF86" s="901"/>
      <c r="AG86" s="934"/>
      <c r="AH86" s="980"/>
      <c r="AO86" s="882"/>
      <c r="AP86" s="882"/>
      <c r="AR86" s="905"/>
    </row>
    <row r="87" spans="2:45" ht="12.75" customHeight="1" x14ac:dyDescent="0.2">
      <c r="C87" s="69"/>
      <c r="D87" s="289" t="str">
        <f>IF(dir!D65=0,"",dir!D65)</f>
        <v/>
      </c>
      <c r="E87" s="75" t="str">
        <f>IF(dir!E65=0,"-",dir!E65)</f>
        <v>nn</v>
      </c>
      <c r="F87" s="88">
        <f>IF(dir!F65="","",dir!F65+1)</f>
        <v>26</v>
      </c>
      <c r="G87" s="290" t="str">
        <f>IF(dir!G65="","",dir!G65)</f>
        <v/>
      </c>
      <c r="H87" s="99" t="str">
        <f t="shared" ref="H87:H96" si="41">IF(H65=0,"",H65)</f>
        <v>DB</v>
      </c>
      <c r="I87" s="99">
        <f>IF(J87="","",(IF(dir!I65+1&gt;LOOKUP(H87,schaal2019,regels2019),dir!I65,dir!I65+1)))</f>
        <v>6</v>
      </c>
      <c r="J87" s="291">
        <f>IF(dir!J65="","",dir!J65)</f>
        <v>0</v>
      </c>
      <c r="K87" s="292"/>
      <c r="L87" s="868">
        <f>IF(dir!L65="","",dir!L65)</f>
        <v>0</v>
      </c>
      <c r="M87" s="868">
        <f>IF(dir!M65="","",dir!M65)</f>
        <v>0</v>
      </c>
      <c r="N87" s="867">
        <f t="shared" ref="N87:N96" si="42">IF(J87="","",IF((J87*40)&gt;40,40,((J87*40))))</f>
        <v>0</v>
      </c>
      <c r="O87" s="867"/>
      <c r="P87" s="953">
        <f t="shared" ref="P87:P96" si="43">IF(J87="","",(SUM(L87:O87)))</f>
        <v>0</v>
      </c>
      <c r="Q87" s="70"/>
      <c r="R87" s="739">
        <f t="shared" ref="R87:R96" si="44">IF(J87="","",(((1659*J87)-P87)*AB87))</f>
        <v>0</v>
      </c>
      <c r="S87" s="739">
        <f t="shared" ref="S87:S96" si="45">IF(J87="","",(P87*AC87)+(AA87*AD87)+((AE87*AA87*(1-AF87))))</f>
        <v>0</v>
      </c>
      <c r="T87" s="740">
        <f t="shared" ref="T87:T96" si="46">IF(J87="","",(R87+S87))</f>
        <v>0</v>
      </c>
      <c r="U87" s="275"/>
      <c r="V87" s="288"/>
      <c r="W87" s="288"/>
      <c r="X87" s="288"/>
      <c r="Y87" s="908">
        <f t="shared" ref="Y87:Y96" si="47">IF(H87="",0,VLOOKUP(H87,salaris2020,I87+1,FALSE))</f>
        <v>3781</v>
      </c>
      <c r="Z87" s="986">
        <f>tab!$D$62</f>
        <v>0.6</v>
      </c>
      <c r="AA87" s="944">
        <f t="shared" ref="AA87:AA97" si="48">(Y87*12/1659)</f>
        <v>27.349005424954793</v>
      </c>
      <c r="AB87" s="944">
        <f t="shared" ref="AB87:AB96" si="49">(Y87*12*(1+Z87))/1659</f>
        <v>43.758408679927669</v>
      </c>
      <c r="AC87" s="944">
        <f t="shared" ref="AC87:AC96" si="50">AB87-AA87</f>
        <v>16.409403254972876</v>
      </c>
      <c r="AD87" s="943">
        <f t="shared" ref="AD87:AD96" si="51">(N87+O87)</f>
        <v>0</v>
      </c>
      <c r="AE87" s="943">
        <f t="shared" ref="AE87:AE96" si="52">(L87+M87)</f>
        <v>0</v>
      </c>
      <c r="AF87" s="916">
        <f>IF(H87&gt;8,tab!$D$63,tab!$D$65)</f>
        <v>0.5</v>
      </c>
      <c r="AG87" s="925">
        <f t="shared" ref="AG87:AG96" si="53">IF(F87&lt;25,0,IF(F87=25,25,IF(F87&lt;40,0,IF(F87=40,40,IF(F87&gt;=40,0)))))</f>
        <v>0</v>
      </c>
      <c r="AH87" s="980">
        <f t="shared" ref="AH87:AH96" si="54">IF(AG87=25,(Y87*1.08*(J87)/2),IF(AG87=40,(Y87*1.08*(J87)),IF(AG87=0,0)))</f>
        <v>0</v>
      </c>
      <c r="AM87" s="907"/>
    </row>
    <row r="88" spans="2:45" ht="12.75" customHeight="1" x14ac:dyDescent="0.2">
      <c r="C88" s="69"/>
      <c r="D88" s="289" t="str">
        <f>IF(dir!D66=0,"",dir!D66)</f>
        <v/>
      </c>
      <c r="E88" s="75" t="str">
        <f>IF(dir!E66=0,"-",dir!E66)</f>
        <v/>
      </c>
      <c r="F88" s="88" t="str">
        <f>IF(dir!F66="","",dir!F66+1)</f>
        <v/>
      </c>
      <c r="G88" s="290" t="str">
        <f>IF(dir!G66="","",dir!G66)</f>
        <v/>
      </c>
      <c r="H88" s="99" t="str">
        <f t="shared" si="41"/>
        <v/>
      </c>
      <c r="I88" s="99" t="str">
        <f>IF(J88="","",(IF(dir!I66+1&gt;LOOKUP(H88,schaal2019,regels2019),dir!I66,dir!I66+1)))</f>
        <v/>
      </c>
      <c r="J88" s="291" t="str">
        <f>IF(dir!J66="","",dir!J66)</f>
        <v/>
      </c>
      <c r="K88" s="292"/>
      <c r="L88" s="868">
        <f>IF(dir!L66="","",dir!L66)</f>
        <v>0</v>
      </c>
      <c r="M88" s="868">
        <f>IF(dir!M66="","",dir!M66)</f>
        <v>0</v>
      </c>
      <c r="N88" s="867" t="str">
        <f t="shared" si="42"/>
        <v/>
      </c>
      <c r="O88" s="867"/>
      <c r="P88" s="953" t="str">
        <f t="shared" si="43"/>
        <v/>
      </c>
      <c r="Q88" s="70"/>
      <c r="R88" s="739" t="str">
        <f t="shared" si="44"/>
        <v/>
      </c>
      <c r="S88" s="739" t="str">
        <f t="shared" si="45"/>
        <v/>
      </c>
      <c r="T88" s="740" t="str">
        <f t="shared" si="46"/>
        <v/>
      </c>
      <c r="U88" s="275"/>
      <c r="V88" s="288"/>
      <c r="W88" s="288"/>
      <c r="X88" s="288"/>
      <c r="Y88" s="908">
        <f t="shared" si="47"/>
        <v>0</v>
      </c>
      <c r="Z88" s="986">
        <f>tab!$D$62</f>
        <v>0.6</v>
      </c>
      <c r="AA88" s="944">
        <f t="shared" si="48"/>
        <v>0</v>
      </c>
      <c r="AB88" s="944">
        <f t="shared" si="49"/>
        <v>0</v>
      </c>
      <c r="AC88" s="944">
        <f t="shared" si="50"/>
        <v>0</v>
      </c>
      <c r="AD88" s="943" t="e">
        <f t="shared" si="51"/>
        <v>#VALUE!</v>
      </c>
      <c r="AE88" s="943">
        <f t="shared" si="52"/>
        <v>0</v>
      </c>
      <c r="AF88" s="916">
        <f>IF(H88&gt;8,tab!$D$63,tab!$D$65)</f>
        <v>0.5</v>
      </c>
      <c r="AG88" s="925">
        <f t="shared" si="53"/>
        <v>0</v>
      </c>
      <c r="AH88" s="980">
        <f t="shared" si="54"/>
        <v>0</v>
      </c>
      <c r="AM88" s="907"/>
    </row>
    <row r="89" spans="2:45" ht="12.75" customHeight="1" x14ac:dyDescent="0.2">
      <c r="C89" s="69"/>
      <c r="D89" s="289" t="str">
        <f>IF(dir!D67=0,"",dir!D67)</f>
        <v/>
      </c>
      <c r="E89" s="75" t="str">
        <f>IF(dir!E67=0,"-",dir!E67)</f>
        <v/>
      </c>
      <c r="F89" s="88" t="str">
        <f>IF(dir!F67="","",dir!F67+1)</f>
        <v/>
      </c>
      <c r="G89" s="290" t="str">
        <f>IF(dir!G67="","",dir!G67)</f>
        <v/>
      </c>
      <c r="H89" s="99" t="str">
        <f t="shared" si="41"/>
        <v/>
      </c>
      <c r="I89" s="99" t="str">
        <f>IF(J89="","",(IF(dir!I67+1&gt;LOOKUP(H89,schaal2019,regels2019),dir!I67,dir!I67+1)))</f>
        <v/>
      </c>
      <c r="J89" s="291" t="str">
        <f>IF(dir!J67="","",dir!J67)</f>
        <v/>
      </c>
      <c r="K89" s="292"/>
      <c r="L89" s="868">
        <f>IF(dir!L67="","",dir!L67)</f>
        <v>0</v>
      </c>
      <c r="M89" s="868">
        <f>IF(dir!M67="","",dir!M67)</f>
        <v>0</v>
      </c>
      <c r="N89" s="867" t="str">
        <f t="shared" si="42"/>
        <v/>
      </c>
      <c r="O89" s="867"/>
      <c r="P89" s="953" t="str">
        <f t="shared" si="43"/>
        <v/>
      </c>
      <c r="Q89" s="70"/>
      <c r="R89" s="739" t="str">
        <f t="shared" si="44"/>
        <v/>
      </c>
      <c r="S89" s="739" t="str">
        <f t="shared" si="45"/>
        <v/>
      </c>
      <c r="T89" s="740" t="str">
        <f t="shared" si="46"/>
        <v/>
      </c>
      <c r="U89" s="275"/>
      <c r="V89" s="288"/>
      <c r="W89" s="288"/>
      <c r="X89" s="288"/>
      <c r="Y89" s="908">
        <f t="shared" si="47"/>
        <v>0</v>
      </c>
      <c r="Z89" s="986">
        <f>tab!$D$62</f>
        <v>0.6</v>
      </c>
      <c r="AA89" s="944">
        <f t="shared" si="48"/>
        <v>0</v>
      </c>
      <c r="AB89" s="944">
        <f t="shared" si="49"/>
        <v>0</v>
      </c>
      <c r="AC89" s="944">
        <f t="shared" si="50"/>
        <v>0</v>
      </c>
      <c r="AD89" s="943" t="e">
        <f t="shared" si="51"/>
        <v>#VALUE!</v>
      </c>
      <c r="AE89" s="943">
        <f t="shared" si="52"/>
        <v>0</v>
      </c>
      <c r="AF89" s="916">
        <f>IF(H89&gt;8,tab!$D$63,tab!$D$65)</f>
        <v>0.5</v>
      </c>
      <c r="AG89" s="925">
        <f t="shared" si="53"/>
        <v>0</v>
      </c>
      <c r="AH89" s="980">
        <f t="shared" si="54"/>
        <v>0</v>
      </c>
      <c r="AM89" s="907"/>
    </row>
    <row r="90" spans="2:45" ht="12.75" customHeight="1" x14ac:dyDescent="0.2">
      <c r="C90" s="69"/>
      <c r="D90" s="289" t="str">
        <f>IF(dir!D68=0,"",dir!D68)</f>
        <v/>
      </c>
      <c r="E90" s="75" t="str">
        <f>IF(dir!E68=0,"-",dir!E68)</f>
        <v/>
      </c>
      <c r="F90" s="88" t="str">
        <f>IF(dir!F68="","",dir!F68+1)</f>
        <v/>
      </c>
      <c r="G90" s="290" t="str">
        <f>IF(dir!G68="","",dir!G68)</f>
        <v/>
      </c>
      <c r="H90" s="99" t="str">
        <f t="shared" si="41"/>
        <v/>
      </c>
      <c r="I90" s="99" t="str">
        <f>IF(J90="","",(IF(dir!I68+1&gt;LOOKUP(H90,schaal2019,regels2019),dir!I68,dir!I68+1)))</f>
        <v/>
      </c>
      <c r="J90" s="291" t="str">
        <f>IF(dir!J68="","",dir!J68)</f>
        <v/>
      </c>
      <c r="K90" s="292"/>
      <c r="L90" s="868">
        <f>IF(dir!L68="","",dir!L68)</f>
        <v>0</v>
      </c>
      <c r="M90" s="868">
        <f>IF(dir!M68="","",dir!M68)</f>
        <v>0</v>
      </c>
      <c r="N90" s="867" t="str">
        <f t="shared" si="42"/>
        <v/>
      </c>
      <c r="O90" s="867"/>
      <c r="P90" s="953" t="str">
        <f t="shared" si="43"/>
        <v/>
      </c>
      <c r="Q90" s="70"/>
      <c r="R90" s="739" t="str">
        <f t="shared" si="44"/>
        <v/>
      </c>
      <c r="S90" s="739" t="str">
        <f t="shared" si="45"/>
        <v/>
      </c>
      <c r="T90" s="740" t="str">
        <f t="shared" si="46"/>
        <v/>
      </c>
      <c r="U90" s="275"/>
      <c r="V90" s="288"/>
      <c r="W90" s="288"/>
      <c r="X90" s="288"/>
      <c r="Y90" s="908">
        <f t="shared" si="47"/>
        <v>0</v>
      </c>
      <c r="Z90" s="986">
        <f>tab!$D$62</f>
        <v>0.6</v>
      </c>
      <c r="AA90" s="944">
        <f t="shared" si="48"/>
        <v>0</v>
      </c>
      <c r="AB90" s="944">
        <f t="shared" si="49"/>
        <v>0</v>
      </c>
      <c r="AC90" s="944">
        <f t="shared" si="50"/>
        <v>0</v>
      </c>
      <c r="AD90" s="943" t="e">
        <f t="shared" si="51"/>
        <v>#VALUE!</v>
      </c>
      <c r="AE90" s="943">
        <f t="shared" si="52"/>
        <v>0</v>
      </c>
      <c r="AF90" s="916">
        <f>IF(H90&gt;8,tab!$D$63,tab!$D$65)</f>
        <v>0.5</v>
      </c>
      <c r="AG90" s="925">
        <f t="shared" si="53"/>
        <v>0</v>
      </c>
      <c r="AH90" s="980">
        <f t="shared" si="54"/>
        <v>0</v>
      </c>
      <c r="AM90" s="907"/>
    </row>
    <row r="91" spans="2:45" ht="12.75" customHeight="1" x14ac:dyDescent="0.2">
      <c r="C91" s="69"/>
      <c r="D91" s="289" t="str">
        <f>IF(dir!D69=0,"",dir!D69)</f>
        <v/>
      </c>
      <c r="E91" s="75" t="str">
        <f>IF(dir!E69=0,"-",dir!E69)</f>
        <v/>
      </c>
      <c r="F91" s="88" t="str">
        <f>IF(dir!F69="","",dir!F69+1)</f>
        <v/>
      </c>
      <c r="G91" s="290" t="str">
        <f>IF(dir!G69="","",dir!G69)</f>
        <v/>
      </c>
      <c r="H91" s="99" t="str">
        <f t="shared" si="41"/>
        <v/>
      </c>
      <c r="I91" s="99" t="str">
        <f>IF(J91="","",(IF(dir!I69+1&gt;LOOKUP(H91,schaal2019,regels2019),dir!I69,dir!I69+1)))</f>
        <v/>
      </c>
      <c r="J91" s="291" t="str">
        <f>IF(dir!J69="","",dir!J69)</f>
        <v/>
      </c>
      <c r="K91" s="292"/>
      <c r="L91" s="868">
        <f>IF(dir!L69="","",dir!L69)</f>
        <v>0</v>
      </c>
      <c r="M91" s="868">
        <f>IF(dir!M69="","",dir!M69)</f>
        <v>0</v>
      </c>
      <c r="N91" s="867" t="str">
        <f t="shared" si="42"/>
        <v/>
      </c>
      <c r="O91" s="867"/>
      <c r="P91" s="953" t="str">
        <f t="shared" si="43"/>
        <v/>
      </c>
      <c r="Q91" s="70"/>
      <c r="R91" s="739" t="str">
        <f t="shared" si="44"/>
        <v/>
      </c>
      <c r="S91" s="739" t="str">
        <f t="shared" si="45"/>
        <v/>
      </c>
      <c r="T91" s="740" t="str">
        <f t="shared" si="46"/>
        <v/>
      </c>
      <c r="U91" s="275"/>
      <c r="V91" s="288"/>
      <c r="W91" s="288"/>
      <c r="X91" s="288"/>
      <c r="Y91" s="908">
        <f t="shared" si="47"/>
        <v>0</v>
      </c>
      <c r="Z91" s="986">
        <f>tab!$D$62</f>
        <v>0.6</v>
      </c>
      <c r="AA91" s="944">
        <f t="shared" si="48"/>
        <v>0</v>
      </c>
      <c r="AB91" s="944">
        <f t="shared" si="49"/>
        <v>0</v>
      </c>
      <c r="AC91" s="944">
        <f t="shared" si="50"/>
        <v>0</v>
      </c>
      <c r="AD91" s="943" t="e">
        <f t="shared" si="51"/>
        <v>#VALUE!</v>
      </c>
      <c r="AE91" s="943">
        <f t="shared" si="52"/>
        <v>0</v>
      </c>
      <c r="AF91" s="916">
        <f>IF(H91&gt;8,tab!$D$63,tab!$D$65)</f>
        <v>0.5</v>
      </c>
      <c r="AG91" s="925">
        <f t="shared" si="53"/>
        <v>0</v>
      </c>
      <c r="AH91" s="980">
        <f t="shared" si="54"/>
        <v>0</v>
      </c>
      <c r="AM91" s="907"/>
    </row>
    <row r="92" spans="2:45" ht="12.75" customHeight="1" x14ac:dyDescent="0.2">
      <c r="C92" s="69"/>
      <c r="D92" s="289" t="str">
        <f>IF(dir!D70=0,"",dir!D70)</f>
        <v/>
      </c>
      <c r="E92" s="75" t="str">
        <f>IF(dir!E70=0,"-",dir!E70)</f>
        <v/>
      </c>
      <c r="F92" s="88" t="str">
        <f>IF(dir!F70="","",dir!F70+1)</f>
        <v/>
      </c>
      <c r="G92" s="290" t="str">
        <f>IF(dir!G70="","",dir!G70)</f>
        <v/>
      </c>
      <c r="H92" s="99" t="str">
        <f t="shared" si="41"/>
        <v/>
      </c>
      <c r="I92" s="99" t="str">
        <f>IF(J92="","",(IF(dir!I70+1&gt;LOOKUP(H92,schaal2019,regels2019),dir!I70,dir!I70+1)))</f>
        <v/>
      </c>
      <c r="J92" s="291" t="str">
        <f>IF(dir!J70="","",dir!J70)</f>
        <v/>
      </c>
      <c r="K92" s="292"/>
      <c r="L92" s="868">
        <f>IF(dir!L70="","",dir!L70)</f>
        <v>0</v>
      </c>
      <c r="M92" s="868">
        <f>IF(dir!M70="","",dir!M70)</f>
        <v>0</v>
      </c>
      <c r="N92" s="867" t="str">
        <f t="shared" si="42"/>
        <v/>
      </c>
      <c r="O92" s="867"/>
      <c r="P92" s="953" t="str">
        <f t="shared" si="43"/>
        <v/>
      </c>
      <c r="Q92" s="70"/>
      <c r="R92" s="739" t="str">
        <f t="shared" si="44"/>
        <v/>
      </c>
      <c r="S92" s="739" t="str">
        <f t="shared" si="45"/>
        <v/>
      </c>
      <c r="T92" s="740" t="str">
        <f t="shared" si="46"/>
        <v/>
      </c>
      <c r="U92" s="275"/>
      <c r="V92" s="288"/>
      <c r="W92" s="288"/>
      <c r="X92" s="288"/>
      <c r="Y92" s="908">
        <f t="shared" si="47"/>
        <v>0</v>
      </c>
      <c r="Z92" s="986">
        <f>tab!$D$62</f>
        <v>0.6</v>
      </c>
      <c r="AA92" s="944">
        <f t="shared" si="48"/>
        <v>0</v>
      </c>
      <c r="AB92" s="944">
        <f t="shared" si="49"/>
        <v>0</v>
      </c>
      <c r="AC92" s="944">
        <f t="shared" si="50"/>
        <v>0</v>
      </c>
      <c r="AD92" s="943" t="e">
        <f t="shared" si="51"/>
        <v>#VALUE!</v>
      </c>
      <c r="AE92" s="943">
        <f t="shared" si="52"/>
        <v>0</v>
      </c>
      <c r="AF92" s="916">
        <f>IF(H92&gt;8,tab!$D$63,tab!$D$65)</f>
        <v>0.5</v>
      </c>
      <c r="AG92" s="925">
        <f t="shared" si="53"/>
        <v>0</v>
      </c>
      <c r="AH92" s="980">
        <f t="shared" si="54"/>
        <v>0</v>
      </c>
      <c r="AM92" s="907"/>
    </row>
    <row r="93" spans="2:45" ht="12.75" customHeight="1" x14ac:dyDescent="0.2">
      <c r="C93" s="69"/>
      <c r="D93" s="289" t="str">
        <f>IF(dir!D71=0,"",dir!D71)</f>
        <v/>
      </c>
      <c r="E93" s="75" t="str">
        <f>IF(dir!E71=0,"-",dir!E71)</f>
        <v/>
      </c>
      <c r="F93" s="88" t="str">
        <f>IF(dir!F71="","",dir!F71+1)</f>
        <v/>
      </c>
      <c r="G93" s="290" t="str">
        <f>IF(dir!G71="","",dir!G71)</f>
        <v/>
      </c>
      <c r="H93" s="99" t="str">
        <f t="shared" si="41"/>
        <v/>
      </c>
      <c r="I93" s="99" t="str">
        <f>IF(J93="","",(IF(dir!I71+1&gt;LOOKUP(H93,schaal2019,regels2019),dir!I71,dir!I71+1)))</f>
        <v/>
      </c>
      <c r="J93" s="291" t="str">
        <f>IF(dir!J71="","",dir!J71)</f>
        <v/>
      </c>
      <c r="K93" s="292"/>
      <c r="L93" s="868">
        <f>IF(dir!L71="","",dir!L71)</f>
        <v>0</v>
      </c>
      <c r="M93" s="868">
        <f>IF(dir!M71="","",dir!M71)</f>
        <v>0</v>
      </c>
      <c r="N93" s="867" t="str">
        <f t="shared" si="42"/>
        <v/>
      </c>
      <c r="O93" s="867"/>
      <c r="P93" s="953" t="str">
        <f t="shared" si="43"/>
        <v/>
      </c>
      <c r="Q93" s="70"/>
      <c r="R93" s="739" t="str">
        <f t="shared" si="44"/>
        <v/>
      </c>
      <c r="S93" s="739" t="str">
        <f t="shared" si="45"/>
        <v/>
      </c>
      <c r="T93" s="740" t="str">
        <f t="shared" si="46"/>
        <v/>
      </c>
      <c r="U93" s="275"/>
      <c r="V93" s="288"/>
      <c r="W93" s="288"/>
      <c r="X93" s="288"/>
      <c r="Y93" s="908">
        <f t="shared" si="47"/>
        <v>0</v>
      </c>
      <c r="Z93" s="986">
        <f>tab!$D$62</f>
        <v>0.6</v>
      </c>
      <c r="AA93" s="944">
        <f t="shared" si="48"/>
        <v>0</v>
      </c>
      <c r="AB93" s="944">
        <f t="shared" si="49"/>
        <v>0</v>
      </c>
      <c r="AC93" s="944">
        <f t="shared" si="50"/>
        <v>0</v>
      </c>
      <c r="AD93" s="943" t="e">
        <f t="shared" si="51"/>
        <v>#VALUE!</v>
      </c>
      <c r="AE93" s="943">
        <f t="shared" si="52"/>
        <v>0</v>
      </c>
      <c r="AF93" s="916">
        <f>IF(H93&gt;8,tab!$D$63,tab!$D$65)</f>
        <v>0.5</v>
      </c>
      <c r="AG93" s="925">
        <f t="shared" si="53"/>
        <v>0</v>
      </c>
      <c r="AH93" s="980">
        <f t="shared" si="54"/>
        <v>0</v>
      </c>
      <c r="AM93" s="907"/>
    </row>
    <row r="94" spans="2:45" ht="12.75" customHeight="1" x14ac:dyDescent="0.2">
      <c r="C94" s="69"/>
      <c r="D94" s="289" t="str">
        <f>IF(dir!D72=0,"",dir!D72)</f>
        <v/>
      </c>
      <c r="E94" s="75" t="str">
        <f>IF(dir!E72=0,"-",dir!E72)</f>
        <v/>
      </c>
      <c r="F94" s="88" t="str">
        <f>IF(dir!F72="","",dir!F72+1)</f>
        <v/>
      </c>
      <c r="G94" s="290" t="str">
        <f>IF(dir!G72="","",dir!G72)</f>
        <v/>
      </c>
      <c r="H94" s="99" t="str">
        <f t="shared" si="41"/>
        <v/>
      </c>
      <c r="I94" s="99" t="str">
        <f>IF(J94="","",(IF(dir!I72+1&gt;LOOKUP(H94,schaal2019,regels2019),dir!I72,dir!I72+1)))</f>
        <v/>
      </c>
      <c r="J94" s="291" t="str">
        <f>IF(dir!J72="","",dir!J72)</f>
        <v/>
      </c>
      <c r="K94" s="292"/>
      <c r="L94" s="868">
        <f>IF(dir!L72="","",dir!L72)</f>
        <v>0</v>
      </c>
      <c r="M94" s="868">
        <f>IF(dir!M72="","",dir!M72)</f>
        <v>0</v>
      </c>
      <c r="N94" s="867" t="str">
        <f t="shared" si="42"/>
        <v/>
      </c>
      <c r="O94" s="867"/>
      <c r="P94" s="953" t="str">
        <f t="shared" si="43"/>
        <v/>
      </c>
      <c r="Q94" s="70"/>
      <c r="R94" s="739" t="str">
        <f t="shared" si="44"/>
        <v/>
      </c>
      <c r="S94" s="739" t="str">
        <f t="shared" si="45"/>
        <v/>
      </c>
      <c r="T94" s="740" t="str">
        <f t="shared" si="46"/>
        <v/>
      </c>
      <c r="U94" s="275"/>
      <c r="V94" s="288"/>
      <c r="W94" s="288"/>
      <c r="X94" s="288"/>
      <c r="Y94" s="908">
        <f t="shared" si="47"/>
        <v>0</v>
      </c>
      <c r="Z94" s="986">
        <f>tab!$D$62</f>
        <v>0.6</v>
      </c>
      <c r="AA94" s="944">
        <f t="shared" si="48"/>
        <v>0</v>
      </c>
      <c r="AB94" s="944">
        <f t="shared" si="49"/>
        <v>0</v>
      </c>
      <c r="AC94" s="944">
        <f t="shared" si="50"/>
        <v>0</v>
      </c>
      <c r="AD94" s="943" t="e">
        <f t="shared" si="51"/>
        <v>#VALUE!</v>
      </c>
      <c r="AE94" s="943">
        <f t="shared" si="52"/>
        <v>0</v>
      </c>
      <c r="AF94" s="916">
        <f>IF(H94&gt;8,tab!$D$63,tab!$D$65)</f>
        <v>0.5</v>
      </c>
      <c r="AG94" s="925">
        <f t="shared" si="53"/>
        <v>0</v>
      </c>
      <c r="AH94" s="980">
        <f t="shared" si="54"/>
        <v>0</v>
      </c>
      <c r="AM94" s="907"/>
    </row>
    <row r="95" spans="2:45" ht="12.75" customHeight="1" x14ac:dyDescent="0.2">
      <c r="C95" s="69"/>
      <c r="D95" s="289" t="str">
        <f>IF(dir!D73=0,"",dir!D73)</f>
        <v/>
      </c>
      <c r="E95" s="75" t="str">
        <f>IF(dir!E73=0,"-",dir!E73)</f>
        <v/>
      </c>
      <c r="F95" s="88" t="str">
        <f>IF(dir!F73="","",dir!F73+1)</f>
        <v/>
      </c>
      <c r="G95" s="290" t="str">
        <f>IF(dir!G73="","",dir!G73)</f>
        <v/>
      </c>
      <c r="H95" s="99" t="str">
        <f t="shared" si="41"/>
        <v/>
      </c>
      <c r="I95" s="99" t="str">
        <f>IF(J95="","",(IF(dir!I73+1&gt;LOOKUP(H95,schaal2019,regels2019),dir!I73,dir!I73+1)))</f>
        <v/>
      </c>
      <c r="J95" s="291" t="str">
        <f>IF(dir!J73="","",dir!J73)</f>
        <v/>
      </c>
      <c r="K95" s="292"/>
      <c r="L95" s="868">
        <f>IF(dir!L73="","",dir!L73)</f>
        <v>0</v>
      </c>
      <c r="M95" s="868">
        <f>IF(dir!M73="","",dir!M73)</f>
        <v>0</v>
      </c>
      <c r="N95" s="867" t="str">
        <f t="shared" si="42"/>
        <v/>
      </c>
      <c r="O95" s="867"/>
      <c r="P95" s="953" t="str">
        <f t="shared" si="43"/>
        <v/>
      </c>
      <c r="Q95" s="70"/>
      <c r="R95" s="739" t="str">
        <f t="shared" si="44"/>
        <v/>
      </c>
      <c r="S95" s="739" t="str">
        <f t="shared" si="45"/>
        <v/>
      </c>
      <c r="T95" s="740" t="str">
        <f t="shared" si="46"/>
        <v/>
      </c>
      <c r="U95" s="275"/>
      <c r="V95" s="288"/>
      <c r="W95" s="288"/>
      <c r="X95" s="288"/>
      <c r="Y95" s="908">
        <f t="shared" si="47"/>
        <v>0</v>
      </c>
      <c r="Z95" s="986">
        <f>tab!$D$62</f>
        <v>0.6</v>
      </c>
      <c r="AA95" s="944">
        <f t="shared" si="48"/>
        <v>0</v>
      </c>
      <c r="AB95" s="944">
        <f t="shared" si="49"/>
        <v>0</v>
      </c>
      <c r="AC95" s="944">
        <f t="shared" si="50"/>
        <v>0</v>
      </c>
      <c r="AD95" s="943" t="e">
        <f t="shared" si="51"/>
        <v>#VALUE!</v>
      </c>
      <c r="AE95" s="943">
        <f t="shared" si="52"/>
        <v>0</v>
      </c>
      <c r="AF95" s="916">
        <f>IF(H95&gt;8,tab!$D$63,tab!$D$65)</f>
        <v>0.5</v>
      </c>
      <c r="AG95" s="925">
        <f t="shared" si="53"/>
        <v>0</v>
      </c>
      <c r="AH95" s="980">
        <f t="shared" si="54"/>
        <v>0</v>
      </c>
      <c r="AM95" s="907"/>
    </row>
    <row r="96" spans="2:45" ht="12.75" customHeight="1" x14ac:dyDescent="0.2">
      <c r="C96" s="69"/>
      <c r="D96" s="289" t="str">
        <f>IF(dir!D74=0,"",dir!D74)</f>
        <v/>
      </c>
      <c r="E96" s="75" t="str">
        <f>IF(dir!E74=0,"-",dir!E74)</f>
        <v/>
      </c>
      <c r="F96" s="88" t="str">
        <f>IF(dir!F74="","",dir!F74+1)</f>
        <v/>
      </c>
      <c r="G96" s="290" t="str">
        <f>IF(dir!G74="","",dir!G74)</f>
        <v/>
      </c>
      <c r="H96" s="99" t="str">
        <f t="shared" si="41"/>
        <v/>
      </c>
      <c r="I96" s="99" t="str">
        <f>IF(J96="","",(IF(dir!I74+1&gt;LOOKUP(H96,schaal2019,regels2019),dir!I74,dir!I74+1)))</f>
        <v/>
      </c>
      <c r="J96" s="291" t="str">
        <f>IF(dir!J74="","",dir!J74)</f>
        <v/>
      </c>
      <c r="K96" s="292"/>
      <c r="L96" s="868">
        <f>IF(dir!L74="","",dir!L74)</f>
        <v>0</v>
      </c>
      <c r="M96" s="868">
        <f>IF(dir!M74="","",dir!M74)</f>
        <v>0</v>
      </c>
      <c r="N96" s="867" t="str">
        <f t="shared" si="42"/>
        <v/>
      </c>
      <c r="O96" s="867"/>
      <c r="P96" s="953" t="str">
        <f t="shared" si="43"/>
        <v/>
      </c>
      <c r="Q96" s="70"/>
      <c r="R96" s="739" t="str">
        <f t="shared" si="44"/>
        <v/>
      </c>
      <c r="S96" s="739" t="str">
        <f t="shared" si="45"/>
        <v/>
      </c>
      <c r="T96" s="740" t="str">
        <f t="shared" si="46"/>
        <v/>
      </c>
      <c r="U96" s="275"/>
      <c r="V96" s="288"/>
      <c r="W96" s="288"/>
      <c r="X96" s="288"/>
      <c r="Y96" s="908">
        <f t="shared" si="47"/>
        <v>0</v>
      </c>
      <c r="Z96" s="986">
        <f>tab!$D$62</f>
        <v>0.6</v>
      </c>
      <c r="AA96" s="944">
        <f t="shared" si="48"/>
        <v>0</v>
      </c>
      <c r="AB96" s="944">
        <f t="shared" si="49"/>
        <v>0</v>
      </c>
      <c r="AC96" s="944">
        <f t="shared" si="50"/>
        <v>0</v>
      </c>
      <c r="AD96" s="943" t="e">
        <f t="shared" si="51"/>
        <v>#VALUE!</v>
      </c>
      <c r="AE96" s="943">
        <f t="shared" si="52"/>
        <v>0</v>
      </c>
      <c r="AF96" s="916">
        <f>IF(H96&gt;8,tab!$D$63,tab!$D$65)</f>
        <v>0.5</v>
      </c>
      <c r="AG96" s="925">
        <f t="shared" si="53"/>
        <v>0</v>
      </c>
      <c r="AH96" s="980">
        <f t="shared" si="54"/>
        <v>0</v>
      </c>
      <c r="AM96" s="907"/>
    </row>
    <row r="97" spans="3:39" ht="12.75" customHeight="1" x14ac:dyDescent="0.2">
      <c r="C97" s="69"/>
      <c r="D97" s="297"/>
      <c r="E97" s="89"/>
      <c r="F97" s="298"/>
      <c r="G97" s="299"/>
      <c r="H97" s="74"/>
      <c r="I97" s="74"/>
      <c r="J97" s="742">
        <f>SUM(J87:J96)</f>
        <v>0</v>
      </c>
      <c r="K97" s="107"/>
      <c r="L97" s="869">
        <f>SUM(L87:L96)</f>
        <v>0</v>
      </c>
      <c r="M97" s="869">
        <f>SUM(M87:M96)</f>
        <v>0</v>
      </c>
      <c r="N97" s="869">
        <f>SUM(N87:N96)</f>
        <v>0</v>
      </c>
      <c r="O97" s="876"/>
      <c r="P97" s="869">
        <f>SUM(P87:P96)</f>
        <v>0</v>
      </c>
      <c r="Q97" s="107"/>
      <c r="R97" s="743">
        <f>SUM(R87:R96)</f>
        <v>0</v>
      </c>
      <c r="S97" s="743">
        <f>SUM(S87:S96)</f>
        <v>0</v>
      </c>
      <c r="T97" s="743">
        <f>SUM(T87:T96)</f>
        <v>0</v>
      </c>
      <c r="U97" s="295"/>
      <c r="V97" s="279"/>
      <c r="Y97" s="909">
        <f>SUM(Y87:Y96)</f>
        <v>3781</v>
      </c>
      <c r="Z97" s="909"/>
      <c r="AA97" s="909">
        <f t="shared" si="48"/>
        <v>27.349005424954793</v>
      </c>
      <c r="AB97" s="909"/>
      <c r="AC97" s="909"/>
      <c r="AD97" s="917" t="e">
        <f>SUM(AD87:AD96)</f>
        <v>#VALUE!</v>
      </c>
      <c r="AE97" s="930">
        <f>SUM(AE87:AE96)</f>
        <v>0</v>
      </c>
      <c r="AF97" s="909"/>
      <c r="AG97" s="933">
        <f>SUM(AG87:AG96)</f>
        <v>0</v>
      </c>
      <c r="AH97" s="981">
        <f>SUM(AH87:AH96)</f>
        <v>0</v>
      </c>
      <c r="AM97" s="907"/>
    </row>
    <row r="98" spans="3:39" ht="12.75" customHeight="1" x14ac:dyDescent="0.2">
      <c r="C98" s="76"/>
      <c r="D98" s="302"/>
      <c r="E98" s="107"/>
      <c r="F98" s="143"/>
      <c r="G98" s="303"/>
      <c r="H98" s="143"/>
      <c r="I98" s="304"/>
      <c r="J98" s="305"/>
      <c r="K98" s="107"/>
      <c r="L98" s="304"/>
      <c r="M98" s="304"/>
      <c r="N98" s="304"/>
      <c r="O98" s="877"/>
      <c r="P98" s="304"/>
      <c r="Q98" s="107"/>
      <c r="R98" s="300"/>
      <c r="S98" s="300"/>
      <c r="T98" s="300"/>
      <c r="U98" s="307"/>
      <c r="V98" s="279"/>
      <c r="Y98" s="881"/>
      <c r="Z98" s="909"/>
      <c r="AA98" s="909"/>
      <c r="AB98" s="909"/>
      <c r="AC98" s="909"/>
      <c r="AE98" s="911"/>
      <c r="AF98" s="909"/>
      <c r="AG98" s="933"/>
      <c r="AH98" s="981"/>
      <c r="AM98" s="907"/>
    </row>
    <row r="99" spans="3:39" ht="12.75" customHeight="1" x14ac:dyDescent="0.2">
      <c r="H99" s="127"/>
      <c r="J99" s="294"/>
      <c r="R99" s="288"/>
      <c r="S99" s="288"/>
      <c r="T99" s="628"/>
      <c r="V99" s="279"/>
      <c r="Y99" s="908"/>
      <c r="Z99" s="905"/>
      <c r="AA99" s="905"/>
      <c r="AB99" s="905"/>
      <c r="AC99" s="905"/>
      <c r="AE99" s="911"/>
      <c r="AF99" s="905"/>
      <c r="AH99" s="980"/>
    </row>
    <row r="100" spans="3:39" x14ac:dyDescent="0.2">
      <c r="V100" s="279"/>
      <c r="AE100" s="911"/>
    </row>
    <row r="101" spans="3:39" x14ac:dyDescent="0.2">
      <c r="C101" s="48" t="s">
        <v>165</v>
      </c>
      <c r="E101" s="326" t="str">
        <f>tab!I2</f>
        <v>2023/24</v>
      </c>
      <c r="H101" s="127"/>
      <c r="J101" s="294"/>
      <c r="R101" s="288"/>
      <c r="S101" s="288"/>
      <c r="T101" s="628"/>
      <c r="V101" s="279"/>
      <c r="Y101" s="908"/>
      <c r="Z101" s="905"/>
      <c r="AA101" s="905"/>
      <c r="AB101" s="905"/>
      <c r="AC101" s="905"/>
      <c r="AE101" s="911"/>
      <c r="AF101" s="905"/>
      <c r="AH101" s="980"/>
    </row>
    <row r="102" spans="3:39" x14ac:dyDescent="0.2">
      <c r="C102" s="209" t="s">
        <v>187</v>
      </c>
      <c r="E102" s="327">
        <f>tab!J3</f>
        <v>45200</v>
      </c>
      <c r="H102" s="127"/>
      <c r="J102" s="294"/>
      <c r="R102" s="288"/>
      <c r="S102" s="288"/>
      <c r="T102" s="628"/>
      <c r="V102" s="279"/>
      <c r="Y102" s="908"/>
      <c r="Z102" s="905"/>
      <c r="AA102" s="905"/>
      <c r="AB102" s="905"/>
      <c r="AC102" s="905"/>
      <c r="AE102" s="911"/>
      <c r="AF102" s="905"/>
      <c r="AH102" s="980"/>
    </row>
    <row r="103" spans="3:39" x14ac:dyDescent="0.2">
      <c r="H103" s="127"/>
      <c r="J103" s="294"/>
      <c r="R103" s="288"/>
      <c r="S103" s="288"/>
      <c r="T103" s="628"/>
      <c r="V103" s="279"/>
      <c r="Y103" s="908"/>
      <c r="Z103" s="905"/>
      <c r="AA103" s="905"/>
      <c r="AB103" s="905"/>
      <c r="AC103" s="905"/>
      <c r="AE103" s="911"/>
      <c r="AF103" s="905"/>
      <c r="AH103" s="980"/>
    </row>
    <row r="104" spans="3:39" x14ac:dyDescent="0.2">
      <c r="C104" s="66"/>
      <c r="D104" s="722"/>
      <c r="E104" s="723"/>
      <c r="F104" s="704"/>
      <c r="G104" s="725"/>
      <c r="H104" s="726"/>
      <c r="I104" s="726"/>
      <c r="J104" s="727"/>
      <c r="K104" s="728"/>
      <c r="L104" s="726"/>
      <c r="M104" s="726"/>
      <c r="N104" s="726"/>
      <c r="O104" s="878"/>
      <c r="P104" s="726"/>
      <c r="Q104" s="728"/>
      <c r="R104" s="728"/>
      <c r="S104" s="728"/>
      <c r="T104" s="729"/>
      <c r="U104" s="119"/>
      <c r="V104" s="279"/>
      <c r="AE104" s="911"/>
    </row>
    <row r="105" spans="3:39" x14ac:dyDescent="0.2">
      <c r="C105" s="277"/>
      <c r="D105" s="864" t="s">
        <v>298</v>
      </c>
      <c r="E105" s="865"/>
      <c r="F105" s="865"/>
      <c r="G105" s="865"/>
      <c r="H105" s="866"/>
      <c r="I105" s="866"/>
      <c r="J105" s="866"/>
      <c r="K105" s="968"/>
      <c r="L105" s="864" t="s">
        <v>492</v>
      </c>
      <c r="M105" s="858"/>
      <c r="N105" s="864"/>
      <c r="O105" s="864"/>
      <c r="P105" s="951"/>
      <c r="Q105" s="730"/>
      <c r="R105" s="864" t="s">
        <v>494</v>
      </c>
      <c r="S105" s="866"/>
      <c r="T105" s="935"/>
      <c r="U105" s="746"/>
      <c r="V105" s="279"/>
      <c r="W105" s="279"/>
      <c r="X105" s="279"/>
      <c r="Y105" s="882"/>
      <c r="Z105" s="913"/>
      <c r="AD105" s="912"/>
      <c r="AE105" s="912"/>
      <c r="AF105" s="913"/>
      <c r="AG105" s="933"/>
      <c r="AH105" s="941"/>
      <c r="AI105" s="923"/>
      <c r="AJ105" s="923"/>
      <c r="AK105" s="923"/>
      <c r="AL105" s="923"/>
      <c r="AM105" s="923"/>
    </row>
    <row r="106" spans="3:39" x14ac:dyDescent="0.2">
      <c r="C106" s="277"/>
      <c r="D106" s="693" t="s">
        <v>480</v>
      </c>
      <c r="E106" s="693" t="s">
        <v>171</v>
      </c>
      <c r="F106" s="732" t="s">
        <v>119</v>
      </c>
      <c r="G106" s="733" t="s">
        <v>289</v>
      </c>
      <c r="H106" s="732" t="s">
        <v>201</v>
      </c>
      <c r="I106" s="732" t="s">
        <v>229</v>
      </c>
      <c r="J106" s="734" t="s">
        <v>122</v>
      </c>
      <c r="K106" s="969"/>
      <c r="L106" s="735" t="s">
        <v>475</v>
      </c>
      <c r="M106" s="735" t="s">
        <v>468</v>
      </c>
      <c r="N106" s="735" t="s">
        <v>482</v>
      </c>
      <c r="O106" s="735" t="s">
        <v>475</v>
      </c>
      <c r="P106" s="952" t="s">
        <v>487</v>
      </c>
      <c r="Q106" s="702"/>
      <c r="R106" s="863" t="s">
        <v>186</v>
      </c>
      <c r="S106" s="737" t="s">
        <v>493</v>
      </c>
      <c r="T106" s="738" t="s">
        <v>186</v>
      </c>
      <c r="U106" s="747"/>
      <c r="V106" s="282"/>
      <c r="W106" s="282"/>
      <c r="X106" s="282"/>
      <c r="Y106" s="914" t="s">
        <v>322</v>
      </c>
      <c r="Z106" s="960" t="s">
        <v>479</v>
      </c>
      <c r="AA106" s="903" t="s">
        <v>488</v>
      </c>
      <c r="AB106" s="903" t="s">
        <v>488</v>
      </c>
      <c r="AC106" s="903" t="s">
        <v>491</v>
      </c>
      <c r="AD106" s="915" t="s">
        <v>473</v>
      </c>
      <c r="AE106" s="915" t="s">
        <v>474</v>
      </c>
      <c r="AF106" s="902" t="s">
        <v>470</v>
      </c>
      <c r="AG106" s="934" t="s">
        <v>306</v>
      </c>
      <c r="AH106" s="941" t="s">
        <v>415</v>
      </c>
      <c r="AI106" s="902" t="s">
        <v>292</v>
      </c>
      <c r="AJ106" s="902" t="s">
        <v>293</v>
      </c>
      <c r="AK106" s="902" t="s">
        <v>121</v>
      </c>
      <c r="AL106" s="902" t="s">
        <v>198</v>
      </c>
      <c r="AM106" s="915" t="s">
        <v>173</v>
      </c>
    </row>
    <row r="107" spans="3:39" x14ac:dyDescent="0.2">
      <c r="C107" s="277"/>
      <c r="D107" s="865"/>
      <c r="E107" s="693"/>
      <c r="F107" s="732" t="s">
        <v>120</v>
      </c>
      <c r="G107" s="733" t="s">
        <v>290</v>
      </c>
      <c r="H107" s="732"/>
      <c r="I107" s="732"/>
      <c r="J107" s="734"/>
      <c r="K107" s="969"/>
      <c r="L107" s="735" t="s">
        <v>476</v>
      </c>
      <c r="M107" s="735" t="s">
        <v>478</v>
      </c>
      <c r="N107" s="735" t="s">
        <v>483</v>
      </c>
      <c r="O107" s="735" t="s">
        <v>477</v>
      </c>
      <c r="P107" s="952" t="s">
        <v>284</v>
      </c>
      <c r="Q107" s="702"/>
      <c r="R107" s="706" t="s">
        <v>485</v>
      </c>
      <c r="S107" s="737" t="s">
        <v>469</v>
      </c>
      <c r="T107" s="738" t="s">
        <v>284</v>
      </c>
      <c r="U107" s="710"/>
      <c r="V107" s="81"/>
      <c r="W107" s="81"/>
      <c r="X107" s="81"/>
      <c r="Y107" s="914" t="s">
        <v>193</v>
      </c>
      <c r="Z107" s="961">
        <f>tab!$D$62</f>
        <v>0.6</v>
      </c>
      <c r="AA107" s="903" t="s">
        <v>489</v>
      </c>
      <c r="AB107" s="903" t="s">
        <v>490</v>
      </c>
      <c r="AC107" s="903" t="s">
        <v>486</v>
      </c>
      <c r="AD107" s="915" t="s">
        <v>472</v>
      </c>
      <c r="AE107" s="915" t="s">
        <v>472</v>
      </c>
      <c r="AF107" s="902" t="s">
        <v>471</v>
      </c>
      <c r="AG107" s="934"/>
      <c r="AH107" s="940" t="s">
        <v>228</v>
      </c>
      <c r="AI107" s="915" t="s">
        <v>291</v>
      </c>
      <c r="AJ107" s="915" t="s">
        <v>291</v>
      </c>
      <c r="AK107" s="902"/>
      <c r="AL107" s="902" t="s">
        <v>173</v>
      </c>
      <c r="AM107" s="915"/>
    </row>
    <row r="108" spans="3:39" x14ac:dyDescent="0.2">
      <c r="C108" s="69"/>
      <c r="D108" s="136"/>
      <c r="E108" s="70"/>
      <c r="F108" s="283"/>
      <c r="G108" s="284"/>
      <c r="H108" s="285"/>
      <c r="I108" s="285"/>
      <c r="J108" s="286"/>
      <c r="K108" s="283"/>
      <c r="L108" s="283"/>
      <c r="M108" s="283"/>
      <c r="N108" s="283"/>
      <c r="O108" s="875"/>
      <c r="P108" s="283"/>
      <c r="Q108" s="283"/>
      <c r="R108" s="287"/>
      <c r="S108" s="287"/>
      <c r="T108" s="363"/>
      <c r="U108" s="120"/>
      <c r="V108" s="279"/>
      <c r="Y108" s="914"/>
      <c r="Z108" s="901"/>
      <c r="AA108" s="901"/>
      <c r="AB108" s="901"/>
      <c r="AC108" s="901"/>
      <c r="AD108" s="915"/>
      <c r="AE108" s="915"/>
      <c r="AF108" s="901"/>
      <c r="AG108" s="934"/>
      <c r="AH108" s="980"/>
    </row>
    <row r="109" spans="3:39" x14ac:dyDescent="0.2">
      <c r="C109" s="69"/>
      <c r="D109" s="289" t="str">
        <f>IF(dir!D87=0,"",dir!D87)</f>
        <v/>
      </c>
      <c r="E109" s="75" t="str">
        <f>IF(dir!E87=0,"-",dir!E87)</f>
        <v>nn</v>
      </c>
      <c r="F109" s="88">
        <f>IF(dir!F87="","",dir!F87+1)</f>
        <v>27</v>
      </c>
      <c r="G109" s="290" t="str">
        <f>IF(dir!G87="","",dir!G87)</f>
        <v/>
      </c>
      <c r="H109" s="99" t="str">
        <f t="shared" ref="H109:H118" si="55">IF(H87=0,"",H87)</f>
        <v>DB</v>
      </c>
      <c r="I109" s="99">
        <f>IF(J109="","",(IF(dir!I87+1&gt;LOOKUP(H109,schaal2019,regels2019),dir!I87,dir!I87+1)))</f>
        <v>7</v>
      </c>
      <c r="J109" s="291">
        <f>IF(dir!J87="","",dir!J87)</f>
        <v>0</v>
      </c>
      <c r="K109" s="292"/>
      <c r="L109" s="868">
        <f>IF(dir!L87="","",dir!L87)</f>
        <v>0</v>
      </c>
      <c r="M109" s="868">
        <f>IF(dir!M87="","",dir!M87)</f>
        <v>0</v>
      </c>
      <c r="N109" s="867">
        <f t="shared" ref="N109:N118" si="56">IF(J109="","",IF((J109*40)&gt;40,40,((J109*40))))</f>
        <v>0</v>
      </c>
      <c r="O109" s="867"/>
      <c r="P109" s="953">
        <f t="shared" ref="P109:P118" si="57">IF(J109="","",(SUM(L109:O109)))</f>
        <v>0</v>
      </c>
      <c r="Q109" s="70"/>
      <c r="R109" s="739">
        <f t="shared" ref="R109:R118" si="58">IF(J109="","",(((1659*J109)-P109)*AB109))</f>
        <v>0</v>
      </c>
      <c r="S109" s="739">
        <f t="shared" ref="S109:S118" si="59">IF(J109="","",(P109*AC109)+(AA109*AD109)+((AE109*AA109*(1-AF109))))</f>
        <v>0</v>
      </c>
      <c r="T109" s="740">
        <f t="shared" ref="T109:T118" si="60">IF(J109="","",(R109+S109))</f>
        <v>0</v>
      </c>
      <c r="U109" s="275"/>
      <c r="V109" s="288"/>
      <c r="W109" s="288"/>
      <c r="X109" s="288"/>
      <c r="Y109" s="908">
        <f t="shared" ref="Y109:Y118" si="61">IF(H109="",0,VLOOKUP(H109,salaris2020,I109+1,FALSE))</f>
        <v>3893</v>
      </c>
      <c r="Z109" s="986">
        <f>tab!$D$62</f>
        <v>0.6</v>
      </c>
      <c r="AA109" s="944">
        <f t="shared" ref="AA109:AA118" si="62">(Y109*12/1659)</f>
        <v>28.159132007233271</v>
      </c>
      <c r="AB109" s="944">
        <f t="shared" ref="AB109:AB118" si="63">(Y109*12*(1+Z109))/1659</f>
        <v>45.054611211573238</v>
      </c>
      <c r="AC109" s="944">
        <f t="shared" ref="AC109:AC118" si="64">AB109-AA109</f>
        <v>16.895479204339967</v>
      </c>
      <c r="AD109" s="943">
        <f t="shared" ref="AD109:AD118" si="65">(N109+O109)</f>
        <v>0</v>
      </c>
      <c r="AE109" s="943">
        <f t="shared" ref="AE109:AE118" si="66">(L109+M109)</f>
        <v>0</v>
      </c>
      <c r="AF109" s="916">
        <f>IF(H109&gt;8,tab!$D$63,tab!$D$65)</f>
        <v>0.5</v>
      </c>
      <c r="AG109" s="925">
        <f t="shared" ref="AG109:AG118" si="67">IF(F109&lt;25,0,IF(F109=25,25,IF(F109&lt;40,0,IF(F109=40,40,IF(F109&gt;=40,0)))))</f>
        <v>0</v>
      </c>
      <c r="AH109" s="980">
        <f t="shared" ref="AH109:AH118" si="68">IF(AG109=25,(Y109*1.08*(J109)/2),IF(AG109=40,(Y109*1.08*(J109)),IF(AG109=0,0)))</f>
        <v>0</v>
      </c>
      <c r="AM109" s="907"/>
    </row>
    <row r="110" spans="3:39" x14ac:dyDescent="0.2">
      <c r="C110" s="69"/>
      <c r="D110" s="289" t="str">
        <f>IF(dir!D88=0,"",dir!D88)</f>
        <v/>
      </c>
      <c r="E110" s="75" t="str">
        <f>IF(dir!E88=0,"-",dir!E88)</f>
        <v/>
      </c>
      <c r="F110" s="88" t="str">
        <f>IF(dir!F88="","",dir!F88+1)</f>
        <v/>
      </c>
      <c r="G110" s="290" t="str">
        <f>IF(dir!G88="","",dir!G88)</f>
        <v/>
      </c>
      <c r="H110" s="99" t="str">
        <f t="shared" si="55"/>
        <v/>
      </c>
      <c r="I110" s="99" t="str">
        <f>IF(J110="","",(IF(dir!I88+1&gt;LOOKUP(H110,schaal2019,regels2019),dir!I88,dir!I88+1)))</f>
        <v/>
      </c>
      <c r="J110" s="291" t="str">
        <f>IF(dir!J88="","",dir!J88)</f>
        <v/>
      </c>
      <c r="K110" s="292"/>
      <c r="L110" s="868">
        <f>IF(dir!L88="","",dir!L88)</f>
        <v>0</v>
      </c>
      <c r="M110" s="868">
        <f>IF(dir!M88="","",dir!M88)</f>
        <v>0</v>
      </c>
      <c r="N110" s="867" t="str">
        <f t="shared" si="56"/>
        <v/>
      </c>
      <c r="O110" s="867"/>
      <c r="P110" s="953" t="str">
        <f t="shared" si="57"/>
        <v/>
      </c>
      <c r="Q110" s="70"/>
      <c r="R110" s="739" t="str">
        <f t="shared" si="58"/>
        <v/>
      </c>
      <c r="S110" s="739" t="str">
        <f t="shared" si="59"/>
        <v/>
      </c>
      <c r="T110" s="740" t="str">
        <f t="shared" si="60"/>
        <v/>
      </c>
      <c r="U110" s="275"/>
      <c r="V110" s="288"/>
      <c r="W110" s="288"/>
      <c r="X110" s="288"/>
      <c r="Y110" s="908">
        <f t="shared" si="61"/>
        <v>0</v>
      </c>
      <c r="Z110" s="986">
        <f>tab!$D$62</f>
        <v>0.6</v>
      </c>
      <c r="AA110" s="944">
        <f t="shared" si="62"/>
        <v>0</v>
      </c>
      <c r="AB110" s="944">
        <f t="shared" si="63"/>
        <v>0</v>
      </c>
      <c r="AC110" s="944">
        <f t="shared" si="64"/>
        <v>0</v>
      </c>
      <c r="AD110" s="943" t="e">
        <f t="shared" si="65"/>
        <v>#VALUE!</v>
      </c>
      <c r="AE110" s="943">
        <f t="shared" si="66"/>
        <v>0</v>
      </c>
      <c r="AF110" s="916">
        <f>IF(H110&gt;8,tab!$D$63,tab!$D$65)</f>
        <v>0.5</v>
      </c>
      <c r="AG110" s="925">
        <f t="shared" si="67"/>
        <v>0</v>
      </c>
      <c r="AH110" s="980">
        <f t="shared" si="68"/>
        <v>0</v>
      </c>
      <c r="AM110" s="907"/>
    </row>
    <row r="111" spans="3:39" x14ac:dyDescent="0.2">
      <c r="C111" s="69"/>
      <c r="D111" s="289" t="str">
        <f>IF(dir!D89=0,"",dir!D89)</f>
        <v/>
      </c>
      <c r="E111" s="75" t="str">
        <f>IF(dir!E89=0,"-",dir!E89)</f>
        <v/>
      </c>
      <c r="F111" s="88" t="str">
        <f>IF(dir!F89="","",dir!F89+1)</f>
        <v/>
      </c>
      <c r="G111" s="290" t="str">
        <f>IF(dir!G89="","",dir!G89)</f>
        <v/>
      </c>
      <c r="H111" s="99" t="str">
        <f t="shared" si="55"/>
        <v/>
      </c>
      <c r="I111" s="99" t="str">
        <f>IF(J111="","",(IF(dir!I89+1&gt;LOOKUP(H111,schaal2019,regels2019),dir!I89,dir!I89+1)))</f>
        <v/>
      </c>
      <c r="J111" s="291" t="str">
        <f>IF(dir!J89="","",dir!J89)</f>
        <v/>
      </c>
      <c r="K111" s="292"/>
      <c r="L111" s="868">
        <f>IF(dir!L89="","",dir!L89)</f>
        <v>0</v>
      </c>
      <c r="M111" s="868">
        <f>IF(dir!M89="","",dir!M89)</f>
        <v>0</v>
      </c>
      <c r="N111" s="867" t="str">
        <f t="shared" si="56"/>
        <v/>
      </c>
      <c r="O111" s="867"/>
      <c r="P111" s="953" t="str">
        <f t="shared" si="57"/>
        <v/>
      </c>
      <c r="Q111" s="70"/>
      <c r="R111" s="739" t="str">
        <f t="shared" si="58"/>
        <v/>
      </c>
      <c r="S111" s="739" t="str">
        <f t="shared" si="59"/>
        <v/>
      </c>
      <c r="T111" s="740" t="str">
        <f t="shared" si="60"/>
        <v/>
      </c>
      <c r="U111" s="275"/>
      <c r="V111" s="288"/>
      <c r="W111" s="288"/>
      <c r="X111" s="288"/>
      <c r="Y111" s="908">
        <f t="shared" si="61"/>
        <v>0</v>
      </c>
      <c r="Z111" s="986">
        <f>tab!$D$62</f>
        <v>0.6</v>
      </c>
      <c r="AA111" s="944">
        <f t="shared" si="62"/>
        <v>0</v>
      </c>
      <c r="AB111" s="944">
        <f t="shared" si="63"/>
        <v>0</v>
      </c>
      <c r="AC111" s="944">
        <f t="shared" si="64"/>
        <v>0</v>
      </c>
      <c r="AD111" s="943" t="e">
        <f t="shared" si="65"/>
        <v>#VALUE!</v>
      </c>
      <c r="AE111" s="943">
        <f t="shared" si="66"/>
        <v>0</v>
      </c>
      <c r="AF111" s="916">
        <f>IF(H111&gt;8,tab!$D$63,tab!$D$65)</f>
        <v>0.5</v>
      </c>
      <c r="AG111" s="925">
        <f t="shared" si="67"/>
        <v>0</v>
      </c>
      <c r="AH111" s="980">
        <f t="shared" si="68"/>
        <v>0</v>
      </c>
      <c r="AM111" s="907"/>
    </row>
    <row r="112" spans="3:39" x14ac:dyDescent="0.2">
      <c r="C112" s="69"/>
      <c r="D112" s="289" t="str">
        <f>IF(dir!D90=0,"",dir!D90)</f>
        <v/>
      </c>
      <c r="E112" s="75" t="str">
        <f>IF(dir!E90=0,"-",dir!E90)</f>
        <v/>
      </c>
      <c r="F112" s="88" t="str">
        <f>IF(dir!F90="","",dir!F90+1)</f>
        <v/>
      </c>
      <c r="G112" s="290" t="str">
        <f>IF(dir!G90="","",dir!G90)</f>
        <v/>
      </c>
      <c r="H112" s="99" t="str">
        <f t="shared" si="55"/>
        <v/>
      </c>
      <c r="I112" s="99" t="str">
        <f>IF(J112="","",(IF(dir!I90+1&gt;LOOKUP(H112,schaal2019,regels2019),dir!I90,dir!I90+1)))</f>
        <v/>
      </c>
      <c r="J112" s="291" t="str">
        <f>IF(dir!J90="","",dir!J90)</f>
        <v/>
      </c>
      <c r="K112" s="292"/>
      <c r="L112" s="868">
        <f>IF(dir!L90="","",dir!L90)</f>
        <v>0</v>
      </c>
      <c r="M112" s="868">
        <f>IF(dir!M90="","",dir!M90)</f>
        <v>0</v>
      </c>
      <c r="N112" s="867" t="str">
        <f t="shared" si="56"/>
        <v/>
      </c>
      <c r="O112" s="867"/>
      <c r="P112" s="953" t="str">
        <f t="shared" si="57"/>
        <v/>
      </c>
      <c r="Q112" s="70"/>
      <c r="R112" s="739" t="str">
        <f t="shared" si="58"/>
        <v/>
      </c>
      <c r="S112" s="739" t="str">
        <f t="shared" si="59"/>
        <v/>
      </c>
      <c r="T112" s="740" t="str">
        <f t="shared" si="60"/>
        <v/>
      </c>
      <c r="U112" s="275"/>
      <c r="V112" s="288"/>
      <c r="W112" s="288"/>
      <c r="X112" s="288"/>
      <c r="Y112" s="908">
        <f t="shared" si="61"/>
        <v>0</v>
      </c>
      <c r="Z112" s="986">
        <f>tab!$D$62</f>
        <v>0.6</v>
      </c>
      <c r="AA112" s="944">
        <f t="shared" si="62"/>
        <v>0</v>
      </c>
      <c r="AB112" s="944">
        <f t="shared" si="63"/>
        <v>0</v>
      </c>
      <c r="AC112" s="944">
        <f t="shared" si="64"/>
        <v>0</v>
      </c>
      <c r="AD112" s="943" t="e">
        <f t="shared" si="65"/>
        <v>#VALUE!</v>
      </c>
      <c r="AE112" s="943">
        <f t="shared" si="66"/>
        <v>0</v>
      </c>
      <c r="AF112" s="916">
        <f>IF(H112&gt;8,tab!$D$63,tab!$D$65)</f>
        <v>0.5</v>
      </c>
      <c r="AG112" s="925">
        <f t="shared" si="67"/>
        <v>0</v>
      </c>
      <c r="AH112" s="980">
        <f t="shared" si="68"/>
        <v>0</v>
      </c>
      <c r="AM112" s="907"/>
    </row>
    <row r="113" spans="3:39" x14ac:dyDescent="0.2">
      <c r="C113" s="69"/>
      <c r="D113" s="289" t="str">
        <f>IF(dir!D91=0,"",dir!D91)</f>
        <v/>
      </c>
      <c r="E113" s="75" t="str">
        <f>IF(dir!E91=0,"-",dir!E91)</f>
        <v/>
      </c>
      <c r="F113" s="88" t="str">
        <f>IF(dir!F91="","",dir!F91+1)</f>
        <v/>
      </c>
      <c r="G113" s="290" t="str">
        <f>IF(dir!G91="","",dir!G91)</f>
        <v/>
      </c>
      <c r="H113" s="99" t="str">
        <f t="shared" si="55"/>
        <v/>
      </c>
      <c r="I113" s="99" t="str">
        <f>IF(J113="","",(IF(dir!I91+1&gt;LOOKUP(H113,schaal2019,regels2019),dir!I91,dir!I91+1)))</f>
        <v/>
      </c>
      <c r="J113" s="291" t="str">
        <f>IF(dir!J91="","",dir!J91)</f>
        <v/>
      </c>
      <c r="K113" s="292"/>
      <c r="L113" s="868">
        <f>IF(dir!L91="","",dir!L91)</f>
        <v>0</v>
      </c>
      <c r="M113" s="868">
        <f>IF(dir!M91="","",dir!M91)</f>
        <v>0</v>
      </c>
      <c r="N113" s="867" t="str">
        <f t="shared" si="56"/>
        <v/>
      </c>
      <c r="O113" s="867"/>
      <c r="P113" s="953" t="str">
        <f t="shared" si="57"/>
        <v/>
      </c>
      <c r="Q113" s="70"/>
      <c r="R113" s="739" t="str">
        <f t="shared" si="58"/>
        <v/>
      </c>
      <c r="S113" s="739" t="str">
        <f t="shared" si="59"/>
        <v/>
      </c>
      <c r="T113" s="740" t="str">
        <f t="shared" si="60"/>
        <v/>
      </c>
      <c r="U113" s="275"/>
      <c r="V113" s="288"/>
      <c r="W113" s="288"/>
      <c r="X113" s="288"/>
      <c r="Y113" s="908">
        <f t="shared" si="61"/>
        <v>0</v>
      </c>
      <c r="Z113" s="986">
        <f>tab!$D$62</f>
        <v>0.6</v>
      </c>
      <c r="AA113" s="944">
        <f t="shared" si="62"/>
        <v>0</v>
      </c>
      <c r="AB113" s="944">
        <f t="shared" si="63"/>
        <v>0</v>
      </c>
      <c r="AC113" s="944">
        <f t="shared" si="64"/>
        <v>0</v>
      </c>
      <c r="AD113" s="943" t="e">
        <f t="shared" si="65"/>
        <v>#VALUE!</v>
      </c>
      <c r="AE113" s="943">
        <f t="shared" si="66"/>
        <v>0</v>
      </c>
      <c r="AF113" s="916">
        <f>IF(H113&gt;8,tab!$D$63,tab!$D$65)</f>
        <v>0.5</v>
      </c>
      <c r="AG113" s="925">
        <f t="shared" si="67"/>
        <v>0</v>
      </c>
      <c r="AH113" s="980">
        <f t="shared" si="68"/>
        <v>0</v>
      </c>
      <c r="AM113" s="907"/>
    </row>
    <row r="114" spans="3:39" x14ac:dyDescent="0.2">
      <c r="C114" s="69"/>
      <c r="D114" s="289" t="str">
        <f>IF(dir!D92=0,"",dir!D92)</f>
        <v/>
      </c>
      <c r="E114" s="75" t="str">
        <f>IF(dir!E92=0,"-",dir!E92)</f>
        <v/>
      </c>
      <c r="F114" s="88" t="str">
        <f>IF(dir!F92="","",dir!F92+1)</f>
        <v/>
      </c>
      <c r="G114" s="290" t="str">
        <f>IF(dir!G92="","",dir!G92)</f>
        <v/>
      </c>
      <c r="H114" s="99" t="str">
        <f t="shared" si="55"/>
        <v/>
      </c>
      <c r="I114" s="99" t="str">
        <f>IF(J114="","",(IF(dir!I92+1&gt;LOOKUP(H114,schaal2019,regels2019),dir!I92,dir!I92+1)))</f>
        <v/>
      </c>
      <c r="J114" s="291" t="str">
        <f>IF(dir!J92="","",dir!J92)</f>
        <v/>
      </c>
      <c r="K114" s="292"/>
      <c r="L114" s="868">
        <f>IF(dir!L92="","",dir!L92)</f>
        <v>0</v>
      </c>
      <c r="M114" s="868">
        <f>IF(dir!M92="","",dir!M92)</f>
        <v>0</v>
      </c>
      <c r="N114" s="867" t="str">
        <f t="shared" si="56"/>
        <v/>
      </c>
      <c r="O114" s="867"/>
      <c r="P114" s="953" t="str">
        <f t="shared" si="57"/>
        <v/>
      </c>
      <c r="Q114" s="70"/>
      <c r="R114" s="739" t="str">
        <f t="shared" si="58"/>
        <v/>
      </c>
      <c r="S114" s="739" t="str">
        <f t="shared" si="59"/>
        <v/>
      </c>
      <c r="T114" s="740" t="str">
        <f t="shared" si="60"/>
        <v/>
      </c>
      <c r="U114" s="275"/>
      <c r="V114" s="288"/>
      <c r="W114" s="288"/>
      <c r="X114" s="288"/>
      <c r="Y114" s="908">
        <f t="shared" si="61"/>
        <v>0</v>
      </c>
      <c r="Z114" s="986">
        <f>tab!$D$62</f>
        <v>0.6</v>
      </c>
      <c r="AA114" s="944">
        <f t="shared" si="62"/>
        <v>0</v>
      </c>
      <c r="AB114" s="944">
        <f t="shared" si="63"/>
        <v>0</v>
      </c>
      <c r="AC114" s="944">
        <f t="shared" si="64"/>
        <v>0</v>
      </c>
      <c r="AD114" s="943" t="e">
        <f t="shared" si="65"/>
        <v>#VALUE!</v>
      </c>
      <c r="AE114" s="943">
        <f t="shared" si="66"/>
        <v>0</v>
      </c>
      <c r="AF114" s="916">
        <f>IF(H114&gt;8,tab!$D$63,tab!$D$65)</f>
        <v>0.5</v>
      </c>
      <c r="AG114" s="925">
        <f t="shared" si="67"/>
        <v>0</v>
      </c>
      <c r="AH114" s="980">
        <f t="shared" si="68"/>
        <v>0</v>
      </c>
      <c r="AM114" s="907"/>
    </row>
    <row r="115" spans="3:39" x14ac:dyDescent="0.2">
      <c r="C115" s="69"/>
      <c r="D115" s="289" t="str">
        <f>IF(dir!D93=0,"",dir!D93)</f>
        <v/>
      </c>
      <c r="E115" s="75" t="str">
        <f>IF(dir!E93=0,"-",dir!E93)</f>
        <v/>
      </c>
      <c r="F115" s="88" t="str">
        <f>IF(dir!F93="","",dir!F93+1)</f>
        <v/>
      </c>
      <c r="G115" s="290" t="str">
        <f>IF(dir!G93="","",dir!G93)</f>
        <v/>
      </c>
      <c r="H115" s="99" t="str">
        <f t="shared" si="55"/>
        <v/>
      </c>
      <c r="I115" s="99" t="str">
        <f>IF(J115="","",(IF(dir!I93+1&gt;LOOKUP(H115,schaal2019,regels2019),dir!I93,dir!I93+1)))</f>
        <v/>
      </c>
      <c r="J115" s="291" t="str">
        <f>IF(dir!J93="","",dir!J93)</f>
        <v/>
      </c>
      <c r="K115" s="292"/>
      <c r="L115" s="868">
        <f>IF(dir!L93="","",dir!L93)</f>
        <v>0</v>
      </c>
      <c r="M115" s="868">
        <f>IF(dir!M93="","",dir!M93)</f>
        <v>0</v>
      </c>
      <c r="N115" s="867" t="str">
        <f t="shared" si="56"/>
        <v/>
      </c>
      <c r="O115" s="867"/>
      <c r="P115" s="953" t="str">
        <f t="shared" si="57"/>
        <v/>
      </c>
      <c r="Q115" s="70"/>
      <c r="R115" s="739" t="str">
        <f t="shared" si="58"/>
        <v/>
      </c>
      <c r="S115" s="739" t="str">
        <f t="shared" si="59"/>
        <v/>
      </c>
      <c r="T115" s="740" t="str">
        <f t="shared" si="60"/>
        <v/>
      </c>
      <c r="U115" s="275"/>
      <c r="V115" s="288"/>
      <c r="W115" s="288"/>
      <c r="X115" s="288"/>
      <c r="Y115" s="908">
        <f t="shared" si="61"/>
        <v>0</v>
      </c>
      <c r="Z115" s="986">
        <f>tab!$D$62</f>
        <v>0.6</v>
      </c>
      <c r="AA115" s="944">
        <f t="shared" si="62"/>
        <v>0</v>
      </c>
      <c r="AB115" s="944">
        <f t="shared" si="63"/>
        <v>0</v>
      </c>
      <c r="AC115" s="944">
        <f t="shared" si="64"/>
        <v>0</v>
      </c>
      <c r="AD115" s="943" t="e">
        <f t="shared" si="65"/>
        <v>#VALUE!</v>
      </c>
      <c r="AE115" s="943">
        <f t="shared" si="66"/>
        <v>0</v>
      </c>
      <c r="AF115" s="916">
        <f>IF(H115&gt;8,tab!$D$63,tab!$D$65)</f>
        <v>0.5</v>
      </c>
      <c r="AG115" s="925">
        <f t="shared" si="67"/>
        <v>0</v>
      </c>
      <c r="AH115" s="980">
        <f t="shared" si="68"/>
        <v>0</v>
      </c>
      <c r="AM115" s="907"/>
    </row>
    <row r="116" spans="3:39" x14ac:dyDescent="0.2">
      <c r="C116" s="69"/>
      <c r="D116" s="289" t="str">
        <f>IF(dir!D94=0,"",dir!D94)</f>
        <v/>
      </c>
      <c r="E116" s="75" t="str">
        <f>IF(dir!E94=0,"-",dir!E94)</f>
        <v/>
      </c>
      <c r="F116" s="88" t="str">
        <f>IF(dir!F94="","",dir!F94+1)</f>
        <v/>
      </c>
      <c r="G116" s="290" t="str">
        <f>IF(dir!G94="","",dir!G94)</f>
        <v/>
      </c>
      <c r="H116" s="99" t="str">
        <f t="shared" si="55"/>
        <v/>
      </c>
      <c r="I116" s="99" t="str">
        <f>IF(J116="","",(IF(dir!I94+1&gt;LOOKUP(H116,schaal2019,regels2019),dir!I94,dir!I94+1)))</f>
        <v/>
      </c>
      <c r="J116" s="291" t="str">
        <f>IF(dir!J94="","",dir!J94)</f>
        <v/>
      </c>
      <c r="K116" s="292"/>
      <c r="L116" s="868">
        <f>IF(dir!L94="","",dir!L94)</f>
        <v>0</v>
      </c>
      <c r="M116" s="868">
        <f>IF(dir!M94="","",dir!M94)</f>
        <v>0</v>
      </c>
      <c r="N116" s="867" t="str">
        <f t="shared" si="56"/>
        <v/>
      </c>
      <c r="O116" s="867"/>
      <c r="P116" s="953" t="str">
        <f t="shared" si="57"/>
        <v/>
      </c>
      <c r="Q116" s="70"/>
      <c r="R116" s="739" t="str">
        <f t="shared" si="58"/>
        <v/>
      </c>
      <c r="S116" s="739" t="str">
        <f t="shared" si="59"/>
        <v/>
      </c>
      <c r="T116" s="740" t="str">
        <f t="shared" si="60"/>
        <v/>
      </c>
      <c r="U116" s="275"/>
      <c r="V116" s="288"/>
      <c r="W116" s="288"/>
      <c r="X116" s="288"/>
      <c r="Y116" s="908">
        <f t="shared" si="61"/>
        <v>0</v>
      </c>
      <c r="Z116" s="986">
        <f>tab!$D$62</f>
        <v>0.6</v>
      </c>
      <c r="AA116" s="944">
        <f t="shared" si="62"/>
        <v>0</v>
      </c>
      <c r="AB116" s="944">
        <f t="shared" si="63"/>
        <v>0</v>
      </c>
      <c r="AC116" s="944">
        <f t="shared" si="64"/>
        <v>0</v>
      </c>
      <c r="AD116" s="943" t="e">
        <f t="shared" si="65"/>
        <v>#VALUE!</v>
      </c>
      <c r="AE116" s="943">
        <f t="shared" si="66"/>
        <v>0</v>
      </c>
      <c r="AF116" s="916">
        <f>IF(H116&gt;8,tab!$D$63,tab!$D$65)</f>
        <v>0.5</v>
      </c>
      <c r="AG116" s="925">
        <f t="shared" si="67"/>
        <v>0</v>
      </c>
      <c r="AH116" s="980">
        <f t="shared" si="68"/>
        <v>0</v>
      </c>
      <c r="AM116" s="907"/>
    </row>
    <row r="117" spans="3:39" x14ac:dyDescent="0.2">
      <c r="C117" s="69"/>
      <c r="D117" s="289" t="str">
        <f>IF(dir!D95=0,"",dir!D95)</f>
        <v/>
      </c>
      <c r="E117" s="75" t="str">
        <f>IF(dir!E95=0,"-",dir!E95)</f>
        <v/>
      </c>
      <c r="F117" s="88" t="str">
        <f>IF(dir!F95="","",dir!F95+1)</f>
        <v/>
      </c>
      <c r="G117" s="290" t="str">
        <f>IF(dir!G95="","",dir!G95)</f>
        <v/>
      </c>
      <c r="H117" s="99" t="str">
        <f t="shared" si="55"/>
        <v/>
      </c>
      <c r="I117" s="99" t="str">
        <f>IF(J117="","",(IF(dir!I95+1&gt;LOOKUP(H117,schaal2019,regels2019),dir!I95,dir!I95+1)))</f>
        <v/>
      </c>
      <c r="J117" s="291" t="str">
        <f>IF(dir!J95="","",dir!J95)</f>
        <v/>
      </c>
      <c r="K117" s="292"/>
      <c r="L117" s="868">
        <f>IF(dir!L95="","",dir!L95)</f>
        <v>0</v>
      </c>
      <c r="M117" s="868">
        <f>IF(dir!M95="","",dir!M95)</f>
        <v>0</v>
      </c>
      <c r="N117" s="867" t="str">
        <f t="shared" si="56"/>
        <v/>
      </c>
      <c r="O117" s="867"/>
      <c r="P117" s="953" t="str">
        <f t="shared" si="57"/>
        <v/>
      </c>
      <c r="Q117" s="70"/>
      <c r="R117" s="739" t="str">
        <f t="shared" si="58"/>
        <v/>
      </c>
      <c r="S117" s="739" t="str">
        <f t="shared" si="59"/>
        <v/>
      </c>
      <c r="T117" s="740" t="str">
        <f t="shared" si="60"/>
        <v/>
      </c>
      <c r="U117" s="275"/>
      <c r="V117" s="288"/>
      <c r="W117" s="288"/>
      <c r="X117" s="288"/>
      <c r="Y117" s="908">
        <f t="shared" si="61"/>
        <v>0</v>
      </c>
      <c r="Z117" s="986">
        <f>tab!$D$62</f>
        <v>0.6</v>
      </c>
      <c r="AA117" s="944">
        <f t="shared" si="62"/>
        <v>0</v>
      </c>
      <c r="AB117" s="944">
        <f t="shared" si="63"/>
        <v>0</v>
      </c>
      <c r="AC117" s="944">
        <f t="shared" si="64"/>
        <v>0</v>
      </c>
      <c r="AD117" s="943" t="e">
        <f t="shared" si="65"/>
        <v>#VALUE!</v>
      </c>
      <c r="AE117" s="943">
        <f t="shared" si="66"/>
        <v>0</v>
      </c>
      <c r="AF117" s="916">
        <f>IF(H117&gt;8,tab!$D$63,tab!$D$65)</f>
        <v>0.5</v>
      </c>
      <c r="AG117" s="925">
        <f t="shared" si="67"/>
        <v>0</v>
      </c>
      <c r="AH117" s="980">
        <f t="shared" si="68"/>
        <v>0</v>
      </c>
      <c r="AM117" s="907"/>
    </row>
    <row r="118" spans="3:39" x14ac:dyDescent="0.2">
      <c r="C118" s="69"/>
      <c r="D118" s="289" t="str">
        <f>IF(dir!D96=0,"",dir!D96)</f>
        <v/>
      </c>
      <c r="E118" s="75" t="str">
        <f>IF(dir!E96=0,"-",dir!E96)</f>
        <v/>
      </c>
      <c r="F118" s="88" t="str">
        <f>IF(dir!F96="","",dir!F96+1)</f>
        <v/>
      </c>
      <c r="G118" s="290" t="str">
        <f>IF(dir!G96="","",dir!G96)</f>
        <v/>
      </c>
      <c r="H118" s="99" t="str">
        <f t="shared" si="55"/>
        <v/>
      </c>
      <c r="I118" s="99" t="str">
        <f>IF(J118="","",(IF(dir!I96+1&gt;LOOKUP(H118,schaal2019,regels2019),dir!I96,dir!I96+1)))</f>
        <v/>
      </c>
      <c r="J118" s="291" t="str">
        <f>IF(dir!J96="","",dir!J96)</f>
        <v/>
      </c>
      <c r="K118" s="292"/>
      <c r="L118" s="868">
        <f>IF(dir!L96="","",dir!L96)</f>
        <v>0</v>
      </c>
      <c r="M118" s="868">
        <f>IF(dir!M96="","",dir!M96)</f>
        <v>0</v>
      </c>
      <c r="N118" s="867" t="str">
        <f t="shared" si="56"/>
        <v/>
      </c>
      <c r="O118" s="867"/>
      <c r="P118" s="953" t="str">
        <f t="shared" si="57"/>
        <v/>
      </c>
      <c r="Q118" s="70"/>
      <c r="R118" s="739" t="str">
        <f t="shared" si="58"/>
        <v/>
      </c>
      <c r="S118" s="739" t="str">
        <f t="shared" si="59"/>
        <v/>
      </c>
      <c r="T118" s="740" t="str">
        <f t="shared" si="60"/>
        <v/>
      </c>
      <c r="U118" s="275"/>
      <c r="V118" s="288"/>
      <c r="W118" s="288"/>
      <c r="X118" s="288"/>
      <c r="Y118" s="908">
        <f t="shared" si="61"/>
        <v>0</v>
      </c>
      <c r="Z118" s="986">
        <f>tab!$D$62</f>
        <v>0.6</v>
      </c>
      <c r="AA118" s="944">
        <f t="shared" si="62"/>
        <v>0</v>
      </c>
      <c r="AB118" s="944">
        <f t="shared" si="63"/>
        <v>0</v>
      </c>
      <c r="AC118" s="944">
        <f t="shared" si="64"/>
        <v>0</v>
      </c>
      <c r="AD118" s="943" t="e">
        <f t="shared" si="65"/>
        <v>#VALUE!</v>
      </c>
      <c r="AE118" s="943">
        <f t="shared" si="66"/>
        <v>0</v>
      </c>
      <c r="AF118" s="916">
        <f>IF(H118&gt;8,tab!$D$63,tab!$D$65)</f>
        <v>0.5</v>
      </c>
      <c r="AG118" s="925">
        <f t="shared" si="67"/>
        <v>0</v>
      </c>
      <c r="AH118" s="980">
        <f t="shared" si="68"/>
        <v>0</v>
      </c>
      <c r="AM118" s="907"/>
    </row>
    <row r="119" spans="3:39" x14ac:dyDescent="0.2">
      <c r="C119" s="69"/>
      <c r="D119" s="297"/>
      <c r="E119" s="89"/>
      <c r="F119" s="298"/>
      <c r="G119" s="299"/>
      <c r="H119" s="74"/>
      <c r="I119" s="74"/>
      <c r="J119" s="742">
        <f>SUM(J109:J118)</f>
        <v>0</v>
      </c>
      <c r="K119" s="107"/>
      <c r="L119" s="869">
        <f>SUM(L109:L118)</f>
        <v>0</v>
      </c>
      <c r="M119" s="869">
        <f>SUM(M109:M118)</f>
        <v>0</v>
      </c>
      <c r="N119" s="869">
        <f>SUM(N109:N118)</f>
        <v>0</v>
      </c>
      <c r="O119" s="876"/>
      <c r="P119" s="869">
        <f>SUM(P109:P118)</f>
        <v>0</v>
      </c>
      <c r="Q119" s="107"/>
      <c r="R119" s="743">
        <f>SUM(R109:R118)</f>
        <v>0</v>
      </c>
      <c r="S119" s="743">
        <f>SUM(S109:S118)</f>
        <v>0</v>
      </c>
      <c r="T119" s="743">
        <f>SUM(T109:T118)</f>
        <v>0</v>
      </c>
      <c r="U119" s="295"/>
      <c r="V119" s="279"/>
      <c r="Y119" s="909">
        <f>SUM(Y109:Y118)</f>
        <v>3893</v>
      </c>
      <c r="Z119" s="909"/>
      <c r="AA119" s="909"/>
      <c r="AB119" s="909"/>
      <c r="AC119" s="909"/>
      <c r="AD119" s="917" t="e">
        <f>SUM(AD109:AD118)</f>
        <v>#VALUE!</v>
      </c>
      <c r="AE119" s="930">
        <f>SUM(AE109:AE118)</f>
        <v>0</v>
      </c>
      <c r="AF119" s="909"/>
      <c r="AG119" s="933">
        <f>SUM(AG109:AG118)</f>
        <v>0</v>
      </c>
      <c r="AH119" s="981">
        <f>SUM(AH109:AH118)</f>
        <v>0</v>
      </c>
      <c r="AM119" s="907"/>
    </row>
    <row r="120" spans="3:39" ht="12.75" customHeight="1" x14ac:dyDescent="0.2">
      <c r="C120" s="76"/>
      <c r="D120" s="302"/>
      <c r="E120" s="107"/>
      <c r="F120" s="143"/>
      <c r="G120" s="303"/>
      <c r="H120" s="143"/>
      <c r="I120" s="304"/>
      <c r="J120" s="305"/>
      <c r="K120" s="107"/>
      <c r="L120" s="304"/>
      <c r="M120" s="304"/>
      <c r="N120" s="304"/>
      <c r="O120" s="877"/>
      <c r="P120" s="304"/>
      <c r="Q120" s="107"/>
      <c r="R120" s="300"/>
      <c r="S120" s="300"/>
      <c r="T120" s="300"/>
      <c r="U120" s="307"/>
      <c r="V120" s="279"/>
      <c r="Y120" s="881"/>
      <c r="Z120" s="909"/>
      <c r="AA120" s="909"/>
      <c r="AB120" s="909"/>
      <c r="AC120" s="909"/>
      <c r="AE120" s="911"/>
      <c r="AF120" s="909"/>
      <c r="AG120" s="933"/>
      <c r="AH120" s="981"/>
      <c r="AM120" s="907"/>
    </row>
    <row r="121" spans="3:39" ht="12.75" customHeight="1" x14ac:dyDescent="0.2">
      <c r="H121" s="127"/>
      <c r="J121" s="294"/>
      <c r="R121" s="288"/>
      <c r="S121" s="288"/>
      <c r="T121" s="628"/>
      <c r="V121" s="279"/>
      <c r="Y121" s="908"/>
      <c r="Z121" s="905"/>
      <c r="AA121" s="905"/>
      <c r="AB121" s="905"/>
      <c r="AC121" s="905"/>
      <c r="AE121" s="911"/>
      <c r="AF121" s="905"/>
      <c r="AH121" s="980"/>
    </row>
    <row r="122" spans="3:39" x14ac:dyDescent="0.2">
      <c r="V122" s="279"/>
      <c r="AE122" s="911"/>
    </row>
    <row r="123" spans="3:39" x14ac:dyDescent="0.2">
      <c r="C123" s="48" t="s">
        <v>165</v>
      </c>
      <c r="E123" s="326" t="str">
        <f>tab!J2</f>
        <v>2024/25</v>
      </c>
      <c r="H123" s="127"/>
      <c r="J123" s="294"/>
      <c r="R123" s="288"/>
      <c r="S123" s="288"/>
      <c r="T123" s="628"/>
      <c r="V123" s="279"/>
      <c r="Y123" s="908"/>
      <c r="Z123" s="905"/>
      <c r="AA123" s="905"/>
      <c r="AB123" s="905"/>
      <c r="AC123" s="905"/>
      <c r="AE123" s="911"/>
      <c r="AF123" s="905"/>
      <c r="AH123" s="980"/>
    </row>
    <row r="124" spans="3:39" x14ac:dyDescent="0.2">
      <c r="C124" s="209" t="s">
        <v>187</v>
      </c>
      <c r="E124" s="327">
        <f>tab!K3</f>
        <v>45566</v>
      </c>
      <c r="H124" s="127"/>
      <c r="J124" s="294"/>
      <c r="R124" s="288"/>
      <c r="S124" s="288"/>
      <c r="T124" s="628"/>
      <c r="V124" s="279"/>
      <c r="Y124" s="908"/>
      <c r="Z124" s="905"/>
      <c r="AA124" s="905"/>
      <c r="AB124" s="905"/>
      <c r="AC124" s="905"/>
      <c r="AE124" s="911"/>
      <c r="AF124" s="905"/>
      <c r="AH124" s="980"/>
    </row>
    <row r="125" spans="3:39" x14ac:dyDescent="0.2">
      <c r="H125" s="127"/>
      <c r="J125" s="294"/>
      <c r="R125" s="288"/>
      <c r="S125" s="288"/>
      <c r="T125" s="628"/>
      <c r="V125" s="279"/>
      <c r="Y125" s="908"/>
      <c r="Z125" s="905"/>
      <c r="AA125" s="905"/>
      <c r="AB125" s="905"/>
      <c r="AC125" s="905"/>
      <c r="AE125" s="911"/>
      <c r="AF125" s="905"/>
      <c r="AH125" s="980"/>
    </row>
    <row r="126" spans="3:39" x14ac:dyDescent="0.2">
      <c r="C126" s="66"/>
      <c r="D126" s="722"/>
      <c r="E126" s="723"/>
      <c r="F126" s="704"/>
      <c r="G126" s="725"/>
      <c r="H126" s="726"/>
      <c r="I126" s="726"/>
      <c r="J126" s="727"/>
      <c r="K126" s="728"/>
      <c r="L126" s="726"/>
      <c r="M126" s="726"/>
      <c r="N126" s="726"/>
      <c r="O126" s="878"/>
      <c r="P126" s="726"/>
      <c r="Q126" s="728"/>
      <c r="R126" s="728"/>
      <c r="S126" s="728"/>
      <c r="T126" s="729"/>
      <c r="U126" s="119"/>
      <c r="V126" s="279"/>
      <c r="AE126" s="911"/>
    </row>
    <row r="127" spans="3:39" x14ac:dyDescent="0.2">
      <c r="C127" s="277"/>
      <c r="D127" s="864" t="s">
        <v>298</v>
      </c>
      <c r="E127" s="865"/>
      <c r="F127" s="865"/>
      <c r="G127" s="865"/>
      <c r="H127" s="866"/>
      <c r="I127" s="866"/>
      <c r="J127" s="866"/>
      <c r="K127" s="968"/>
      <c r="L127" s="864" t="s">
        <v>492</v>
      </c>
      <c r="M127" s="858"/>
      <c r="N127" s="864"/>
      <c r="O127" s="864"/>
      <c r="P127" s="951"/>
      <c r="Q127" s="730"/>
      <c r="R127" s="864" t="s">
        <v>494</v>
      </c>
      <c r="S127" s="866"/>
      <c r="T127" s="935"/>
      <c r="U127" s="746"/>
      <c r="V127" s="279"/>
      <c r="W127" s="279"/>
      <c r="X127" s="279"/>
      <c r="Y127" s="882"/>
      <c r="Z127" s="913"/>
      <c r="AD127" s="912"/>
      <c r="AE127" s="912"/>
      <c r="AF127" s="913"/>
      <c r="AG127" s="933"/>
      <c r="AH127" s="941"/>
      <c r="AI127" s="923"/>
      <c r="AJ127" s="923"/>
      <c r="AK127" s="923"/>
      <c r="AL127" s="923"/>
      <c r="AM127" s="923"/>
    </row>
    <row r="128" spans="3:39" x14ac:dyDescent="0.2">
      <c r="C128" s="277"/>
      <c r="D128" s="693" t="s">
        <v>480</v>
      </c>
      <c r="E128" s="693" t="s">
        <v>171</v>
      </c>
      <c r="F128" s="732" t="s">
        <v>119</v>
      </c>
      <c r="G128" s="733" t="s">
        <v>289</v>
      </c>
      <c r="H128" s="732" t="s">
        <v>201</v>
      </c>
      <c r="I128" s="732" t="s">
        <v>229</v>
      </c>
      <c r="J128" s="734" t="s">
        <v>122</v>
      </c>
      <c r="K128" s="969"/>
      <c r="L128" s="735" t="s">
        <v>475</v>
      </c>
      <c r="M128" s="735" t="s">
        <v>468</v>
      </c>
      <c r="N128" s="735" t="s">
        <v>482</v>
      </c>
      <c r="O128" s="735" t="s">
        <v>475</v>
      </c>
      <c r="P128" s="952" t="s">
        <v>487</v>
      </c>
      <c r="Q128" s="702"/>
      <c r="R128" s="863" t="s">
        <v>186</v>
      </c>
      <c r="S128" s="737" t="s">
        <v>493</v>
      </c>
      <c r="T128" s="738" t="s">
        <v>186</v>
      </c>
      <c r="U128" s="747"/>
      <c r="V128" s="282"/>
      <c r="W128" s="282"/>
      <c r="X128" s="282"/>
      <c r="Y128" s="914" t="s">
        <v>322</v>
      </c>
      <c r="Z128" s="960" t="s">
        <v>479</v>
      </c>
      <c r="AA128" s="903" t="s">
        <v>488</v>
      </c>
      <c r="AB128" s="903" t="s">
        <v>488</v>
      </c>
      <c r="AC128" s="903" t="s">
        <v>491</v>
      </c>
      <c r="AD128" s="915" t="s">
        <v>473</v>
      </c>
      <c r="AE128" s="915" t="s">
        <v>474</v>
      </c>
      <c r="AF128" s="902" t="s">
        <v>470</v>
      </c>
      <c r="AG128" s="934" t="s">
        <v>306</v>
      </c>
      <c r="AH128" s="941" t="s">
        <v>415</v>
      </c>
      <c r="AI128" s="902" t="s">
        <v>292</v>
      </c>
      <c r="AJ128" s="902" t="s">
        <v>293</v>
      </c>
      <c r="AK128" s="902" t="s">
        <v>121</v>
      </c>
      <c r="AL128" s="902" t="s">
        <v>198</v>
      </c>
      <c r="AM128" s="915" t="s">
        <v>173</v>
      </c>
    </row>
    <row r="129" spans="3:39" x14ac:dyDescent="0.2">
      <c r="C129" s="277"/>
      <c r="D129" s="865"/>
      <c r="E129" s="693"/>
      <c r="F129" s="732" t="s">
        <v>120</v>
      </c>
      <c r="G129" s="733" t="s">
        <v>290</v>
      </c>
      <c r="H129" s="732"/>
      <c r="I129" s="732"/>
      <c r="J129" s="734"/>
      <c r="K129" s="969"/>
      <c r="L129" s="735" t="s">
        <v>476</v>
      </c>
      <c r="M129" s="735" t="s">
        <v>478</v>
      </c>
      <c r="N129" s="735" t="s">
        <v>483</v>
      </c>
      <c r="O129" s="735" t="s">
        <v>477</v>
      </c>
      <c r="P129" s="952" t="s">
        <v>284</v>
      </c>
      <c r="Q129" s="702"/>
      <c r="R129" s="706" t="s">
        <v>485</v>
      </c>
      <c r="S129" s="737" t="s">
        <v>469</v>
      </c>
      <c r="T129" s="738" t="s">
        <v>284</v>
      </c>
      <c r="U129" s="710"/>
      <c r="V129" s="81"/>
      <c r="W129" s="81"/>
      <c r="X129" s="81"/>
      <c r="Y129" s="914" t="s">
        <v>193</v>
      </c>
      <c r="Z129" s="961">
        <f>tab!$D$62</f>
        <v>0.6</v>
      </c>
      <c r="AA129" s="903" t="s">
        <v>489</v>
      </c>
      <c r="AB129" s="903" t="s">
        <v>490</v>
      </c>
      <c r="AC129" s="903" t="s">
        <v>486</v>
      </c>
      <c r="AD129" s="915" t="s">
        <v>472</v>
      </c>
      <c r="AE129" s="915" t="s">
        <v>472</v>
      </c>
      <c r="AF129" s="902" t="s">
        <v>471</v>
      </c>
      <c r="AG129" s="934"/>
      <c r="AH129" s="940" t="s">
        <v>228</v>
      </c>
      <c r="AI129" s="915" t="s">
        <v>291</v>
      </c>
      <c r="AJ129" s="915" t="s">
        <v>291</v>
      </c>
      <c r="AK129" s="902"/>
      <c r="AL129" s="902" t="s">
        <v>173</v>
      </c>
      <c r="AM129" s="915"/>
    </row>
    <row r="130" spans="3:39" x14ac:dyDescent="0.2">
      <c r="C130" s="69"/>
      <c r="D130" s="136"/>
      <c r="E130" s="70"/>
      <c r="F130" s="283"/>
      <c r="G130" s="284"/>
      <c r="H130" s="285"/>
      <c r="I130" s="285"/>
      <c r="J130" s="286"/>
      <c r="K130" s="283"/>
      <c r="L130" s="283"/>
      <c r="M130" s="283"/>
      <c r="N130" s="283"/>
      <c r="O130" s="875"/>
      <c r="P130" s="283"/>
      <c r="Q130" s="283"/>
      <c r="R130" s="287"/>
      <c r="S130" s="287"/>
      <c r="T130" s="363"/>
      <c r="U130" s="120"/>
      <c r="V130" s="279"/>
      <c r="Y130" s="914"/>
      <c r="Z130" s="901"/>
      <c r="AA130" s="901"/>
      <c r="AB130" s="901"/>
      <c r="AC130" s="901"/>
      <c r="AD130" s="915"/>
      <c r="AE130" s="915"/>
      <c r="AF130" s="901"/>
      <c r="AG130" s="934"/>
      <c r="AH130" s="980"/>
    </row>
    <row r="131" spans="3:39" x14ac:dyDescent="0.2">
      <c r="C131" s="69"/>
      <c r="D131" s="289" t="str">
        <f>IF(dir!D109=0,"",dir!D109)</f>
        <v/>
      </c>
      <c r="E131" s="75" t="str">
        <f>IF(dir!E109=0,"-",dir!E109)</f>
        <v>nn</v>
      </c>
      <c r="F131" s="88">
        <f>IF(dir!F109="","",dir!F109+1)</f>
        <v>28</v>
      </c>
      <c r="G131" s="290" t="str">
        <f>IF(dir!G109="","",dir!G109)</f>
        <v/>
      </c>
      <c r="H131" s="99" t="str">
        <f t="shared" ref="H131:H140" si="69">IF(H109=0,"",H109)</f>
        <v>DB</v>
      </c>
      <c r="I131" s="99">
        <f>IF(J131="","",(IF(dir!I109+1&gt;LOOKUP(H131,schaal2019,regels2019),dir!I109,dir!I109+1)))</f>
        <v>8</v>
      </c>
      <c r="J131" s="291">
        <f>IF(dir!J109="","",dir!J109)</f>
        <v>0</v>
      </c>
      <c r="K131" s="292"/>
      <c r="L131" s="868">
        <f>IF(dir!L109="","",dir!L109)</f>
        <v>0</v>
      </c>
      <c r="M131" s="868">
        <f>IF(dir!M109="","",dir!M109)</f>
        <v>0</v>
      </c>
      <c r="N131" s="867">
        <f t="shared" ref="N131:N140" si="70">IF(J131="","",IF((J131*40)&gt;40,40,((J131*40))))</f>
        <v>0</v>
      </c>
      <c r="O131" s="867"/>
      <c r="P131" s="953">
        <f t="shared" ref="P131:P140" si="71">IF(J131="","",(SUM(L131:O131)))</f>
        <v>0</v>
      </c>
      <c r="Q131" s="70"/>
      <c r="R131" s="739">
        <f t="shared" ref="R131:R140" si="72">IF(J131="","",(((1659*J131)-P131)*AB131))</f>
        <v>0</v>
      </c>
      <c r="S131" s="739">
        <f t="shared" ref="S131:S140" si="73">IF(J131="","",(P131*AC131)+(AA131*AD131)+((AE131*AA131*(1-AF131))))</f>
        <v>0</v>
      </c>
      <c r="T131" s="740">
        <f t="shared" ref="T131:T140" si="74">IF(J131="","",(R131+S131))</f>
        <v>0</v>
      </c>
      <c r="U131" s="275"/>
      <c r="V131" s="288"/>
      <c r="W131" s="288"/>
      <c r="X131" s="288"/>
      <c r="Y131" s="908">
        <f t="shared" ref="Y131:Y140" si="75">IF(H131="",0,VLOOKUP(H131,salaris2020,I131+1,FALSE))</f>
        <v>4007</v>
      </c>
      <c r="Z131" s="986">
        <f>tab!$D$62</f>
        <v>0.6</v>
      </c>
      <c r="AA131" s="944">
        <f t="shared" ref="AA131:AA140" si="76">(Y131*12/1659)</f>
        <v>28.983725135623871</v>
      </c>
      <c r="AB131" s="944">
        <f t="shared" ref="AB131:AB140" si="77">(Y131*12*(1+Z131))/1659</f>
        <v>46.373960216998199</v>
      </c>
      <c r="AC131" s="944">
        <f t="shared" ref="AC131:AC140" si="78">AB131-AA131</f>
        <v>17.390235081374328</v>
      </c>
      <c r="AD131" s="943">
        <f t="shared" ref="AD131:AD140" si="79">(N131+O131)</f>
        <v>0</v>
      </c>
      <c r="AE131" s="943">
        <f t="shared" ref="AE131:AE140" si="80">(L131+M131)</f>
        <v>0</v>
      </c>
      <c r="AF131" s="916">
        <f>IF(H131&gt;8,tab!$D$63,tab!$D$65)</f>
        <v>0.5</v>
      </c>
      <c r="AG131" s="925">
        <f t="shared" ref="AG131:AG140" si="81">IF(F131&lt;25,0,IF(F131=25,25,IF(F131&lt;40,0,IF(F131=40,40,IF(F131&gt;=40,0)))))</f>
        <v>0</v>
      </c>
      <c r="AH131" s="980">
        <f t="shared" ref="AH131:AH140" si="82">IF(AG131=25,(Y131*1.08*(J131)/2),IF(AG131=40,(Y131*1.08*(J131)),IF(AG131=0,0)))</f>
        <v>0</v>
      </c>
      <c r="AM131" s="907"/>
    </row>
    <row r="132" spans="3:39" x14ac:dyDescent="0.2">
      <c r="C132" s="69"/>
      <c r="D132" s="289" t="str">
        <f>IF(dir!D110=0,"",dir!D110)</f>
        <v/>
      </c>
      <c r="E132" s="75" t="str">
        <f>IF(dir!E110=0,"-",dir!E110)</f>
        <v/>
      </c>
      <c r="F132" s="88" t="str">
        <f>IF(dir!F110="","",dir!F110+1)</f>
        <v/>
      </c>
      <c r="G132" s="290" t="str">
        <f>IF(dir!G110="","",dir!G110)</f>
        <v/>
      </c>
      <c r="H132" s="99" t="str">
        <f t="shared" si="69"/>
        <v/>
      </c>
      <c r="I132" s="99" t="str">
        <f>IF(J132="","",(IF(dir!I110+1&gt;LOOKUP(H132,schaal2019,regels2019),dir!I110,dir!I110+1)))</f>
        <v/>
      </c>
      <c r="J132" s="291" t="str">
        <f>IF(dir!J110="","",dir!J110)</f>
        <v/>
      </c>
      <c r="K132" s="292"/>
      <c r="L132" s="868">
        <f>IF(dir!L110="","",dir!L110)</f>
        <v>0</v>
      </c>
      <c r="M132" s="868">
        <f>IF(dir!M110="","",dir!M110)</f>
        <v>0</v>
      </c>
      <c r="N132" s="867" t="str">
        <f t="shared" si="70"/>
        <v/>
      </c>
      <c r="O132" s="867"/>
      <c r="P132" s="953" t="str">
        <f t="shared" si="71"/>
        <v/>
      </c>
      <c r="Q132" s="70"/>
      <c r="R132" s="739" t="str">
        <f t="shared" si="72"/>
        <v/>
      </c>
      <c r="S132" s="739" t="str">
        <f t="shared" si="73"/>
        <v/>
      </c>
      <c r="T132" s="740" t="str">
        <f t="shared" si="74"/>
        <v/>
      </c>
      <c r="U132" s="275"/>
      <c r="V132" s="288"/>
      <c r="W132" s="288"/>
      <c r="X132" s="288"/>
      <c r="Y132" s="908">
        <f t="shared" si="75"/>
        <v>0</v>
      </c>
      <c r="Z132" s="986">
        <f>tab!$D$62</f>
        <v>0.6</v>
      </c>
      <c r="AA132" s="944">
        <f t="shared" si="76"/>
        <v>0</v>
      </c>
      <c r="AB132" s="944">
        <f t="shared" si="77"/>
        <v>0</v>
      </c>
      <c r="AC132" s="944">
        <f t="shared" si="78"/>
        <v>0</v>
      </c>
      <c r="AD132" s="943" t="e">
        <f t="shared" si="79"/>
        <v>#VALUE!</v>
      </c>
      <c r="AE132" s="943">
        <f t="shared" si="80"/>
        <v>0</v>
      </c>
      <c r="AF132" s="916">
        <f>IF(H132&gt;8,tab!$D$63,tab!$D$65)</f>
        <v>0.5</v>
      </c>
      <c r="AG132" s="925">
        <f t="shared" si="81"/>
        <v>0</v>
      </c>
      <c r="AH132" s="980">
        <f t="shared" si="82"/>
        <v>0</v>
      </c>
      <c r="AM132" s="907"/>
    </row>
    <row r="133" spans="3:39" x14ac:dyDescent="0.2">
      <c r="C133" s="69"/>
      <c r="D133" s="289" t="str">
        <f>IF(dir!D111=0,"",dir!D111)</f>
        <v/>
      </c>
      <c r="E133" s="75" t="str">
        <f>IF(dir!E111=0,"-",dir!E111)</f>
        <v/>
      </c>
      <c r="F133" s="88" t="str">
        <f>IF(dir!F111="","",dir!F111+1)</f>
        <v/>
      </c>
      <c r="G133" s="290" t="str">
        <f>IF(dir!G111="","",dir!G111)</f>
        <v/>
      </c>
      <c r="H133" s="99" t="str">
        <f t="shared" si="69"/>
        <v/>
      </c>
      <c r="I133" s="99" t="str">
        <f>IF(J133="","",(IF(dir!I111+1&gt;LOOKUP(H133,schaal2019,regels2019),dir!I111,dir!I111+1)))</f>
        <v/>
      </c>
      <c r="J133" s="291" t="str">
        <f>IF(dir!J111="","",dir!J111)</f>
        <v/>
      </c>
      <c r="K133" s="292"/>
      <c r="L133" s="868">
        <f>IF(dir!L111="","",dir!L111)</f>
        <v>0</v>
      </c>
      <c r="M133" s="868">
        <f>IF(dir!M111="","",dir!M111)</f>
        <v>0</v>
      </c>
      <c r="N133" s="867" t="str">
        <f t="shared" si="70"/>
        <v/>
      </c>
      <c r="O133" s="867"/>
      <c r="P133" s="953" t="str">
        <f t="shared" si="71"/>
        <v/>
      </c>
      <c r="Q133" s="70"/>
      <c r="R133" s="739" t="str">
        <f t="shared" si="72"/>
        <v/>
      </c>
      <c r="S133" s="739" t="str">
        <f t="shared" si="73"/>
        <v/>
      </c>
      <c r="T133" s="740" t="str">
        <f t="shared" si="74"/>
        <v/>
      </c>
      <c r="U133" s="275"/>
      <c r="V133" s="288"/>
      <c r="W133" s="288"/>
      <c r="X133" s="288"/>
      <c r="Y133" s="908">
        <f t="shared" si="75"/>
        <v>0</v>
      </c>
      <c r="Z133" s="986">
        <f>tab!$D$62</f>
        <v>0.6</v>
      </c>
      <c r="AA133" s="944">
        <f t="shared" si="76"/>
        <v>0</v>
      </c>
      <c r="AB133" s="944">
        <f t="shared" si="77"/>
        <v>0</v>
      </c>
      <c r="AC133" s="944">
        <f t="shared" si="78"/>
        <v>0</v>
      </c>
      <c r="AD133" s="943" t="e">
        <f t="shared" si="79"/>
        <v>#VALUE!</v>
      </c>
      <c r="AE133" s="943">
        <f t="shared" si="80"/>
        <v>0</v>
      </c>
      <c r="AF133" s="916">
        <f>IF(H133&gt;8,tab!$D$63,tab!$D$65)</f>
        <v>0.5</v>
      </c>
      <c r="AG133" s="925">
        <f t="shared" si="81"/>
        <v>0</v>
      </c>
      <c r="AH133" s="980">
        <f t="shared" si="82"/>
        <v>0</v>
      </c>
      <c r="AM133" s="907"/>
    </row>
    <row r="134" spans="3:39" x14ac:dyDescent="0.2">
      <c r="C134" s="69"/>
      <c r="D134" s="289" t="str">
        <f>IF(dir!D112=0,"",dir!D112)</f>
        <v/>
      </c>
      <c r="E134" s="75" t="str">
        <f>IF(dir!E112=0,"-",dir!E112)</f>
        <v/>
      </c>
      <c r="F134" s="88" t="str">
        <f>IF(dir!F112="","",dir!F112+1)</f>
        <v/>
      </c>
      <c r="G134" s="290" t="str">
        <f>IF(dir!G112="","",dir!G112)</f>
        <v/>
      </c>
      <c r="H134" s="99" t="str">
        <f t="shared" si="69"/>
        <v/>
      </c>
      <c r="I134" s="99" t="str">
        <f>IF(J134="","",(IF(dir!I112+1&gt;LOOKUP(H134,schaal2019,regels2019),dir!I112,dir!I112+1)))</f>
        <v/>
      </c>
      <c r="J134" s="291" t="str">
        <f>IF(dir!J112="","",dir!J112)</f>
        <v/>
      </c>
      <c r="K134" s="292"/>
      <c r="L134" s="868">
        <f>IF(dir!L112="","",dir!L112)</f>
        <v>0</v>
      </c>
      <c r="M134" s="868">
        <f>IF(dir!M112="","",dir!M112)</f>
        <v>0</v>
      </c>
      <c r="N134" s="867" t="str">
        <f t="shared" si="70"/>
        <v/>
      </c>
      <c r="O134" s="867"/>
      <c r="P134" s="953" t="str">
        <f t="shared" si="71"/>
        <v/>
      </c>
      <c r="Q134" s="70"/>
      <c r="R134" s="739" t="str">
        <f t="shared" si="72"/>
        <v/>
      </c>
      <c r="S134" s="739" t="str">
        <f t="shared" si="73"/>
        <v/>
      </c>
      <c r="T134" s="740" t="str">
        <f t="shared" si="74"/>
        <v/>
      </c>
      <c r="U134" s="275"/>
      <c r="V134" s="288"/>
      <c r="W134" s="288"/>
      <c r="X134" s="288"/>
      <c r="Y134" s="908">
        <f t="shared" si="75"/>
        <v>0</v>
      </c>
      <c r="Z134" s="986">
        <f>tab!$D$62</f>
        <v>0.6</v>
      </c>
      <c r="AA134" s="944">
        <f t="shared" si="76"/>
        <v>0</v>
      </c>
      <c r="AB134" s="944">
        <f t="shared" si="77"/>
        <v>0</v>
      </c>
      <c r="AC134" s="944">
        <f t="shared" si="78"/>
        <v>0</v>
      </c>
      <c r="AD134" s="943" t="e">
        <f t="shared" si="79"/>
        <v>#VALUE!</v>
      </c>
      <c r="AE134" s="943">
        <f t="shared" si="80"/>
        <v>0</v>
      </c>
      <c r="AF134" s="916">
        <f>IF(H134&gt;8,tab!$D$63,tab!$D$65)</f>
        <v>0.5</v>
      </c>
      <c r="AG134" s="925">
        <f t="shared" si="81"/>
        <v>0</v>
      </c>
      <c r="AH134" s="980">
        <f t="shared" si="82"/>
        <v>0</v>
      </c>
      <c r="AM134" s="907"/>
    </row>
    <row r="135" spans="3:39" x14ac:dyDescent="0.2">
      <c r="C135" s="69"/>
      <c r="D135" s="289" t="str">
        <f>IF(dir!D113=0,"",dir!D113)</f>
        <v/>
      </c>
      <c r="E135" s="75" t="str">
        <f>IF(dir!E113=0,"-",dir!E113)</f>
        <v/>
      </c>
      <c r="F135" s="88" t="str">
        <f>IF(dir!F113="","",dir!F113+1)</f>
        <v/>
      </c>
      <c r="G135" s="290" t="str">
        <f>IF(dir!G113="","",dir!G113)</f>
        <v/>
      </c>
      <c r="H135" s="99" t="str">
        <f t="shared" si="69"/>
        <v/>
      </c>
      <c r="I135" s="99" t="str">
        <f>IF(J135="","",(IF(dir!I113+1&gt;LOOKUP(H135,schaal2019,regels2019),dir!I113,dir!I113+1)))</f>
        <v/>
      </c>
      <c r="J135" s="291" t="str">
        <f>IF(dir!J113="","",dir!J113)</f>
        <v/>
      </c>
      <c r="K135" s="292"/>
      <c r="L135" s="868">
        <f>IF(dir!L113="","",dir!L113)</f>
        <v>0</v>
      </c>
      <c r="M135" s="868">
        <f>IF(dir!M113="","",dir!M113)</f>
        <v>0</v>
      </c>
      <c r="N135" s="867" t="str">
        <f t="shared" si="70"/>
        <v/>
      </c>
      <c r="O135" s="867"/>
      <c r="P135" s="953" t="str">
        <f t="shared" si="71"/>
        <v/>
      </c>
      <c r="Q135" s="70"/>
      <c r="R135" s="739" t="str">
        <f t="shared" si="72"/>
        <v/>
      </c>
      <c r="S135" s="739" t="str">
        <f t="shared" si="73"/>
        <v/>
      </c>
      <c r="T135" s="740" t="str">
        <f t="shared" si="74"/>
        <v/>
      </c>
      <c r="U135" s="275"/>
      <c r="V135" s="288"/>
      <c r="W135" s="288"/>
      <c r="X135" s="288"/>
      <c r="Y135" s="908">
        <f t="shared" si="75"/>
        <v>0</v>
      </c>
      <c r="Z135" s="986">
        <f>tab!$D$62</f>
        <v>0.6</v>
      </c>
      <c r="AA135" s="944">
        <f t="shared" si="76"/>
        <v>0</v>
      </c>
      <c r="AB135" s="944">
        <f t="shared" si="77"/>
        <v>0</v>
      </c>
      <c r="AC135" s="944">
        <f t="shared" si="78"/>
        <v>0</v>
      </c>
      <c r="AD135" s="943" t="e">
        <f t="shared" si="79"/>
        <v>#VALUE!</v>
      </c>
      <c r="AE135" s="943">
        <f t="shared" si="80"/>
        <v>0</v>
      </c>
      <c r="AF135" s="916">
        <f>IF(H135&gt;8,tab!$D$63,tab!$D$65)</f>
        <v>0.5</v>
      </c>
      <c r="AG135" s="925">
        <f t="shared" si="81"/>
        <v>0</v>
      </c>
      <c r="AH135" s="980">
        <f t="shared" si="82"/>
        <v>0</v>
      </c>
      <c r="AM135" s="907"/>
    </row>
    <row r="136" spans="3:39" x14ac:dyDescent="0.2">
      <c r="C136" s="69"/>
      <c r="D136" s="289" t="str">
        <f>IF(dir!D114=0,"",dir!D114)</f>
        <v/>
      </c>
      <c r="E136" s="75" t="str">
        <f>IF(dir!E114=0,"-",dir!E114)</f>
        <v/>
      </c>
      <c r="F136" s="88" t="str">
        <f>IF(dir!F114="","",dir!F114+1)</f>
        <v/>
      </c>
      <c r="G136" s="290" t="str">
        <f>IF(dir!G114="","",dir!G114)</f>
        <v/>
      </c>
      <c r="H136" s="99" t="str">
        <f t="shared" si="69"/>
        <v/>
      </c>
      <c r="I136" s="99" t="str">
        <f>IF(J136="","",(IF(dir!I114+1&gt;LOOKUP(H136,schaal2019,regels2019),dir!I114,dir!I114+1)))</f>
        <v/>
      </c>
      <c r="J136" s="291" t="str">
        <f>IF(dir!J114="","",dir!J114)</f>
        <v/>
      </c>
      <c r="K136" s="292"/>
      <c r="L136" s="868">
        <f>IF(dir!L114="","",dir!L114)</f>
        <v>0</v>
      </c>
      <c r="M136" s="868">
        <f>IF(dir!M114="","",dir!M114)</f>
        <v>0</v>
      </c>
      <c r="N136" s="867" t="str">
        <f t="shared" si="70"/>
        <v/>
      </c>
      <c r="O136" s="867"/>
      <c r="P136" s="953" t="str">
        <f t="shared" si="71"/>
        <v/>
      </c>
      <c r="Q136" s="70"/>
      <c r="R136" s="739" t="str">
        <f t="shared" si="72"/>
        <v/>
      </c>
      <c r="S136" s="739" t="str">
        <f t="shared" si="73"/>
        <v/>
      </c>
      <c r="T136" s="740" t="str">
        <f t="shared" si="74"/>
        <v/>
      </c>
      <c r="U136" s="275"/>
      <c r="V136" s="288"/>
      <c r="W136" s="288"/>
      <c r="X136" s="288"/>
      <c r="Y136" s="908">
        <f t="shared" si="75"/>
        <v>0</v>
      </c>
      <c r="Z136" s="986">
        <f>tab!$D$62</f>
        <v>0.6</v>
      </c>
      <c r="AA136" s="944">
        <f t="shared" si="76"/>
        <v>0</v>
      </c>
      <c r="AB136" s="944">
        <f t="shared" si="77"/>
        <v>0</v>
      </c>
      <c r="AC136" s="944">
        <f t="shared" si="78"/>
        <v>0</v>
      </c>
      <c r="AD136" s="943" t="e">
        <f t="shared" si="79"/>
        <v>#VALUE!</v>
      </c>
      <c r="AE136" s="943">
        <f t="shared" si="80"/>
        <v>0</v>
      </c>
      <c r="AF136" s="916">
        <f>IF(H136&gt;8,tab!$D$63,tab!$D$65)</f>
        <v>0.5</v>
      </c>
      <c r="AG136" s="925">
        <f t="shared" si="81"/>
        <v>0</v>
      </c>
      <c r="AH136" s="980">
        <f t="shared" si="82"/>
        <v>0</v>
      </c>
      <c r="AM136" s="907"/>
    </row>
    <row r="137" spans="3:39" x14ac:dyDescent="0.2">
      <c r="C137" s="69"/>
      <c r="D137" s="289" t="str">
        <f>IF(dir!D115=0,"",dir!D115)</f>
        <v/>
      </c>
      <c r="E137" s="75" t="str">
        <f>IF(dir!E115=0,"-",dir!E115)</f>
        <v/>
      </c>
      <c r="F137" s="88" t="str">
        <f>IF(dir!F115="","",dir!F115+1)</f>
        <v/>
      </c>
      <c r="G137" s="290" t="str">
        <f>IF(dir!G115="","",dir!G115)</f>
        <v/>
      </c>
      <c r="H137" s="99" t="str">
        <f t="shared" si="69"/>
        <v/>
      </c>
      <c r="I137" s="99" t="str">
        <f>IF(J137="","",(IF(dir!I115+1&gt;LOOKUP(H137,schaal2019,regels2019),dir!I115,dir!I115+1)))</f>
        <v/>
      </c>
      <c r="J137" s="291" t="str">
        <f>IF(dir!J115="","",dir!J115)</f>
        <v/>
      </c>
      <c r="K137" s="292"/>
      <c r="L137" s="868">
        <f>IF(dir!L115="","",dir!L115)</f>
        <v>0</v>
      </c>
      <c r="M137" s="868">
        <f>IF(dir!M115="","",dir!M115)</f>
        <v>0</v>
      </c>
      <c r="N137" s="867" t="str">
        <f t="shared" si="70"/>
        <v/>
      </c>
      <c r="O137" s="867"/>
      <c r="P137" s="953" t="str">
        <f t="shared" si="71"/>
        <v/>
      </c>
      <c r="Q137" s="70"/>
      <c r="R137" s="739" t="str">
        <f t="shared" si="72"/>
        <v/>
      </c>
      <c r="S137" s="739" t="str">
        <f t="shared" si="73"/>
        <v/>
      </c>
      <c r="T137" s="740" t="str">
        <f t="shared" si="74"/>
        <v/>
      </c>
      <c r="U137" s="275"/>
      <c r="V137" s="288"/>
      <c r="W137" s="288"/>
      <c r="X137" s="288"/>
      <c r="Y137" s="908">
        <f t="shared" si="75"/>
        <v>0</v>
      </c>
      <c r="Z137" s="986">
        <f>tab!$D$62</f>
        <v>0.6</v>
      </c>
      <c r="AA137" s="944">
        <f t="shared" si="76"/>
        <v>0</v>
      </c>
      <c r="AB137" s="944">
        <f t="shared" si="77"/>
        <v>0</v>
      </c>
      <c r="AC137" s="944">
        <f t="shared" si="78"/>
        <v>0</v>
      </c>
      <c r="AD137" s="943" t="e">
        <f t="shared" si="79"/>
        <v>#VALUE!</v>
      </c>
      <c r="AE137" s="943">
        <f t="shared" si="80"/>
        <v>0</v>
      </c>
      <c r="AF137" s="916">
        <f>IF(H137&gt;8,tab!$D$63,tab!$D$65)</f>
        <v>0.5</v>
      </c>
      <c r="AG137" s="925">
        <f t="shared" si="81"/>
        <v>0</v>
      </c>
      <c r="AH137" s="980">
        <f t="shared" si="82"/>
        <v>0</v>
      </c>
      <c r="AM137" s="907"/>
    </row>
    <row r="138" spans="3:39" x14ac:dyDescent="0.2">
      <c r="C138" s="69"/>
      <c r="D138" s="289" t="str">
        <f>IF(dir!D116=0,"",dir!D116)</f>
        <v/>
      </c>
      <c r="E138" s="75" t="str">
        <f>IF(dir!E116=0,"-",dir!E116)</f>
        <v/>
      </c>
      <c r="F138" s="88" t="str">
        <f>IF(dir!F116="","",dir!F116+1)</f>
        <v/>
      </c>
      <c r="G138" s="290" t="str">
        <f>IF(dir!G116="","",dir!G116)</f>
        <v/>
      </c>
      <c r="H138" s="99" t="str">
        <f t="shared" si="69"/>
        <v/>
      </c>
      <c r="I138" s="99" t="str">
        <f>IF(J138="","",(IF(dir!I116+1&gt;LOOKUP(H138,schaal2019,regels2019),dir!I116,dir!I116+1)))</f>
        <v/>
      </c>
      <c r="J138" s="291" t="str">
        <f>IF(dir!J116="","",dir!J116)</f>
        <v/>
      </c>
      <c r="K138" s="292"/>
      <c r="L138" s="868">
        <f>IF(dir!L116="","",dir!L116)</f>
        <v>0</v>
      </c>
      <c r="M138" s="868">
        <f>IF(dir!M116="","",dir!M116)</f>
        <v>0</v>
      </c>
      <c r="N138" s="867" t="str">
        <f t="shared" si="70"/>
        <v/>
      </c>
      <c r="O138" s="867"/>
      <c r="P138" s="953" t="str">
        <f t="shared" si="71"/>
        <v/>
      </c>
      <c r="Q138" s="70"/>
      <c r="R138" s="739" t="str">
        <f t="shared" si="72"/>
        <v/>
      </c>
      <c r="S138" s="739" t="str">
        <f t="shared" si="73"/>
        <v/>
      </c>
      <c r="T138" s="740" t="str">
        <f t="shared" si="74"/>
        <v/>
      </c>
      <c r="U138" s="275"/>
      <c r="V138" s="288"/>
      <c r="W138" s="288"/>
      <c r="X138" s="288"/>
      <c r="Y138" s="908">
        <f t="shared" si="75"/>
        <v>0</v>
      </c>
      <c r="Z138" s="986">
        <f>tab!$D$62</f>
        <v>0.6</v>
      </c>
      <c r="AA138" s="944">
        <f t="shared" si="76"/>
        <v>0</v>
      </c>
      <c r="AB138" s="944">
        <f t="shared" si="77"/>
        <v>0</v>
      </c>
      <c r="AC138" s="944">
        <f t="shared" si="78"/>
        <v>0</v>
      </c>
      <c r="AD138" s="943" t="e">
        <f t="shared" si="79"/>
        <v>#VALUE!</v>
      </c>
      <c r="AE138" s="943">
        <f t="shared" si="80"/>
        <v>0</v>
      </c>
      <c r="AF138" s="916">
        <f>IF(H138&gt;8,tab!$D$63,tab!$D$65)</f>
        <v>0.5</v>
      </c>
      <c r="AG138" s="925">
        <f t="shared" si="81"/>
        <v>0</v>
      </c>
      <c r="AH138" s="980">
        <f t="shared" si="82"/>
        <v>0</v>
      </c>
      <c r="AM138" s="907"/>
    </row>
    <row r="139" spans="3:39" x14ac:dyDescent="0.2">
      <c r="C139" s="69"/>
      <c r="D139" s="289" t="str">
        <f>IF(dir!D117=0,"",dir!D117)</f>
        <v/>
      </c>
      <c r="E139" s="75" t="str">
        <f>IF(dir!E117=0,"-",dir!E117)</f>
        <v/>
      </c>
      <c r="F139" s="88" t="str">
        <f>IF(dir!F117="","",dir!F117+1)</f>
        <v/>
      </c>
      <c r="G139" s="290" t="str">
        <f>IF(dir!G117="","",dir!G117)</f>
        <v/>
      </c>
      <c r="H139" s="99" t="str">
        <f t="shared" si="69"/>
        <v/>
      </c>
      <c r="I139" s="99" t="str">
        <f>IF(J139="","",(IF(dir!I117+1&gt;LOOKUP(H139,schaal2019,regels2019),dir!I117,dir!I117+1)))</f>
        <v/>
      </c>
      <c r="J139" s="291" t="str">
        <f>IF(dir!J117="","",dir!J117)</f>
        <v/>
      </c>
      <c r="K139" s="292"/>
      <c r="L139" s="868">
        <f>IF(dir!L117="","",dir!L117)</f>
        <v>0</v>
      </c>
      <c r="M139" s="868">
        <f>IF(dir!M117="","",dir!M117)</f>
        <v>0</v>
      </c>
      <c r="N139" s="867" t="str">
        <f t="shared" si="70"/>
        <v/>
      </c>
      <c r="O139" s="867"/>
      <c r="P139" s="953" t="str">
        <f t="shared" si="71"/>
        <v/>
      </c>
      <c r="Q139" s="70"/>
      <c r="R139" s="739" t="str">
        <f t="shared" si="72"/>
        <v/>
      </c>
      <c r="S139" s="739" t="str">
        <f t="shared" si="73"/>
        <v/>
      </c>
      <c r="T139" s="740" t="str">
        <f t="shared" si="74"/>
        <v/>
      </c>
      <c r="U139" s="275"/>
      <c r="V139" s="288"/>
      <c r="W139" s="288"/>
      <c r="X139" s="288"/>
      <c r="Y139" s="908">
        <f t="shared" si="75"/>
        <v>0</v>
      </c>
      <c r="Z139" s="986">
        <f>tab!$D$62</f>
        <v>0.6</v>
      </c>
      <c r="AA139" s="944">
        <f t="shared" si="76"/>
        <v>0</v>
      </c>
      <c r="AB139" s="944">
        <f t="shared" si="77"/>
        <v>0</v>
      </c>
      <c r="AC139" s="944">
        <f t="shared" si="78"/>
        <v>0</v>
      </c>
      <c r="AD139" s="943" t="e">
        <f t="shared" si="79"/>
        <v>#VALUE!</v>
      </c>
      <c r="AE139" s="943">
        <f t="shared" si="80"/>
        <v>0</v>
      </c>
      <c r="AF139" s="916">
        <f>IF(H139&gt;8,tab!$D$63,tab!$D$65)</f>
        <v>0.5</v>
      </c>
      <c r="AG139" s="925">
        <f t="shared" si="81"/>
        <v>0</v>
      </c>
      <c r="AH139" s="980">
        <f t="shared" si="82"/>
        <v>0</v>
      </c>
      <c r="AM139" s="907"/>
    </row>
    <row r="140" spans="3:39" x14ac:dyDescent="0.2">
      <c r="C140" s="69"/>
      <c r="D140" s="289" t="str">
        <f>IF(dir!D118=0,"",dir!D118)</f>
        <v/>
      </c>
      <c r="E140" s="75" t="str">
        <f>IF(dir!E118=0,"-",dir!E118)</f>
        <v/>
      </c>
      <c r="F140" s="88" t="str">
        <f>IF(dir!F118="","",dir!F118+1)</f>
        <v/>
      </c>
      <c r="G140" s="290" t="str">
        <f>IF(dir!G118="","",dir!G118)</f>
        <v/>
      </c>
      <c r="H140" s="99" t="str">
        <f t="shared" si="69"/>
        <v/>
      </c>
      <c r="I140" s="99" t="str">
        <f>IF(J140="","",(IF(dir!I118+1&gt;LOOKUP(H140,schaal2019,regels2019),dir!I118,dir!I118+1)))</f>
        <v/>
      </c>
      <c r="J140" s="291" t="str">
        <f>IF(dir!J118="","",dir!J118)</f>
        <v/>
      </c>
      <c r="K140" s="292"/>
      <c r="L140" s="868">
        <f>IF(dir!L118="","",dir!L118)</f>
        <v>0</v>
      </c>
      <c r="M140" s="868">
        <f>IF(dir!M118="","",dir!M118)</f>
        <v>0</v>
      </c>
      <c r="N140" s="867" t="str">
        <f t="shared" si="70"/>
        <v/>
      </c>
      <c r="O140" s="867"/>
      <c r="P140" s="953" t="str">
        <f t="shared" si="71"/>
        <v/>
      </c>
      <c r="Q140" s="70"/>
      <c r="R140" s="739" t="str">
        <f t="shared" si="72"/>
        <v/>
      </c>
      <c r="S140" s="739" t="str">
        <f t="shared" si="73"/>
        <v/>
      </c>
      <c r="T140" s="740" t="str">
        <f t="shared" si="74"/>
        <v/>
      </c>
      <c r="U140" s="275"/>
      <c r="V140" s="288"/>
      <c r="W140" s="288"/>
      <c r="X140" s="288"/>
      <c r="Y140" s="908">
        <f t="shared" si="75"/>
        <v>0</v>
      </c>
      <c r="Z140" s="986">
        <f>tab!$D$62</f>
        <v>0.6</v>
      </c>
      <c r="AA140" s="944">
        <f t="shared" si="76"/>
        <v>0</v>
      </c>
      <c r="AB140" s="944">
        <f t="shared" si="77"/>
        <v>0</v>
      </c>
      <c r="AC140" s="944">
        <f t="shared" si="78"/>
        <v>0</v>
      </c>
      <c r="AD140" s="943" t="e">
        <f t="shared" si="79"/>
        <v>#VALUE!</v>
      </c>
      <c r="AE140" s="943">
        <f t="shared" si="80"/>
        <v>0</v>
      </c>
      <c r="AF140" s="916">
        <f>IF(H140&gt;8,tab!$D$63,tab!$D$65)</f>
        <v>0.5</v>
      </c>
      <c r="AG140" s="925">
        <f t="shared" si="81"/>
        <v>0</v>
      </c>
      <c r="AH140" s="980">
        <f t="shared" si="82"/>
        <v>0</v>
      </c>
      <c r="AM140" s="907"/>
    </row>
    <row r="141" spans="3:39" x14ac:dyDescent="0.2">
      <c r="C141" s="69"/>
      <c r="D141" s="297"/>
      <c r="E141" s="89"/>
      <c r="F141" s="298"/>
      <c r="G141" s="299"/>
      <c r="H141" s="74"/>
      <c r="I141" s="74"/>
      <c r="J141" s="742">
        <f>SUM(J131:J140)</f>
        <v>0</v>
      </c>
      <c r="K141" s="107"/>
      <c r="L141" s="869">
        <f>SUM(L131:L140)</f>
        <v>0</v>
      </c>
      <c r="M141" s="869">
        <f>SUM(M131:M140)</f>
        <v>0</v>
      </c>
      <c r="N141" s="869">
        <f>SUM(N131:N140)</f>
        <v>0</v>
      </c>
      <c r="O141" s="876"/>
      <c r="P141" s="869">
        <f>SUM(P131:P140)</f>
        <v>0</v>
      </c>
      <c r="Q141" s="107"/>
      <c r="R141" s="743">
        <f>SUM(R131:R140)</f>
        <v>0</v>
      </c>
      <c r="S141" s="743">
        <f>SUM(S131:S140)</f>
        <v>0</v>
      </c>
      <c r="T141" s="743">
        <f>SUM(T131:T140)</f>
        <v>0</v>
      </c>
      <c r="U141" s="295"/>
      <c r="V141" s="279"/>
      <c r="Y141" s="909">
        <f>SUM(Y131:Y140)</f>
        <v>4007</v>
      </c>
      <c r="Z141" s="909"/>
      <c r="AA141" s="909"/>
      <c r="AB141" s="909"/>
      <c r="AC141" s="909"/>
      <c r="AD141" s="917" t="e">
        <f>SUM(AD131:AD140)</f>
        <v>#VALUE!</v>
      </c>
      <c r="AE141" s="930">
        <f>SUM(AE131:AE140)</f>
        <v>0</v>
      </c>
      <c r="AF141" s="909"/>
      <c r="AG141" s="933">
        <f>SUM(AG131:AG140)</f>
        <v>0</v>
      </c>
      <c r="AH141" s="981">
        <f>SUM(AH131:AH140)</f>
        <v>0</v>
      </c>
      <c r="AM141" s="907"/>
    </row>
    <row r="142" spans="3:39" ht="12.75" customHeight="1" x14ac:dyDescent="0.2">
      <c r="C142" s="76"/>
      <c r="D142" s="302"/>
      <c r="E142" s="107"/>
      <c r="F142" s="143"/>
      <c r="G142" s="303"/>
      <c r="H142" s="143"/>
      <c r="I142" s="304"/>
      <c r="J142" s="305"/>
      <c r="K142" s="107"/>
      <c r="L142" s="304"/>
      <c r="M142" s="304"/>
      <c r="N142" s="304"/>
      <c r="O142" s="877"/>
      <c r="P142" s="304"/>
      <c r="Q142" s="107"/>
      <c r="R142" s="300"/>
      <c r="S142" s="300"/>
      <c r="T142" s="300"/>
      <c r="U142" s="307"/>
      <c r="V142" s="279"/>
      <c r="Y142" s="881"/>
      <c r="Z142" s="909"/>
      <c r="AA142" s="909"/>
      <c r="AB142" s="909"/>
      <c r="AC142" s="909"/>
      <c r="AE142" s="911"/>
      <c r="AF142" s="909"/>
      <c r="AG142" s="933"/>
      <c r="AH142" s="981"/>
      <c r="AM142" s="907"/>
    </row>
    <row r="143" spans="3:39" ht="12.75" customHeight="1" x14ac:dyDescent="0.2">
      <c r="H143" s="127"/>
      <c r="J143" s="294"/>
      <c r="R143" s="288"/>
      <c r="S143" s="288"/>
      <c r="T143" s="628"/>
      <c r="V143" s="279"/>
      <c r="Y143" s="908"/>
      <c r="Z143" s="905"/>
      <c r="AA143" s="905"/>
      <c r="AB143" s="905"/>
      <c r="AC143" s="905"/>
      <c r="AE143" s="911"/>
      <c r="AF143" s="905"/>
      <c r="AH143" s="980"/>
    </row>
    <row r="144" spans="3:39" x14ac:dyDescent="0.2">
      <c r="V144" s="279"/>
      <c r="AE144" s="911"/>
    </row>
    <row r="145" spans="3:39" x14ac:dyDescent="0.2">
      <c r="C145" s="48" t="s">
        <v>165</v>
      </c>
      <c r="E145" s="326" t="str">
        <f>tab!K2</f>
        <v>2025/26</v>
      </c>
      <c r="H145" s="127"/>
      <c r="J145" s="294"/>
      <c r="R145" s="288"/>
      <c r="S145" s="288"/>
      <c r="T145" s="628"/>
      <c r="V145" s="279"/>
      <c r="Y145" s="908"/>
      <c r="Z145" s="905"/>
      <c r="AA145" s="905"/>
      <c r="AB145" s="905"/>
      <c r="AC145" s="905"/>
      <c r="AE145" s="911"/>
      <c r="AF145" s="905"/>
      <c r="AH145" s="980"/>
    </row>
    <row r="146" spans="3:39" x14ac:dyDescent="0.2">
      <c r="C146" s="209" t="s">
        <v>187</v>
      </c>
      <c r="E146" s="327">
        <f>tab!L3</f>
        <v>45931</v>
      </c>
      <c r="H146" s="127"/>
      <c r="J146" s="294"/>
      <c r="R146" s="288"/>
      <c r="S146" s="288"/>
      <c r="T146" s="628"/>
      <c r="V146" s="279"/>
      <c r="Y146" s="908"/>
      <c r="Z146" s="905"/>
      <c r="AA146" s="905"/>
      <c r="AB146" s="905"/>
      <c r="AC146" s="905"/>
      <c r="AE146" s="911"/>
      <c r="AF146" s="905"/>
      <c r="AH146" s="980"/>
    </row>
    <row r="147" spans="3:39" x14ac:dyDescent="0.2">
      <c r="H147" s="127"/>
      <c r="J147" s="294"/>
      <c r="R147" s="288"/>
      <c r="S147" s="288"/>
      <c r="T147" s="628"/>
      <c r="V147" s="279"/>
      <c r="Y147" s="908"/>
      <c r="Z147" s="905"/>
      <c r="AA147" s="905"/>
      <c r="AB147" s="905"/>
      <c r="AC147" s="905"/>
      <c r="AE147" s="911"/>
      <c r="AF147" s="905"/>
      <c r="AH147" s="980"/>
    </row>
    <row r="148" spans="3:39" x14ac:dyDescent="0.2">
      <c r="C148" s="66"/>
      <c r="D148" s="722"/>
      <c r="E148" s="723"/>
      <c r="F148" s="704"/>
      <c r="G148" s="725"/>
      <c r="H148" s="726"/>
      <c r="I148" s="726"/>
      <c r="J148" s="727"/>
      <c r="K148" s="728"/>
      <c r="L148" s="726"/>
      <c r="M148" s="726"/>
      <c r="N148" s="726"/>
      <c r="O148" s="878"/>
      <c r="P148" s="726"/>
      <c r="Q148" s="728"/>
      <c r="R148" s="728"/>
      <c r="S148" s="728"/>
      <c r="T148" s="729"/>
      <c r="U148" s="119"/>
      <c r="V148" s="279"/>
      <c r="AE148" s="911"/>
    </row>
    <row r="149" spans="3:39" x14ac:dyDescent="0.2">
      <c r="C149" s="277"/>
      <c r="D149" s="864" t="s">
        <v>298</v>
      </c>
      <c r="E149" s="865"/>
      <c r="F149" s="865"/>
      <c r="G149" s="865"/>
      <c r="H149" s="866"/>
      <c r="I149" s="866"/>
      <c r="J149" s="866"/>
      <c r="K149" s="968"/>
      <c r="L149" s="864" t="s">
        <v>492</v>
      </c>
      <c r="M149" s="858"/>
      <c r="N149" s="864"/>
      <c r="O149" s="864"/>
      <c r="P149" s="951"/>
      <c r="Q149" s="730"/>
      <c r="R149" s="864" t="s">
        <v>494</v>
      </c>
      <c r="S149" s="866"/>
      <c r="T149" s="935"/>
      <c r="U149" s="746"/>
      <c r="V149" s="279"/>
      <c r="W149" s="279"/>
      <c r="X149" s="279"/>
      <c r="Y149" s="882"/>
      <c r="Z149" s="913"/>
      <c r="AD149" s="912"/>
      <c r="AE149" s="912"/>
      <c r="AF149" s="913"/>
      <c r="AG149" s="933"/>
      <c r="AH149" s="941"/>
      <c r="AI149" s="923"/>
      <c r="AJ149" s="923"/>
      <c r="AK149" s="923"/>
      <c r="AL149" s="923"/>
      <c r="AM149" s="923"/>
    </row>
    <row r="150" spans="3:39" x14ac:dyDescent="0.2">
      <c r="C150" s="277"/>
      <c r="D150" s="693" t="s">
        <v>480</v>
      </c>
      <c r="E150" s="693" t="s">
        <v>171</v>
      </c>
      <c r="F150" s="732" t="s">
        <v>119</v>
      </c>
      <c r="G150" s="733" t="s">
        <v>289</v>
      </c>
      <c r="H150" s="732" t="s">
        <v>201</v>
      </c>
      <c r="I150" s="732" t="s">
        <v>229</v>
      </c>
      <c r="J150" s="734" t="s">
        <v>122</v>
      </c>
      <c r="K150" s="969"/>
      <c r="L150" s="735" t="s">
        <v>475</v>
      </c>
      <c r="M150" s="735" t="s">
        <v>468</v>
      </c>
      <c r="N150" s="735" t="s">
        <v>482</v>
      </c>
      <c r="O150" s="735" t="s">
        <v>475</v>
      </c>
      <c r="P150" s="952" t="s">
        <v>487</v>
      </c>
      <c r="Q150" s="702"/>
      <c r="R150" s="863" t="s">
        <v>186</v>
      </c>
      <c r="S150" s="737" t="s">
        <v>493</v>
      </c>
      <c r="T150" s="738" t="s">
        <v>186</v>
      </c>
      <c r="U150" s="747"/>
      <c r="V150" s="282"/>
      <c r="W150" s="282"/>
      <c r="X150" s="282"/>
      <c r="Y150" s="914" t="s">
        <v>322</v>
      </c>
      <c r="Z150" s="960" t="s">
        <v>479</v>
      </c>
      <c r="AA150" s="903" t="s">
        <v>488</v>
      </c>
      <c r="AB150" s="903" t="s">
        <v>488</v>
      </c>
      <c r="AC150" s="903" t="s">
        <v>491</v>
      </c>
      <c r="AD150" s="915" t="s">
        <v>473</v>
      </c>
      <c r="AE150" s="915" t="s">
        <v>474</v>
      </c>
      <c r="AF150" s="902" t="s">
        <v>470</v>
      </c>
      <c r="AG150" s="934" t="s">
        <v>306</v>
      </c>
      <c r="AH150" s="941" t="s">
        <v>415</v>
      </c>
      <c r="AI150" s="902" t="s">
        <v>292</v>
      </c>
      <c r="AJ150" s="902" t="s">
        <v>293</v>
      </c>
      <c r="AK150" s="902" t="s">
        <v>121</v>
      </c>
      <c r="AL150" s="902" t="s">
        <v>198</v>
      </c>
      <c r="AM150" s="915" t="s">
        <v>173</v>
      </c>
    </row>
    <row r="151" spans="3:39" x14ac:dyDescent="0.2">
      <c r="C151" s="277"/>
      <c r="D151" s="865"/>
      <c r="E151" s="693"/>
      <c r="F151" s="732" t="s">
        <v>120</v>
      </c>
      <c r="G151" s="733" t="s">
        <v>290</v>
      </c>
      <c r="H151" s="732"/>
      <c r="I151" s="732"/>
      <c r="J151" s="734"/>
      <c r="K151" s="969"/>
      <c r="L151" s="735" t="s">
        <v>476</v>
      </c>
      <c r="M151" s="735" t="s">
        <v>478</v>
      </c>
      <c r="N151" s="735" t="s">
        <v>483</v>
      </c>
      <c r="O151" s="735" t="s">
        <v>477</v>
      </c>
      <c r="P151" s="952" t="s">
        <v>284</v>
      </c>
      <c r="Q151" s="702"/>
      <c r="R151" s="706" t="s">
        <v>485</v>
      </c>
      <c r="S151" s="737" t="s">
        <v>469</v>
      </c>
      <c r="T151" s="738" t="s">
        <v>284</v>
      </c>
      <c r="U151" s="710"/>
      <c r="V151" s="81"/>
      <c r="W151" s="81"/>
      <c r="X151" s="81"/>
      <c r="Y151" s="914" t="s">
        <v>193</v>
      </c>
      <c r="Z151" s="961">
        <f>tab!$D$62</f>
        <v>0.6</v>
      </c>
      <c r="AA151" s="903" t="s">
        <v>489</v>
      </c>
      <c r="AB151" s="903" t="s">
        <v>490</v>
      </c>
      <c r="AC151" s="903" t="s">
        <v>486</v>
      </c>
      <c r="AD151" s="915" t="s">
        <v>472</v>
      </c>
      <c r="AE151" s="915" t="s">
        <v>472</v>
      </c>
      <c r="AF151" s="902" t="s">
        <v>471</v>
      </c>
      <c r="AG151" s="934"/>
      <c r="AH151" s="940" t="s">
        <v>228</v>
      </c>
      <c r="AI151" s="915" t="s">
        <v>291</v>
      </c>
      <c r="AJ151" s="915" t="s">
        <v>291</v>
      </c>
      <c r="AK151" s="902"/>
      <c r="AL151" s="902" t="s">
        <v>173</v>
      </c>
      <c r="AM151" s="915"/>
    </row>
    <row r="152" spans="3:39" x14ac:dyDescent="0.2">
      <c r="C152" s="69"/>
      <c r="D152" s="136"/>
      <c r="E152" s="70"/>
      <c r="F152" s="283"/>
      <c r="G152" s="284"/>
      <c r="H152" s="285"/>
      <c r="I152" s="285"/>
      <c r="J152" s="286"/>
      <c r="K152" s="283"/>
      <c r="L152" s="283"/>
      <c r="M152" s="283"/>
      <c r="N152" s="283"/>
      <c r="O152" s="875"/>
      <c r="P152" s="283"/>
      <c r="Q152" s="283"/>
      <c r="R152" s="287"/>
      <c r="S152" s="287"/>
      <c r="T152" s="363"/>
      <c r="U152" s="120"/>
      <c r="V152" s="279"/>
      <c r="Y152" s="914"/>
      <c r="Z152" s="901"/>
      <c r="AA152" s="901"/>
      <c r="AB152" s="901"/>
      <c r="AC152" s="901"/>
      <c r="AD152" s="915"/>
      <c r="AE152" s="915"/>
      <c r="AF152" s="901"/>
      <c r="AG152" s="934"/>
      <c r="AH152" s="980"/>
    </row>
    <row r="153" spans="3:39" x14ac:dyDescent="0.2">
      <c r="C153" s="69"/>
      <c r="D153" s="289" t="str">
        <f>IF(dir!D131=0,"",dir!D131)</f>
        <v/>
      </c>
      <c r="E153" s="75" t="str">
        <f>IF(dir!E131=0,"-",dir!E131)</f>
        <v>nn</v>
      </c>
      <c r="F153" s="88">
        <f>IF(dir!F131="","",dir!F131+1)</f>
        <v>29</v>
      </c>
      <c r="G153" s="290" t="str">
        <f>IF(dir!G131="","",dir!G131)</f>
        <v/>
      </c>
      <c r="H153" s="99" t="str">
        <f t="shared" ref="H153:H162" si="83">IF(H131=0,"",H131)</f>
        <v>DB</v>
      </c>
      <c r="I153" s="99">
        <f>IF(J153="","",(IF(dir!I131+1&gt;LOOKUP(H153,schaal2019,regels2019),dir!I131,dir!I131+1)))</f>
        <v>9</v>
      </c>
      <c r="J153" s="291">
        <f>IF(dir!J131="","",dir!J131)</f>
        <v>0</v>
      </c>
      <c r="K153" s="292"/>
      <c r="L153" s="868">
        <f>IF(dir!L131="","",dir!L131)</f>
        <v>0</v>
      </c>
      <c r="M153" s="868">
        <f>IF(dir!M131="","",dir!M131)</f>
        <v>0</v>
      </c>
      <c r="N153" s="867">
        <f t="shared" ref="N153:N162" si="84">IF(J153="","",IF((J153*40)&gt;40,40,((J153*40))))</f>
        <v>0</v>
      </c>
      <c r="O153" s="867"/>
      <c r="P153" s="953">
        <f t="shared" ref="P153:P162" si="85">IF(J153="","",(SUM(L153:O153)))</f>
        <v>0</v>
      </c>
      <c r="Q153" s="70"/>
      <c r="R153" s="739">
        <f t="shared" ref="R153:R162" si="86">IF(J153="","",(((1659*J153)-P153)*AB153))</f>
        <v>0</v>
      </c>
      <c r="S153" s="739">
        <f t="shared" ref="S153:S162" si="87">IF(J153="","",(P153*AC153)+(AA153*AD153)+((AE153*AA153*(1-AF153))))</f>
        <v>0</v>
      </c>
      <c r="T153" s="740">
        <f t="shared" ref="T153:T162" si="88">IF(J153="","",(R153+S153))</f>
        <v>0</v>
      </c>
      <c r="U153" s="275"/>
      <c r="V153" s="288"/>
      <c r="W153" s="288"/>
      <c r="X153" s="288"/>
      <c r="Y153" s="908">
        <f t="shared" ref="Y153:Y162" si="89">IF(H153="",0,VLOOKUP(H153,salaris2020,I153+1,FALSE))</f>
        <v>4118</v>
      </c>
      <c r="Z153" s="986">
        <f>tab!$D$62</f>
        <v>0.6</v>
      </c>
      <c r="AA153" s="944">
        <f t="shared" ref="AA153:AA162" si="90">(Y153*12/1659)</f>
        <v>29.786618444846294</v>
      </c>
      <c r="AB153" s="944">
        <f t="shared" ref="AB153:AB162" si="91">(Y153*12*(1+Z153))/1659</f>
        <v>47.658589511754073</v>
      </c>
      <c r="AC153" s="944">
        <f t="shared" ref="AC153:AC162" si="92">AB153-AA153</f>
        <v>17.871971066907779</v>
      </c>
      <c r="AD153" s="943">
        <f t="shared" ref="AD153:AD162" si="93">(N153+O153)</f>
        <v>0</v>
      </c>
      <c r="AE153" s="943">
        <f t="shared" ref="AE153:AE162" si="94">(L153+M153)</f>
        <v>0</v>
      </c>
      <c r="AF153" s="916">
        <f>IF(H153&gt;8,tab!$D$63,tab!$D$65)</f>
        <v>0.5</v>
      </c>
      <c r="AG153" s="925">
        <f t="shared" ref="AG153:AG162" si="95">IF(F153&lt;25,0,IF(F153=25,25,IF(F153&lt;40,0,IF(F153=40,40,IF(F153&gt;=40,0)))))</f>
        <v>0</v>
      </c>
      <c r="AH153" s="980">
        <f t="shared" ref="AH153:AH162" si="96">IF(AG153=25,(Y153*1.08*(J153)/2),IF(AG153=40,(Y153*1.08*(J153)),IF(AG153=0,0)))</f>
        <v>0</v>
      </c>
      <c r="AM153" s="907"/>
    </row>
    <row r="154" spans="3:39" x14ac:dyDescent="0.2">
      <c r="C154" s="69"/>
      <c r="D154" s="289" t="str">
        <f>IF(dir!D132=0,"",dir!D132)</f>
        <v/>
      </c>
      <c r="E154" s="75" t="str">
        <f>IF(dir!E132=0,"-",dir!E132)</f>
        <v/>
      </c>
      <c r="F154" s="88" t="str">
        <f>IF(dir!F132="","",dir!F132+1)</f>
        <v/>
      </c>
      <c r="G154" s="290" t="str">
        <f>IF(dir!G132="","",dir!G132)</f>
        <v/>
      </c>
      <c r="H154" s="99" t="str">
        <f t="shared" si="83"/>
        <v/>
      </c>
      <c r="I154" s="99" t="str">
        <f>IF(J154="","",(IF(dir!I132+1&gt;LOOKUP(H154,schaal2019,regels2019),dir!I132,dir!I132+1)))</f>
        <v/>
      </c>
      <c r="J154" s="291" t="str">
        <f>IF(dir!J132="","",dir!J132)</f>
        <v/>
      </c>
      <c r="K154" s="292"/>
      <c r="L154" s="868">
        <f>IF(dir!L132="","",dir!L132)</f>
        <v>0</v>
      </c>
      <c r="M154" s="868">
        <f>IF(dir!M132="","",dir!M132)</f>
        <v>0</v>
      </c>
      <c r="N154" s="867" t="str">
        <f t="shared" si="84"/>
        <v/>
      </c>
      <c r="O154" s="867"/>
      <c r="P154" s="953" t="str">
        <f t="shared" si="85"/>
        <v/>
      </c>
      <c r="Q154" s="70"/>
      <c r="R154" s="739" t="str">
        <f t="shared" si="86"/>
        <v/>
      </c>
      <c r="S154" s="739" t="str">
        <f t="shared" si="87"/>
        <v/>
      </c>
      <c r="T154" s="740" t="str">
        <f t="shared" si="88"/>
        <v/>
      </c>
      <c r="U154" s="275"/>
      <c r="V154" s="288"/>
      <c r="W154" s="288"/>
      <c r="X154" s="288"/>
      <c r="Y154" s="908">
        <f t="shared" si="89"/>
        <v>0</v>
      </c>
      <c r="Z154" s="986">
        <f>tab!$D$62</f>
        <v>0.6</v>
      </c>
      <c r="AA154" s="944">
        <f t="shared" si="90"/>
        <v>0</v>
      </c>
      <c r="AB154" s="944">
        <f t="shared" si="91"/>
        <v>0</v>
      </c>
      <c r="AC154" s="944">
        <f t="shared" si="92"/>
        <v>0</v>
      </c>
      <c r="AD154" s="943" t="e">
        <f t="shared" si="93"/>
        <v>#VALUE!</v>
      </c>
      <c r="AE154" s="943">
        <f t="shared" si="94"/>
        <v>0</v>
      </c>
      <c r="AF154" s="916">
        <f>IF(H154&gt;8,tab!$D$63,tab!$D$65)</f>
        <v>0.5</v>
      </c>
      <c r="AG154" s="925">
        <f t="shared" si="95"/>
        <v>0</v>
      </c>
      <c r="AH154" s="980">
        <f t="shared" si="96"/>
        <v>0</v>
      </c>
      <c r="AM154" s="907"/>
    </row>
    <row r="155" spans="3:39" x14ac:dyDescent="0.2">
      <c r="C155" s="69"/>
      <c r="D155" s="289" t="str">
        <f>IF(dir!D133=0,"",dir!D133)</f>
        <v/>
      </c>
      <c r="E155" s="75" t="str">
        <f>IF(dir!E133=0,"-",dir!E133)</f>
        <v/>
      </c>
      <c r="F155" s="88" t="str">
        <f>IF(dir!F133="","",dir!F133+1)</f>
        <v/>
      </c>
      <c r="G155" s="290" t="str">
        <f>IF(dir!G133="","",dir!G133)</f>
        <v/>
      </c>
      <c r="H155" s="99" t="str">
        <f t="shared" si="83"/>
        <v/>
      </c>
      <c r="I155" s="99" t="str">
        <f>IF(J155="","",(IF(dir!I133+1&gt;LOOKUP(H155,schaal2019,regels2019),dir!I133,dir!I133+1)))</f>
        <v/>
      </c>
      <c r="J155" s="291" t="str">
        <f>IF(dir!J133="","",dir!J133)</f>
        <v/>
      </c>
      <c r="K155" s="292"/>
      <c r="L155" s="868">
        <f>IF(dir!L133="","",dir!L133)</f>
        <v>0</v>
      </c>
      <c r="M155" s="868">
        <f>IF(dir!M133="","",dir!M133)</f>
        <v>0</v>
      </c>
      <c r="N155" s="867" t="str">
        <f t="shared" si="84"/>
        <v/>
      </c>
      <c r="O155" s="867"/>
      <c r="P155" s="953" t="str">
        <f t="shared" si="85"/>
        <v/>
      </c>
      <c r="Q155" s="70"/>
      <c r="R155" s="739" t="str">
        <f t="shared" si="86"/>
        <v/>
      </c>
      <c r="S155" s="739" t="str">
        <f t="shared" si="87"/>
        <v/>
      </c>
      <c r="T155" s="740" t="str">
        <f t="shared" si="88"/>
        <v/>
      </c>
      <c r="U155" s="275"/>
      <c r="V155" s="288"/>
      <c r="W155" s="288"/>
      <c r="X155" s="288"/>
      <c r="Y155" s="908">
        <f t="shared" si="89"/>
        <v>0</v>
      </c>
      <c r="Z155" s="986">
        <f>tab!$D$62</f>
        <v>0.6</v>
      </c>
      <c r="AA155" s="944">
        <f t="shared" si="90"/>
        <v>0</v>
      </c>
      <c r="AB155" s="944">
        <f t="shared" si="91"/>
        <v>0</v>
      </c>
      <c r="AC155" s="944">
        <f t="shared" si="92"/>
        <v>0</v>
      </c>
      <c r="AD155" s="943" t="e">
        <f t="shared" si="93"/>
        <v>#VALUE!</v>
      </c>
      <c r="AE155" s="943">
        <f t="shared" si="94"/>
        <v>0</v>
      </c>
      <c r="AF155" s="916">
        <f>IF(H155&gt;8,tab!$D$63,tab!$D$65)</f>
        <v>0.5</v>
      </c>
      <c r="AG155" s="925">
        <f t="shared" si="95"/>
        <v>0</v>
      </c>
      <c r="AH155" s="980">
        <f t="shared" si="96"/>
        <v>0</v>
      </c>
      <c r="AM155" s="907"/>
    </row>
    <row r="156" spans="3:39" x14ac:dyDescent="0.2">
      <c r="C156" s="69"/>
      <c r="D156" s="289" t="str">
        <f>IF(dir!D134=0,"",dir!D134)</f>
        <v/>
      </c>
      <c r="E156" s="75" t="str">
        <f>IF(dir!E134=0,"-",dir!E134)</f>
        <v/>
      </c>
      <c r="F156" s="88" t="str">
        <f>IF(dir!F134="","",dir!F134+1)</f>
        <v/>
      </c>
      <c r="G156" s="290" t="str">
        <f>IF(dir!G134="","",dir!G134)</f>
        <v/>
      </c>
      <c r="H156" s="99" t="str">
        <f t="shared" si="83"/>
        <v/>
      </c>
      <c r="I156" s="99" t="str">
        <f>IF(J156="","",(IF(dir!I134+1&gt;LOOKUP(H156,schaal2019,regels2019),dir!I134,dir!I134+1)))</f>
        <v/>
      </c>
      <c r="J156" s="291" t="str">
        <f>IF(dir!J134="","",dir!J134)</f>
        <v/>
      </c>
      <c r="K156" s="292"/>
      <c r="L156" s="868">
        <f>IF(dir!L134="","",dir!L134)</f>
        <v>0</v>
      </c>
      <c r="M156" s="868">
        <f>IF(dir!M134="","",dir!M134)</f>
        <v>0</v>
      </c>
      <c r="N156" s="867" t="str">
        <f t="shared" si="84"/>
        <v/>
      </c>
      <c r="O156" s="867"/>
      <c r="P156" s="953" t="str">
        <f t="shared" si="85"/>
        <v/>
      </c>
      <c r="Q156" s="70"/>
      <c r="R156" s="739" t="str">
        <f t="shared" si="86"/>
        <v/>
      </c>
      <c r="S156" s="739" t="str">
        <f t="shared" si="87"/>
        <v/>
      </c>
      <c r="T156" s="740" t="str">
        <f t="shared" si="88"/>
        <v/>
      </c>
      <c r="U156" s="275"/>
      <c r="V156" s="288"/>
      <c r="W156" s="288"/>
      <c r="X156" s="288"/>
      <c r="Y156" s="908">
        <f t="shared" si="89"/>
        <v>0</v>
      </c>
      <c r="Z156" s="986">
        <f>tab!$D$62</f>
        <v>0.6</v>
      </c>
      <c r="AA156" s="944">
        <f t="shared" si="90"/>
        <v>0</v>
      </c>
      <c r="AB156" s="944">
        <f t="shared" si="91"/>
        <v>0</v>
      </c>
      <c r="AC156" s="944">
        <f t="shared" si="92"/>
        <v>0</v>
      </c>
      <c r="AD156" s="943" t="e">
        <f t="shared" si="93"/>
        <v>#VALUE!</v>
      </c>
      <c r="AE156" s="943">
        <f t="shared" si="94"/>
        <v>0</v>
      </c>
      <c r="AF156" s="916">
        <f>IF(H156&gt;8,tab!$D$63,tab!$D$65)</f>
        <v>0.5</v>
      </c>
      <c r="AG156" s="925">
        <f t="shared" si="95"/>
        <v>0</v>
      </c>
      <c r="AH156" s="980">
        <f t="shared" si="96"/>
        <v>0</v>
      </c>
      <c r="AM156" s="907"/>
    </row>
    <row r="157" spans="3:39" x14ac:dyDescent="0.2">
      <c r="C157" s="69"/>
      <c r="D157" s="289" t="str">
        <f>IF(dir!D135=0,"",dir!D135)</f>
        <v/>
      </c>
      <c r="E157" s="75" t="str">
        <f>IF(dir!E135=0,"-",dir!E135)</f>
        <v/>
      </c>
      <c r="F157" s="88" t="str">
        <f>IF(dir!F135="","",dir!F135+1)</f>
        <v/>
      </c>
      <c r="G157" s="290" t="str">
        <f>IF(dir!G135="","",dir!G135)</f>
        <v/>
      </c>
      <c r="H157" s="99" t="str">
        <f t="shared" si="83"/>
        <v/>
      </c>
      <c r="I157" s="99" t="str">
        <f>IF(J157="","",(IF(dir!I135+1&gt;LOOKUP(H157,schaal2019,regels2019),dir!I135,dir!I135+1)))</f>
        <v/>
      </c>
      <c r="J157" s="291" t="str">
        <f>IF(dir!J135="","",dir!J135)</f>
        <v/>
      </c>
      <c r="K157" s="292"/>
      <c r="L157" s="868">
        <f>IF(dir!L135="","",dir!L135)</f>
        <v>0</v>
      </c>
      <c r="M157" s="868">
        <f>IF(dir!M135="","",dir!M135)</f>
        <v>0</v>
      </c>
      <c r="N157" s="867" t="str">
        <f t="shared" si="84"/>
        <v/>
      </c>
      <c r="O157" s="867"/>
      <c r="P157" s="953" t="str">
        <f t="shared" si="85"/>
        <v/>
      </c>
      <c r="Q157" s="70"/>
      <c r="R157" s="739" t="str">
        <f t="shared" si="86"/>
        <v/>
      </c>
      <c r="S157" s="739" t="str">
        <f t="shared" si="87"/>
        <v/>
      </c>
      <c r="T157" s="740" t="str">
        <f t="shared" si="88"/>
        <v/>
      </c>
      <c r="U157" s="275"/>
      <c r="V157" s="288"/>
      <c r="W157" s="288"/>
      <c r="X157" s="288"/>
      <c r="Y157" s="908">
        <f t="shared" si="89"/>
        <v>0</v>
      </c>
      <c r="Z157" s="986">
        <f>tab!$D$62</f>
        <v>0.6</v>
      </c>
      <c r="AA157" s="944">
        <f t="shared" si="90"/>
        <v>0</v>
      </c>
      <c r="AB157" s="944">
        <f t="shared" si="91"/>
        <v>0</v>
      </c>
      <c r="AC157" s="944">
        <f t="shared" si="92"/>
        <v>0</v>
      </c>
      <c r="AD157" s="943" t="e">
        <f t="shared" si="93"/>
        <v>#VALUE!</v>
      </c>
      <c r="AE157" s="943">
        <f t="shared" si="94"/>
        <v>0</v>
      </c>
      <c r="AF157" s="916">
        <f>IF(H157&gt;8,tab!$D$63,tab!$D$65)</f>
        <v>0.5</v>
      </c>
      <c r="AG157" s="925">
        <f t="shared" si="95"/>
        <v>0</v>
      </c>
      <c r="AH157" s="980">
        <f t="shared" si="96"/>
        <v>0</v>
      </c>
      <c r="AM157" s="907"/>
    </row>
    <row r="158" spans="3:39" x14ac:dyDescent="0.2">
      <c r="C158" s="69"/>
      <c r="D158" s="289" t="str">
        <f>IF(dir!D136=0,"",dir!D136)</f>
        <v/>
      </c>
      <c r="E158" s="75" t="str">
        <f>IF(dir!E136=0,"-",dir!E136)</f>
        <v/>
      </c>
      <c r="F158" s="88" t="str">
        <f>IF(dir!F136="","",dir!F136+1)</f>
        <v/>
      </c>
      <c r="G158" s="290" t="str">
        <f>IF(dir!G136="","",dir!G136)</f>
        <v/>
      </c>
      <c r="H158" s="99" t="str">
        <f t="shared" si="83"/>
        <v/>
      </c>
      <c r="I158" s="99" t="str">
        <f>IF(J158="","",(IF(dir!I136+1&gt;LOOKUP(H158,schaal2019,regels2019),dir!I136,dir!I136+1)))</f>
        <v/>
      </c>
      <c r="J158" s="291" t="str">
        <f>IF(dir!J136="","",dir!J136)</f>
        <v/>
      </c>
      <c r="K158" s="292"/>
      <c r="L158" s="868">
        <f>IF(dir!L136="","",dir!L136)</f>
        <v>0</v>
      </c>
      <c r="M158" s="868">
        <f>IF(dir!M136="","",dir!M136)</f>
        <v>0</v>
      </c>
      <c r="N158" s="867" t="str">
        <f t="shared" si="84"/>
        <v/>
      </c>
      <c r="O158" s="867"/>
      <c r="P158" s="953" t="str">
        <f t="shared" si="85"/>
        <v/>
      </c>
      <c r="Q158" s="70"/>
      <c r="R158" s="739" t="str">
        <f t="shared" si="86"/>
        <v/>
      </c>
      <c r="S158" s="739" t="str">
        <f t="shared" si="87"/>
        <v/>
      </c>
      <c r="T158" s="740" t="str">
        <f t="shared" si="88"/>
        <v/>
      </c>
      <c r="U158" s="275"/>
      <c r="V158" s="288"/>
      <c r="W158" s="288"/>
      <c r="X158" s="288"/>
      <c r="Y158" s="908">
        <f t="shared" si="89"/>
        <v>0</v>
      </c>
      <c r="Z158" s="986">
        <f>tab!$D$62</f>
        <v>0.6</v>
      </c>
      <c r="AA158" s="944">
        <f t="shared" si="90"/>
        <v>0</v>
      </c>
      <c r="AB158" s="944">
        <f t="shared" si="91"/>
        <v>0</v>
      </c>
      <c r="AC158" s="944">
        <f t="shared" si="92"/>
        <v>0</v>
      </c>
      <c r="AD158" s="943" t="e">
        <f t="shared" si="93"/>
        <v>#VALUE!</v>
      </c>
      <c r="AE158" s="943">
        <f t="shared" si="94"/>
        <v>0</v>
      </c>
      <c r="AF158" s="916">
        <f>IF(H158&gt;8,tab!$D$63,tab!$D$65)</f>
        <v>0.5</v>
      </c>
      <c r="AG158" s="925">
        <f t="shared" si="95"/>
        <v>0</v>
      </c>
      <c r="AH158" s="980">
        <f t="shared" si="96"/>
        <v>0</v>
      </c>
      <c r="AM158" s="907"/>
    </row>
    <row r="159" spans="3:39" x14ac:dyDescent="0.2">
      <c r="C159" s="69"/>
      <c r="D159" s="289" t="str">
        <f>IF(dir!D137=0,"",dir!D137)</f>
        <v/>
      </c>
      <c r="E159" s="75" t="str">
        <f>IF(dir!E137=0,"-",dir!E137)</f>
        <v/>
      </c>
      <c r="F159" s="88" t="str">
        <f>IF(dir!F137="","",dir!F137+1)</f>
        <v/>
      </c>
      <c r="G159" s="290" t="str">
        <f>IF(dir!G137="","",dir!G137)</f>
        <v/>
      </c>
      <c r="H159" s="99" t="str">
        <f t="shared" si="83"/>
        <v/>
      </c>
      <c r="I159" s="99" t="str">
        <f>IF(J159="","",(IF(dir!I137+1&gt;LOOKUP(H159,schaal2019,regels2019),dir!I137,dir!I137+1)))</f>
        <v/>
      </c>
      <c r="J159" s="291" t="str">
        <f>IF(dir!J137="","",dir!J137)</f>
        <v/>
      </c>
      <c r="K159" s="292"/>
      <c r="L159" s="868">
        <f>IF(dir!L137="","",dir!L137)</f>
        <v>0</v>
      </c>
      <c r="M159" s="868">
        <f>IF(dir!M137="","",dir!M137)</f>
        <v>0</v>
      </c>
      <c r="N159" s="867" t="str">
        <f t="shared" si="84"/>
        <v/>
      </c>
      <c r="O159" s="867"/>
      <c r="P159" s="953" t="str">
        <f t="shared" si="85"/>
        <v/>
      </c>
      <c r="Q159" s="70"/>
      <c r="R159" s="739" t="str">
        <f t="shared" si="86"/>
        <v/>
      </c>
      <c r="S159" s="739" t="str">
        <f t="shared" si="87"/>
        <v/>
      </c>
      <c r="T159" s="740" t="str">
        <f t="shared" si="88"/>
        <v/>
      </c>
      <c r="U159" s="275"/>
      <c r="V159" s="288"/>
      <c r="W159" s="288"/>
      <c r="X159" s="288"/>
      <c r="Y159" s="908">
        <f t="shared" si="89"/>
        <v>0</v>
      </c>
      <c r="Z159" s="986">
        <f>tab!$D$62</f>
        <v>0.6</v>
      </c>
      <c r="AA159" s="944">
        <f t="shared" si="90"/>
        <v>0</v>
      </c>
      <c r="AB159" s="944">
        <f t="shared" si="91"/>
        <v>0</v>
      </c>
      <c r="AC159" s="944">
        <f t="shared" si="92"/>
        <v>0</v>
      </c>
      <c r="AD159" s="943" t="e">
        <f t="shared" si="93"/>
        <v>#VALUE!</v>
      </c>
      <c r="AE159" s="943">
        <f t="shared" si="94"/>
        <v>0</v>
      </c>
      <c r="AF159" s="916">
        <f>IF(H159&gt;8,tab!$D$63,tab!$D$65)</f>
        <v>0.5</v>
      </c>
      <c r="AG159" s="925">
        <f t="shared" si="95"/>
        <v>0</v>
      </c>
      <c r="AH159" s="980">
        <f t="shared" si="96"/>
        <v>0</v>
      </c>
      <c r="AM159" s="907"/>
    </row>
    <row r="160" spans="3:39" x14ac:dyDescent="0.2">
      <c r="C160" s="69"/>
      <c r="D160" s="289" t="str">
        <f>IF(dir!D138=0,"",dir!D138)</f>
        <v/>
      </c>
      <c r="E160" s="75" t="str">
        <f>IF(dir!E138=0,"-",dir!E138)</f>
        <v/>
      </c>
      <c r="F160" s="88" t="str">
        <f>IF(dir!F138="","",dir!F138+1)</f>
        <v/>
      </c>
      <c r="G160" s="290" t="str">
        <f>IF(dir!G138="","",dir!G138)</f>
        <v/>
      </c>
      <c r="H160" s="99" t="str">
        <f t="shared" si="83"/>
        <v/>
      </c>
      <c r="I160" s="99" t="str">
        <f>IF(J160="","",(IF(dir!I138+1&gt;LOOKUP(H160,schaal2019,regels2019),dir!I138,dir!I138+1)))</f>
        <v/>
      </c>
      <c r="J160" s="291" t="str">
        <f>IF(dir!J138="","",dir!J138)</f>
        <v/>
      </c>
      <c r="K160" s="292"/>
      <c r="L160" s="868">
        <f>IF(dir!L138="","",dir!L138)</f>
        <v>0</v>
      </c>
      <c r="M160" s="868">
        <f>IF(dir!M138="","",dir!M138)</f>
        <v>0</v>
      </c>
      <c r="N160" s="867" t="str">
        <f t="shared" si="84"/>
        <v/>
      </c>
      <c r="O160" s="867"/>
      <c r="P160" s="953" t="str">
        <f t="shared" si="85"/>
        <v/>
      </c>
      <c r="Q160" s="70"/>
      <c r="R160" s="739" t="str">
        <f t="shared" si="86"/>
        <v/>
      </c>
      <c r="S160" s="739" t="str">
        <f t="shared" si="87"/>
        <v/>
      </c>
      <c r="T160" s="740" t="str">
        <f t="shared" si="88"/>
        <v/>
      </c>
      <c r="U160" s="275"/>
      <c r="V160" s="288"/>
      <c r="W160" s="288"/>
      <c r="X160" s="288"/>
      <c r="Y160" s="908">
        <f t="shared" si="89"/>
        <v>0</v>
      </c>
      <c r="Z160" s="986">
        <f>tab!$D$62</f>
        <v>0.6</v>
      </c>
      <c r="AA160" s="944">
        <f t="shared" si="90"/>
        <v>0</v>
      </c>
      <c r="AB160" s="944">
        <f t="shared" si="91"/>
        <v>0</v>
      </c>
      <c r="AC160" s="944">
        <f t="shared" si="92"/>
        <v>0</v>
      </c>
      <c r="AD160" s="943" t="e">
        <f t="shared" si="93"/>
        <v>#VALUE!</v>
      </c>
      <c r="AE160" s="943">
        <f t="shared" si="94"/>
        <v>0</v>
      </c>
      <c r="AF160" s="916">
        <f>IF(H160&gt;8,tab!$D$63,tab!$D$65)</f>
        <v>0.5</v>
      </c>
      <c r="AG160" s="925">
        <f t="shared" si="95"/>
        <v>0</v>
      </c>
      <c r="AH160" s="980">
        <f t="shared" si="96"/>
        <v>0</v>
      </c>
      <c r="AM160" s="907"/>
    </row>
    <row r="161" spans="3:39" x14ac:dyDescent="0.2">
      <c r="C161" s="69"/>
      <c r="D161" s="289" t="str">
        <f>IF(dir!D139=0,"",dir!D139)</f>
        <v/>
      </c>
      <c r="E161" s="75" t="str">
        <f>IF(dir!E139=0,"-",dir!E139)</f>
        <v/>
      </c>
      <c r="F161" s="88" t="str">
        <f>IF(dir!F139="","",dir!F139+1)</f>
        <v/>
      </c>
      <c r="G161" s="290" t="str">
        <f>IF(dir!G139="","",dir!G139)</f>
        <v/>
      </c>
      <c r="H161" s="99" t="str">
        <f t="shared" si="83"/>
        <v/>
      </c>
      <c r="I161" s="99" t="str">
        <f>IF(J161="","",(IF(dir!I139+1&gt;LOOKUP(H161,schaal2019,regels2019),dir!I139,dir!I139+1)))</f>
        <v/>
      </c>
      <c r="J161" s="291" t="str">
        <f>IF(dir!J139="","",dir!J139)</f>
        <v/>
      </c>
      <c r="K161" s="292"/>
      <c r="L161" s="868">
        <f>IF(dir!L139="","",dir!L139)</f>
        <v>0</v>
      </c>
      <c r="M161" s="868">
        <f>IF(dir!M139="","",dir!M139)</f>
        <v>0</v>
      </c>
      <c r="N161" s="867" t="str">
        <f t="shared" si="84"/>
        <v/>
      </c>
      <c r="O161" s="867"/>
      <c r="P161" s="953" t="str">
        <f t="shared" si="85"/>
        <v/>
      </c>
      <c r="Q161" s="70"/>
      <c r="R161" s="739" t="str">
        <f t="shared" si="86"/>
        <v/>
      </c>
      <c r="S161" s="739" t="str">
        <f t="shared" si="87"/>
        <v/>
      </c>
      <c r="T161" s="740" t="str">
        <f t="shared" si="88"/>
        <v/>
      </c>
      <c r="U161" s="275"/>
      <c r="V161" s="288"/>
      <c r="W161" s="288"/>
      <c r="X161" s="288"/>
      <c r="Y161" s="908">
        <f t="shared" si="89"/>
        <v>0</v>
      </c>
      <c r="Z161" s="986">
        <f>tab!$D$62</f>
        <v>0.6</v>
      </c>
      <c r="AA161" s="944">
        <f t="shared" si="90"/>
        <v>0</v>
      </c>
      <c r="AB161" s="944">
        <f t="shared" si="91"/>
        <v>0</v>
      </c>
      <c r="AC161" s="944">
        <f t="shared" si="92"/>
        <v>0</v>
      </c>
      <c r="AD161" s="943" t="e">
        <f t="shared" si="93"/>
        <v>#VALUE!</v>
      </c>
      <c r="AE161" s="943">
        <f t="shared" si="94"/>
        <v>0</v>
      </c>
      <c r="AF161" s="916">
        <f>IF(H161&gt;8,tab!$D$63,tab!$D$65)</f>
        <v>0.5</v>
      </c>
      <c r="AG161" s="925">
        <f t="shared" si="95"/>
        <v>0</v>
      </c>
      <c r="AH161" s="980">
        <f t="shared" si="96"/>
        <v>0</v>
      </c>
      <c r="AM161" s="907"/>
    </row>
    <row r="162" spans="3:39" x14ac:dyDescent="0.2">
      <c r="C162" s="69"/>
      <c r="D162" s="289" t="str">
        <f>IF(dir!D140=0,"",dir!D140)</f>
        <v/>
      </c>
      <c r="E162" s="75" t="str">
        <f>IF(dir!E140=0,"-",dir!E140)</f>
        <v/>
      </c>
      <c r="F162" s="88" t="str">
        <f>IF(dir!F140="","",dir!F140+1)</f>
        <v/>
      </c>
      <c r="G162" s="290" t="str">
        <f>IF(dir!G140="","",dir!G140)</f>
        <v/>
      </c>
      <c r="H162" s="99" t="str">
        <f t="shared" si="83"/>
        <v/>
      </c>
      <c r="I162" s="99" t="str">
        <f>IF(J162="","",(IF(dir!I140+1&gt;LOOKUP(H162,schaal2019,regels2019),dir!I140,dir!I140+1)))</f>
        <v/>
      </c>
      <c r="J162" s="291" t="str">
        <f>IF(dir!J140="","",dir!J140)</f>
        <v/>
      </c>
      <c r="K162" s="292"/>
      <c r="L162" s="868">
        <f>IF(dir!L140="","",dir!L140)</f>
        <v>0</v>
      </c>
      <c r="M162" s="868">
        <f>IF(dir!M140="","",dir!M140)</f>
        <v>0</v>
      </c>
      <c r="N162" s="867" t="str">
        <f t="shared" si="84"/>
        <v/>
      </c>
      <c r="O162" s="867"/>
      <c r="P162" s="953" t="str">
        <f t="shared" si="85"/>
        <v/>
      </c>
      <c r="Q162" s="70"/>
      <c r="R162" s="739" t="str">
        <f t="shared" si="86"/>
        <v/>
      </c>
      <c r="S162" s="739" t="str">
        <f t="shared" si="87"/>
        <v/>
      </c>
      <c r="T162" s="740" t="str">
        <f t="shared" si="88"/>
        <v/>
      </c>
      <c r="U162" s="275"/>
      <c r="V162" s="288"/>
      <c r="W162" s="288"/>
      <c r="X162" s="288"/>
      <c r="Y162" s="908">
        <f t="shared" si="89"/>
        <v>0</v>
      </c>
      <c r="Z162" s="986">
        <f>tab!$D$62</f>
        <v>0.6</v>
      </c>
      <c r="AA162" s="944">
        <f t="shared" si="90"/>
        <v>0</v>
      </c>
      <c r="AB162" s="944">
        <f t="shared" si="91"/>
        <v>0</v>
      </c>
      <c r="AC162" s="944">
        <f t="shared" si="92"/>
        <v>0</v>
      </c>
      <c r="AD162" s="943" t="e">
        <f t="shared" si="93"/>
        <v>#VALUE!</v>
      </c>
      <c r="AE162" s="943">
        <f t="shared" si="94"/>
        <v>0</v>
      </c>
      <c r="AF162" s="916">
        <f>IF(H162&gt;8,tab!$D$63,tab!$D$65)</f>
        <v>0.5</v>
      </c>
      <c r="AG162" s="925">
        <f t="shared" si="95"/>
        <v>0</v>
      </c>
      <c r="AH162" s="980">
        <f t="shared" si="96"/>
        <v>0</v>
      </c>
      <c r="AM162" s="907"/>
    </row>
    <row r="163" spans="3:39" x14ac:dyDescent="0.2">
      <c r="C163" s="69"/>
      <c r="D163" s="297"/>
      <c r="E163" s="89"/>
      <c r="F163" s="298"/>
      <c r="G163" s="299"/>
      <c r="H163" s="74"/>
      <c r="I163" s="74"/>
      <c r="J163" s="742">
        <f>SUM(J153:J162)</f>
        <v>0</v>
      </c>
      <c r="K163" s="107"/>
      <c r="L163" s="869">
        <f>SUM(L153:L162)</f>
        <v>0</v>
      </c>
      <c r="M163" s="869">
        <f>SUM(M153:M162)</f>
        <v>0</v>
      </c>
      <c r="N163" s="869">
        <f>SUM(N153:N162)</f>
        <v>0</v>
      </c>
      <c r="O163" s="876"/>
      <c r="P163" s="869">
        <f>SUM(P153:P162)</f>
        <v>0</v>
      </c>
      <c r="Q163" s="107"/>
      <c r="R163" s="743">
        <f>SUM(R153:R162)</f>
        <v>0</v>
      </c>
      <c r="S163" s="743">
        <f>SUM(S153:S162)</f>
        <v>0</v>
      </c>
      <c r="T163" s="743">
        <f>SUM(T153:T162)</f>
        <v>0</v>
      </c>
      <c r="U163" s="295"/>
      <c r="V163" s="279"/>
      <c r="Y163" s="909">
        <f>SUM(Y153:Y162)</f>
        <v>4118</v>
      </c>
      <c r="Z163" s="909"/>
      <c r="AA163" s="909"/>
      <c r="AB163" s="909"/>
      <c r="AC163" s="909"/>
      <c r="AD163" s="917" t="e">
        <f>SUM(AD153:AD162)</f>
        <v>#VALUE!</v>
      </c>
      <c r="AE163" s="930">
        <f>SUM(AE153:AE162)</f>
        <v>0</v>
      </c>
      <c r="AF163" s="909"/>
      <c r="AG163" s="933">
        <f>SUM(AG153:AG162)</f>
        <v>0</v>
      </c>
      <c r="AH163" s="981">
        <f>SUM(AH153:AH162)</f>
        <v>0</v>
      </c>
      <c r="AM163" s="907"/>
    </row>
    <row r="164" spans="3:39" x14ac:dyDescent="0.2">
      <c r="AE164" s="911"/>
    </row>
    <row r="165" spans="3:39" x14ac:dyDescent="0.2">
      <c r="AE165" s="911"/>
    </row>
    <row r="166" spans="3:39" x14ac:dyDescent="0.2">
      <c r="AE166" s="911"/>
    </row>
    <row r="167" spans="3:39" x14ac:dyDescent="0.2">
      <c r="AE167" s="911"/>
    </row>
    <row r="168" spans="3:39" x14ac:dyDescent="0.2">
      <c r="AE168" s="911"/>
    </row>
    <row r="169" spans="3:39" x14ac:dyDescent="0.2">
      <c r="AE169" s="911"/>
    </row>
    <row r="170" spans="3:39" x14ac:dyDescent="0.2">
      <c r="AE170" s="911"/>
    </row>
    <row r="171" spans="3:39" x14ac:dyDescent="0.2">
      <c r="AE171" s="911"/>
    </row>
    <row r="172" spans="3:39" x14ac:dyDescent="0.2">
      <c r="AE172" s="911"/>
    </row>
    <row r="173" spans="3:39" x14ac:dyDescent="0.2">
      <c r="AE173" s="911"/>
    </row>
    <row r="174" spans="3:39" x14ac:dyDescent="0.2">
      <c r="AE174" s="911"/>
    </row>
    <row r="175" spans="3:39" x14ac:dyDescent="0.2">
      <c r="AE175" s="911"/>
    </row>
    <row r="176" spans="3:39" x14ac:dyDescent="0.2">
      <c r="AE176" s="911"/>
    </row>
    <row r="177" spans="31:31" x14ac:dyDescent="0.2">
      <c r="AE177" s="911"/>
    </row>
    <row r="178" spans="31:31" x14ac:dyDescent="0.2">
      <c r="AE178" s="911"/>
    </row>
    <row r="179" spans="31:31" x14ac:dyDescent="0.2">
      <c r="AE179" s="911"/>
    </row>
    <row r="180" spans="31:31" x14ac:dyDescent="0.2">
      <c r="AE180" s="911"/>
    </row>
    <row r="181" spans="31:31" x14ac:dyDescent="0.2">
      <c r="AE181" s="911"/>
    </row>
    <row r="182" spans="31:31" x14ac:dyDescent="0.2">
      <c r="AE182" s="911"/>
    </row>
    <row r="183" spans="31:31" x14ac:dyDescent="0.2">
      <c r="AE183" s="911"/>
    </row>
    <row r="184" spans="31:31" x14ac:dyDescent="0.2">
      <c r="AE184" s="911"/>
    </row>
    <row r="185" spans="31:31" x14ac:dyDescent="0.2">
      <c r="AE185" s="911"/>
    </row>
    <row r="186" spans="31:31" x14ac:dyDescent="0.2">
      <c r="AE186" s="911"/>
    </row>
    <row r="187" spans="31:31" x14ac:dyDescent="0.2">
      <c r="AE187" s="911"/>
    </row>
    <row r="188" spans="31:31" x14ac:dyDescent="0.2">
      <c r="AE188" s="911"/>
    </row>
    <row r="189" spans="31:31" x14ac:dyDescent="0.2">
      <c r="AE189" s="911"/>
    </row>
    <row r="190" spans="31:31" x14ac:dyDescent="0.2">
      <c r="AE190" s="911"/>
    </row>
    <row r="191" spans="31:31" x14ac:dyDescent="0.2">
      <c r="AE191" s="911"/>
    </row>
    <row r="192" spans="31:31" x14ac:dyDescent="0.2">
      <c r="AE192" s="911"/>
    </row>
    <row r="193" spans="31:31" x14ac:dyDescent="0.2">
      <c r="AE193" s="911"/>
    </row>
    <row r="194" spans="31:31" x14ac:dyDescent="0.2">
      <c r="AE194" s="911"/>
    </row>
    <row r="195" spans="31:31" x14ac:dyDescent="0.2">
      <c r="AE195" s="911"/>
    </row>
    <row r="196" spans="31:31" x14ac:dyDescent="0.2">
      <c r="AE196" s="911"/>
    </row>
    <row r="197" spans="31:31" x14ac:dyDescent="0.2">
      <c r="AE197" s="911"/>
    </row>
    <row r="198" spans="31:31" x14ac:dyDescent="0.2">
      <c r="AE198" s="911"/>
    </row>
    <row r="199" spans="31:31" x14ac:dyDescent="0.2">
      <c r="AE199" s="911"/>
    </row>
    <row r="200" spans="31:31" x14ac:dyDescent="0.2">
      <c r="AE200" s="911"/>
    </row>
    <row r="201" spans="31:31" x14ac:dyDescent="0.2">
      <c r="AE201" s="911"/>
    </row>
    <row r="202" spans="31:31" x14ac:dyDescent="0.2">
      <c r="AE202" s="911"/>
    </row>
    <row r="203" spans="31:31" x14ac:dyDescent="0.2">
      <c r="AE203" s="911"/>
    </row>
    <row r="204" spans="31:31" x14ac:dyDescent="0.2">
      <c r="AE204" s="911"/>
    </row>
    <row r="205" spans="31:31" x14ac:dyDescent="0.2">
      <c r="AE205" s="911"/>
    </row>
    <row r="206" spans="31:31" x14ac:dyDescent="0.2">
      <c r="AE206" s="911"/>
    </row>
    <row r="207" spans="31:31" x14ac:dyDescent="0.2">
      <c r="AE207" s="911"/>
    </row>
    <row r="208" spans="31:31" x14ac:dyDescent="0.2">
      <c r="AE208" s="911"/>
    </row>
    <row r="209" spans="31:31" x14ac:dyDescent="0.2">
      <c r="AE209" s="911"/>
    </row>
    <row r="210" spans="31:31" x14ac:dyDescent="0.2">
      <c r="AE210" s="911"/>
    </row>
    <row r="211" spans="31:31" x14ac:dyDescent="0.2">
      <c r="AE211" s="911"/>
    </row>
    <row r="212" spans="31:31" x14ac:dyDescent="0.2">
      <c r="AE212" s="911"/>
    </row>
    <row r="213" spans="31:31" x14ac:dyDescent="0.2">
      <c r="AE213" s="911"/>
    </row>
    <row r="214" spans="31:31" x14ac:dyDescent="0.2">
      <c r="AE214" s="911"/>
    </row>
    <row r="215" spans="31:31" x14ac:dyDescent="0.2">
      <c r="AE215" s="911"/>
    </row>
    <row r="216" spans="31:31" x14ac:dyDescent="0.2">
      <c r="AE216" s="911"/>
    </row>
    <row r="217" spans="31:31" x14ac:dyDescent="0.2">
      <c r="AE217" s="911"/>
    </row>
    <row r="218" spans="31:31" x14ac:dyDescent="0.2">
      <c r="AE218" s="911"/>
    </row>
    <row r="219" spans="31:31" x14ac:dyDescent="0.2">
      <c r="AE219" s="911"/>
    </row>
    <row r="220" spans="31:31" x14ac:dyDescent="0.2">
      <c r="AE220" s="911"/>
    </row>
    <row r="221" spans="31:31" x14ac:dyDescent="0.2">
      <c r="AE221" s="911"/>
    </row>
    <row r="222" spans="31:31" x14ac:dyDescent="0.2">
      <c r="AE222" s="911"/>
    </row>
    <row r="223" spans="31:31" x14ac:dyDescent="0.2">
      <c r="AE223" s="911"/>
    </row>
    <row r="224" spans="31:31" x14ac:dyDescent="0.2">
      <c r="AE224" s="911"/>
    </row>
    <row r="225" spans="31:31" x14ac:dyDescent="0.2">
      <c r="AE225" s="911"/>
    </row>
    <row r="226" spans="31:31" x14ac:dyDescent="0.2">
      <c r="AE226" s="911"/>
    </row>
    <row r="227" spans="31:31" x14ac:dyDescent="0.2">
      <c r="AE227" s="911"/>
    </row>
    <row r="228" spans="31:31" x14ac:dyDescent="0.2">
      <c r="AE228" s="911"/>
    </row>
    <row r="229" spans="31:31" x14ac:dyDescent="0.2">
      <c r="AE229" s="911"/>
    </row>
    <row r="230" spans="31:31" x14ac:dyDescent="0.2">
      <c r="AE230" s="911"/>
    </row>
    <row r="231" spans="31:31" x14ac:dyDescent="0.2">
      <c r="AE231" s="911"/>
    </row>
    <row r="232" spans="31:31" x14ac:dyDescent="0.2">
      <c r="AE232" s="911"/>
    </row>
    <row r="233" spans="31:31" x14ac:dyDescent="0.2">
      <c r="AE233" s="911"/>
    </row>
    <row r="234" spans="31:31" x14ac:dyDescent="0.2">
      <c r="AE234" s="911"/>
    </row>
    <row r="235" spans="31:31" x14ac:dyDescent="0.2">
      <c r="AE235" s="911"/>
    </row>
    <row r="236" spans="31:31" x14ac:dyDescent="0.2">
      <c r="AE236" s="911"/>
    </row>
    <row r="237" spans="31:31" x14ac:dyDescent="0.2">
      <c r="AE237" s="911"/>
    </row>
    <row r="238" spans="31:31" x14ac:dyDescent="0.2">
      <c r="AE238" s="911"/>
    </row>
    <row r="239" spans="31:31" x14ac:dyDescent="0.2">
      <c r="AE239" s="911"/>
    </row>
    <row r="240" spans="31:31" x14ac:dyDescent="0.2">
      <c r="AE240" s="911"/>
    </row>
    <row r="241" spans="31:31" x14ac:dyDescent="0.2">
      <c r="AE241" s="911"/>
    </row>
    <row r="242" spans="31:31" x14ac:dyDescent="0.2">
      <c r="AE242" s="911"/>
    </row>
    <row r="243" spans="31:31" x14ac:dyDescent="0.2">
      <c r="AE243" s="911"/>
    </row>
    <row r="244" spans="31:31" x14ac:dyDescent="0.2">
      <c r="AE244" s="911"/>
    </row>
    <row r="245" spans="31:31" x14ac:dyDescent="0.2">
      <c r="AE245" s="911"/>
    </row>
    <row r="246" spans="31:31" x14ac:dyDescent="0.2">
      <c r="AE246" s="911"/>
    </row>
    <row r="247" spans="31:31" x14ac:dyDescent="0.2">
      <c r="AE247" s="911"/>
    </row>
    <row r="248" spans="31:31" x14ac:dyDescent="0.2">
      <c r="AE248" s="911"/>
    </row>
    <row r="249" spans="31:31" x14ac:dyDescent="0.2">
      <c r="AE249" s="911"/>
    </row>
    <row r="250" spans="31:31" x14ac:dyDescent="0.2">
      <c r="AE250" s="911"/>
    </row>
    <row r="251" spans="31:31" x14ac:dyDescent="0.2">
      <c r="AE251" s="911"/>
    </row>
    <row r="252" spans="31:31" x14ac:dyDescent="0.2">
      <c r="AE252" s="911"/>
    </row>
    <row r="253" spans="31:31" x14ac:dyDescent="0.2">
      <c r="AE253" s="911"/>
    </row>
    <row r="254" spans="31:31" x14ac:dyDescent="0.2">
      <c r="AE254" s="911"/>
    </row>
    <row r="255" spans="31:31" x14ac:dyDescent="0.2">
      <c r="AE255" s="911"/>
    </row>
    <row r="256" spans="31:31" x14ac:dyDescent="0.2">
      <c r="AE256" s="911"/>
    </row>
    <row r="257" spans="31:31" x14ac:dyDescent="0.2">
      <c r="AE257" s="911"/>
    </row>
    <row r="258" spans="31:31" x14ac:dyDescent="0.2">
      <c r="AE258" s="911"/>
    </row>
    <row r="259" spans="31:31" x14ac:dyDescent="0.2">
      <c r="AE259" s="911"/>
    </row>
    <row r="260" spans="31:31" x14ac:dyDescent="0.2">
      <c r="AE260" s="911"/>
    </row>
    <row r="261" spans="31:31" x14ac:dyDescent="0.2">
      <c r="AE261" s="911"/>
    </row>
    <row r="262" spans="31:31" x14ac:dyDescent="0.2">
      <c r="AE262" s="911"/>
    </row>
    <row r="263" spans="31:31" x14ac:dyDescent="0.2">
      <c r="AE263" s="911"/>
    </row>
    <row r="264" spans="31:31" x14ac:dyDescent="0.2">
      <c r="AE264" s="911"/>
    </row>
    <row r="265" spans="31:31" x14ac:dyDescent="0.2">
      <c r="AE265" s="911"/>
    </row>
    <row r="266" spans="31:31" x14ac:dyDescent="0.2">
      <c r="AE266" s="911"/>
    </row>
    <row r="267" spans="31:31" x14ac:dyDescent="0.2">
      <c r="AE267" s="911"/>
    </row>
    <row r="268" spans="31:31" x14ac:dyDescent="0.2">
      <c r="AE268" s="911"/>
    </row>
    <row r="269" spans="31:31" x14ac:dyDescent="0.2">
      <c r="AE269" s="911"/>
    </row>
    <row r="270" spans="31:31" x14ac:dyDescent="0.2">
      <c r="AE270" s="911"/>
    </row>
    <row r="271" spans="31:31" x14ac:dyDescent="0.2">
      <c r="AE271" s="911"/>
    </row>
    <row r="272" spans="31:31" x14ac:dyDescent="0.2">
      <c r="AE272" s="911"/>
    </row>
    <row r="273" spans="31:31" x14ac:dyDescent="0.2">
      <c r="AE273" s="911"/>
    </row>
    <row r="274" spans="31:31" x14ac:dyDescent="0.2">
      <c r="AE274" s="911"/>
    </row>
    <row r="275" spans="31:31" x14ac:dyDescent="0.2">
      <c r="AE275" s="911"/>
    </row>
    <row r="276" spans="31:31" x14ac:dyDescent="0.2">
      <c r="AE276" s="911"/>
    </row>
    <row r="277" spans="31:31" x14ac:dyDescent="0.2">
      <c r="AE277" s="911"/>
    </row>
    <row r="278" spans="31:31" x14ac:dyDescent="0.2">
      <c r="AE278" s="911"/>
    </row>
    <row r="279" spans="31:31" x14ac:dyDescent="0.2">
      <c r="AE279" s="911"/>
    </row>
    <row r="280" spans="31:31" x14ac:dyDescent="0.2">
      <c r="AE280" s="911"/>
    </row>
    <row r="281" spans="31:31" x14ac:dyDescent="0.2">
      <c r="AE281" s="911"/>
    </row>
    <row r="282" spans="31:31" x14ac:dyDescent="0.2">
      <c r="AE282" s="911"/>
    </row>
    <row r="283" spans="31:31" x14ac:dyDescent="0.2">
      <c r="AE283" s="911"/>
    </row>
    <row r="284" spans="31:31" x14ac:dyDescent="0.2">
      <c r="AE284" s="911"/>
    </row>
    <row r="285" spans="31:31" x14ac:dyDescent="0.2">
      <c r="AE285" s="911"/>
    </row>
    <row r="286" spans="31:31" x14ac:dyDescent="0.2">
      <c r="AE286" s="911"/>
    </row>
    <row r="287" spans="31:31" x14ac:dyDescent="0.2">
      <c r="AE287" s="911"/>
    </row>
    <row r="288" spans="31:31" x14ac:dyDescent="0.2">
      <c r="AE288" s="911"/>
    </row>
    <row r="289" spans="31:31" x14ac:dyDescent="0.2">
      <c r="AE289" s="911"/>
    </row>
    <row r="290" spans="31:31" x14ac:dyDescent="0.2">
      <c r="AE290" s="911"/>
    </row>
    <row r="291" spans="31:31" x14ac:dyDescent="0.2">
      <c r="AE291" s="911"/>
    </row>
    <row r="292" spans="31:31" x14ac:dyDescent="0.2">
      <c r="AE292" s="911"/>
    </row>
    <row r="293" spans="31:31" x14ac:dyDescent="0.2">
      <c r="AE293" s="911"/>
    </row>
    <row r="294" spans="31:31" x14ac:dyDescent="0.2">
      <c r="AE294" s="911"/>
    </row>
    <row r="295" spans="31:31" x14ac:dyDescent="0.2">
      <c r="AE295" s="911"/>
    </row>
    <row r="296" spans="31:31" x14ac:dyDescent="0.2">
      <c r="AE296" s="911"/>
    </row>
    <row r="297" spans="31:31" x14ac:dyDescent="0.2">
      <c r="AE297" s="911"/>
    </row>
    <row r="298" spans="31:31" x14ac:dyDescent="0.2">
      <c r="AE298" s="911"/>
    </row>
    <row r="299" spans="31:31" x14ac:dyDescent="0.2">
      <c r="AE299" s="911"/>
    </row>
    <row r="300" spans="31:31" x14ac:dyDescent="0.2">
      <c r="AE300" s="911"/>
    </row>
    <row r="301" spans="31:31" x14ac:dyDescent="0.2">
      <c r="AE301" s="911"/>
    </row>
    <row r="302" spans="31:31" x14ac:dyDescent="0.2">
      <c r="AE302" s="911"/>
    </row>
    <row r="303" spans="31:31" x14ac:dyDescent="0.2">
      <c r="AE303" s="911"/>
    </row>
    <row r="304" spans="31:31" x14ac:dyDescent="0.2">
      <c r="AE304" s="911"/>
    </row>
    <row r="305" spans="31:31" x14ac:dyDescent="0.2">
      <c r="AE305" s="911"/>
    </row>
    <row r="306" spans="31:31" x14ac:dyDescent="0.2">
      <c r="AE306" s="911"/>
    </row>
    <row r="307" spans="31:31" x14ac:dyDescent="0.2">
      <c r="AE307" s="911"/>
    </row>
    <row r="308" spans="31:31" x14ac:dyDescent="0.2">
      <c r="AE308" s="911"/>
    </row>
    <row r="309" spans="31:31" x14ac:dyDescent="0.2">
      <c r="AE309" s="911"/>
    </row>
    <row r="310" spans="31:31" x14ac:dyDescent="0.2">
      <c r="AE310" s="911"/>
    </row>
    <row r="311" spans="31:31" x14ac:dyDescent="0.2">
      <c r="AE311" s="911"/>
    </row>
    <row r="312" spans="31:31" x14ac:dyDescent="0.2">
      <c r="AE312" s="911"/>
    </row>
    <row r="313" spans="31:31" x14ac:dyDescent="0.2">
      <c r="AE313" s="911"/>
    </row>
    <row r="314" spans="31:31" x14ac:dyDescent="0.2">
      <c r="AE314" s="911"/>
    </row>
    <row r="315" spans="31:31" x14ac:dyDescent="0.2">
      <c r="AE315" s="911"/>
    </row>
    <row r="316" spans="31:31" x14ac:dyDescent="0.2">
      <c r="AE316" s="911"/>
    </row>
    <row r="317" spans="31:31" x14ac:dyDescent="0.2">
      <c r="AE317" s="911"/>
    </row>
    <row r="318" spans="31:31" x14ac:dyDescent="0.2">
      <c r="AE318" s="911"/>
    </row>
    <row r="319" spans="31:31" x14ac:dyDescent="0.2">
      <c r="AE319" s="911"/>
    </row>
    <row r="320" spans="31:31" x14ac:dyDescent="0.2">
      <c r="AE320" s="911"/>
    </row>
    <row r="321" spans="31:31" x14ac:dyDescent="0.2">
      <c r="AE321" s="911"/>
    </row>
    <row r="322" spans="31:31" x14ac:dyDescent="0.2">
      <c r="AE322" s="911"/>
    </row>
    <row r="323" spans="31:31" x14ac:dyDescent="0.2">
      <c r="AE323" s="911"/>
    </row>
    <row r="324" spans="31:31" x14ac:dyDescent="0.2">
      <c r="AE324" s="911"/>
    </row>
    <row r="325" spans="31:31" x14ac:dyDescent="0.2">
      <c r="AE325" s="911"/>
    </row>
    <row r="326" spans="31:31" x14ac:dyDescent="0.2">
      <c r="AE326" s="911"/>
    </row>
    <row r="327" spans="31:31" x14ac:dyDescent="0.2">
      <c r="AE327" s="911"/>
    </row>
    <row r="328" spans="31:31" x14ac:dyDescent="0.2">
      <c r="AE328" s="911"/>
    </row>
    <row r="329" spans="31:31" x14ac:dyDescent="0.2">
      <c r="AE329" s="911"/>
    </row>
    <row r="330" spans="31:31" x14ac:dyDescent="0.2">
      <c r="AE330" s="911"/>
    </row>
    <row r="331" spans="31:31" x14ac:dyDescent="0.2">
      <c r="AE331" s="911"/>
    </row>
    <row r="332" spans="31:31" x14ac:dyDescent="0.2">
      <c r="AE332" s="911"/>
    </row>
    <row r="333" spans="31:31" x14ac:dyDescent="0.2">
      <c r="AE333" s="911"/>
    </row>
    <row r="334" spans="31:31" x14ac:dyDescent="0.2">
      <c r="AE334" s="911"/>
    </row>
    <row r="335" spans="31:31" x14ac:dyDescent="0.2">
      <c r="AE335" s="911"/>
    </row>
    <row r="336" spans="31:31" x14ac:dyDescent="0.2">
      <c r="AE336" s="911"/>
    </row>
    <row r="337" spans="31:31" x14ac:dyDescent="0.2">
      <c r="AE337" s="911"/>
    </row>
    <row r="338" spans="31:31" x14ac:dyDescent="0.2">
      <c r="AE338" s="911"/>
    </row>
    <row r="339" spans="31:31" x14ac:dyDescent="0.2">
      <c r="AE339" s="911"/>
    </row>
    <row r="340" spans="31:31" x14ac:dyDescent="0.2">
      <c r="AE340" s="911"/>
    </row>
    <row r="341" spans="31:31" x14ac:dyDescent="0.2">
      <c r="AE341" s="911"/>
    </row>
    <row r="342" spans="31:31" x14ac:dyDescent="0.2">
      <c r="AE342" s="911"/>
    </row>
    <row r="343" spans="31:31" x14ac:dyDescent="0.2">
      <c r="AE343" s="911"/>
    </row>
    <row r="344" spans="31:31" x14ac:dyDescent="0.2">
      <c r="AE344" s="911"/>
    </row>
    <row r="345" spans="31:31" x14ac:dyDescent="0.2">
      <c r="AE345" s="911"/>
    </row>
    <row r="346" spans="31:31" x14ac:dyDescent="0.2">
      <c r="AE346" s="911"/>
    </row>
    <row r="347" spans="31:31" x14ac:dyDescent="0.2">
      <c r="AE347" s="911"/>
    </row>
    <row r="348" spans="31:31" x14ac:dyDescent="0.2">
      <c r="AE348" s="911"/>
    </row>
    <row r="349" spans="31:31" x14ac:dyDescent="0.2">
      <c r="AE349" s="911"/>
    </row>
    <row r="350" spans="31:31" x14ac:dyDescent="0.2">
      <c r="AE350" s="911"/>
    </row>
    <row r="351" spans="31:31" x14ac:dyDescent="0.2">
      <c r="AE351" s="911"/>
    </row>
    <row r="352" spans="31:31" x14ac:dyDescent="0.2">
      <c r="AE352" s="911"/>
    </row>
    <row r="353" spans="31:31" x14ac:dyDescent="0.2">
      <c r="AE353" s="911"/>
    </row>
    <row r="354" spans="31:31" x14ac:dyDescent="0.2">
      <c r="AE354" s="911"/>
    </row>
    <row r="355" spans="31:31" x14ac:dyDescent="0.2">
      <c r="AE355" s="911"/>
    </row>
    <row r="356" spans="31:31" x14ac:dyDescent="0.2">
      <c r="AE356" s="911"/>
    </row>
    <row r="357" spans="31:31" x14ac:dyDescent="0.2">
      <c r="AE357" s="911"/>
    </row>
    <row r="358" spans="31:31" x14ac:dyDescent="0.2">
      <c r="AE358" s="911"/>
    </row>
    <row r="359" spans="31:31" x14ac:dyDescent="0.2">
      <c r="AE359" s="911"/>
    </row>
    <row r="360" spans="31:31" x14ac:dyDescent="0.2">
      <c r="AE360" s="911"/>
    </row>
    <row r="361" spans="31:31" x14ac:dyDescent="0.2">
      <c r="AE361" s="911"/>
    </row>
    <row r="362" spans="31:31" x14ac:dyDescent="0.2">
      <c r="AE362" s="911"/>
    </row>
    <row r="363" spans="31:31" x14ac:dyDescent="0.2">
      <c r="AE363" s="911"/>
    </row>
    <row r="364" spans="31:31" x14ac:dyDescent="0.2">
      <c r="AE364" s="911"/>
    </row>
    <row r="365" spans="31:31" x14ac:dyDescent="0.2">
      <c r="AE365" s="911"/>
    </row>
    <row r="366" spans="31:31" x14ac:dyDescent="0.2">
      <c r="AE366" s="911"/>
    </row>
    <row r="367" spans="31:31" x14ac:dyDescent="0.2">
      <c r="AE367" s="911"/>
    </row>
    <row r="368" spans="31:31" x14ac:dyDescent="0.2">
      <c r="AE368" s="911"/>
    </row>
    <row r="369" spans="31:31" x14ac:dyDescent="0.2">
      <c r="AE369" s="911"/>
    </row>
    <row r="370" spans="31:31" x14ac:dyDescent="0.2">
      <c r="AE370" s="911"/>
    </row>
    <row r="371" spans="31:31" x14ac:dyDescent="0.2">
      <c r="AE371" s="911"/>
    </row>
    <row r="372" spans="31:31" x14ac:dyDescent="0.2">
      <c r="AE372" s="911"/>
    </row>
    <row r="373" spans="31:31" x14ac:dyDescent="0.2">
      <c r="AE373" s="911"/>
    </row>
    <row r="374" spans="31:31" x14ac:dyDescent="0.2">
      <c r="AE374" s="911"/>
    </row>
    <row r="375" spans="31:31" x14ac:dyDescent="0.2">
      <c r="AE375" s="911"/>
    </row>
    <row r="376" spans="31:31" x14ac:dyDescent="0.2">
      <c r="AE376" s="911"/>
    </row>
    <row r="377" spans="31:31" x14ac:dyDescent="0.2">
      <c r="AE377" s="911"/>
    </row>
    <row r="378" spans="31:31" x14ac:dyDescent="0.2">
      <c r="AE378" s="911"/>
    </row>
    <row r="379" spans="31:31" x14ac:dyDescent="0.2">
      <c r="AE379" s="911"/>
    </row>
    <row r="380" spans="31:31" x14ac:dyDescent="0.2">
      <c r="AE380" s="911"/>
    </row>
    <row r="381" spans="31:31" x14ac:dyDescent="0.2">
      <c r="AE381" s="911"/>
    </row>
    <row r="382" spans="31:31" x14ac:dyDescent="0.2">
      <c r="AE382" s="911"/>
    </row>
    <row r="383" spans="31:31" x14ac:dyDescent="0.2">
      <c r="AE383" s="911"/>
    </row>
    <row r="384" spans="31:31" x14ac:dyDescent="0.2">
      <c r="AE384" s="911"/>
    </row>
    <row r="385" spans="31:31" x14ac:dyDescent="0.2">
      <c r="AE385" s="911"/>
    </row>
    <row r="386" spans="31:31" x14ac:dyDescent="0.2">
      <c r="AE386" s="911"/>
    </row>
    <row r="387" spans="31:31" x14ac:dyDescent="0.2">
      <c r="AE387" s="911"/>
    </row>
    <row r="388" spans="31:31" x14ac:dyDescent="0.2">
      <c r="AE388" s="911"/>
    </row>
    <row r="389" spans="31:31" x14ac:dyDescent="0.2">
      <c r="AE389" s="911"/>
    </row>
    <row r="390" spans="31:31" x14ac:dyDescent="0.2">
      <c r="AE390" s="911"/>
    </row>
    <row r="391" spans="31:31" x14ac:dyDescent="0.2">
      <c r="AE391" s="911"/>
    </row>
    <row r="392" spans="31:31" x14ac:dyDescent="0.2">
      <c r="AE392" s="911"/>
    </row>
    <row r="393" spans="31:31" x14ac:dyDescent="0.2">
      <c r="AE393" s="911"/>
    </row>
    <row r="394" spans="31:31" x14ac:dyDescent="0.2">
      <c r="AE394" s="911"/>
    </row>
    <row r="395" spans="31:31" x14ac:dyDescent="0.2">
      <c r="AE395" s="911"/>
    </row>
    <row r="396" spans="31:31" x14ac:dyDescent="0.2">
      <c r="AE396" s="911"/>
    </row>
    <row r="397" spans="31:31" x14ac:dyDescent="0.2">
      <c r="AE397" s="911"/>
    </row>
    <row r="398" spans="31:31" x14ac:dyDescent="0.2">
      <c r="AE398" s="911"/>
    </row>
    <row r="399" spans="31:31" x14ac:dyDescent="0.2">
      <c r="AE399" s="911"/>
    </row>
    <row r="400" spans="31:31" x14ac:dyDescent="0.2">
      <c r="AE400" s="911"/>
    </row>
    <row r="401" spans="31:31" x14ac:dyDescent="0.2">
      <c r="AE401" s="911"/>
    </row>
    <row r="402" spans="31:31" x14ac:dyDescent="0.2">
      <c r="AE402" s="911"/>
    </row>
    <row r="403" spans="31:31" x14ac:dyDescent="0.2">
      <c r="AE403" s="911"/>
    </row>
    <row r="404" spans="31:31" x14ac:dyDescent="0.2">
      <c r="AE404" s="911"/>
    </row>
    <row r="405" spans="31:31" x14ac:dyDescent="0.2">
      <c r="AE405" s="911"/>
    </row>
    <row r="406" spans="31:31" x14ac:dyDescent="0.2">
      <c r="AE406" s="911"/>
    </row>
    <row r="407" spans="31:31" x14ac:dyDescent="0.2">
      <c r="AE407" s="911"/>
    </row>
    <row r="408" spans="31:31" x14ac:dyDescent="0.2">
      <c r="AE408" s="911"/>
    </row>
    <row r="409" spans="31:31" x14ac:dyDescent="0.2">
      <c r="AE409" s="911"/>
    </row>
    <row r="410" spans="31:31" x14ac:dyDescent="0.2">
      <c r="AE410" s="911"/>
    </row>
    <row r="411" spans="31:31" x14ac:dyDescent="0.2">
      <c r="AE411" s="911"/>
    </row>
    <row r="412" spans="31:31" x14ac:dyDescent="0.2">
      <c r="AE412" s="911"/>
    </row>
    <row r="413" spans="31:31" x14ac:dyDescent="0.2">
      <c r="AE413" s="911"/>
    </row>
    <row r="414" spans="31:31" x14ac:dyDescent="0.2">
      <c r="AE414" s="911"/>
    </row>
    <row r="415" spans="31:31" x14ac:dyDescent="0.2">
      <c r="AE415" s="911"/>
    </row>
    <row r="416" spans="31:31" x14ac:dyDescent="0.2">
      <c r="AE416" s="911"/>
    </row>
    <row r="417" spans="31:31" x14ac:dyDescent="0.2">
      <c r="AE417" s="911"/>
    </row>
    <row r="418" spans="31:31" x14ac:dyDescent="0.2">
      <c r="AE418" s="911"/>
    </row>
    <row r="419" spans="31:31" x14ac:dyDescent="0.2">
      <c r="AE419" s="911"/>
    </row>
    <row r="420" spans="31:31" x14ac:dyDescent="0.2">
      <c r="AE420" s="911"/>
    </row>
    <row r="421" spans="31:31" x14ac:dyDescent="0.2">
      <c r="AE421" s="911"/>
    </row>
    <row r="422" spans="31:31" x14ac:dyDescent="0.2">
      <c r="AE422" s="911"/>
    </row>
    <row r="423" spans="31:31" x14ac:dyDescent="0.2">
      <c r="AE423" s="911"/>
    </row>
    <row r="424" spans="31:31" x14ac:dyDescent="0.2">
      <c r="AE424" s="911"/>
    </row>
    <row r="425" spans="31:31" x14ac:dyDescent="0.2">
      <c r="AE425" s="911"/>
    </row>
    <row r="426" spans="31:31" x14ac:dyDescent="0.2">
      <c r="AE426" s="911"/>
    </row>
    <row r="427" spans="31:31" x14ac:dyDescent="0.2">
      <c r="AE427" s="911"/>
    </row>
    <row r="428" spans="31:31" x14ac:dyDescent="0.2">
      <c r="AE428" s="911"/>
    </row>
    <row r="429" spans="31:31" x14ac:dyDescent="0.2">
      <c r="AE429" s="911"/>
    </row>
    <row r="430" spans="31:31" x14ac:dyDescent="0.2">
      <c r="AE430" s="911"/>
    </row>
    <row r="431" spans="31:31" x14ac:dyDescent="0.2">
      <c r="AE431" s="911"/>
    </row>
    <row r="432" spans="31:31" x14ac:dyDescent="0.2">
      <c r="AE432" s="911"/>
    </row>
    <row r="433" spans="31:31" x14ac:dyDescent="0.2">
      <c r="AE433" s="911"/>
    </row>
    <row r="434" spans="31:31" x14ac:dyDescent="0.2">
      <c r="AE434" s="911"/>
    </row>
    <row r="435" spans="31:31" x14ac:dyDescent="0.2">
      <c r="AE435" s="911"/>
    </row>
    <row r="436" spans="31:31" x14ac:dyDescent="0.2">
      <c r="AE436" s="911"/>
    </row>
    <row r="437" spans="31:31" x14ac:dyDescent="0.2">
      <c r="AE437" s="911"/>
    </row>
    <row r="438" spans="31:31" x14ac:dyDescent="0.2">
      <c r="AE438" s="911"/>
    </row>
    <row r="439" spans="31:31" x14ac:dyDescent="0.2">
      <c r="AE439" s="911"/>
    </row>
    <row r="440" spans="31:31" x14ac:dyDescent="0.2">
      <c r="AE440" s="911"/>
    </row>
    <row r="441" spans="31:31" x14ac:dyDescent="0.2">
      <c r="AE441" s="911"/>
    </row>
    <row r="442" spans="31:31" x14ac:dyDescent="0.2">
      <c r="AE442" s="911"/>
    </row>
    <row r="443" spans="31:31" x14ac:dyDescent="0.2">
      <c r="AE443" s="911"/>
    </row>
    <row r="444" spans="31:31" x14ac:dyDescent="0.2">
      <c r="AE444" s="911"/>
    </row>
    <row r="445" spans="31:31" x14ac:dyDescent="0.2">
      <c r="AE445" s="911"/>
    </row>
    <row r="446" spans="31:31" x14ac:dyDescent="0.2">
      <c r="AE446" s="911"/>
    </row>
    <row r="447" spans="31:31" x14ac:dyDescent="0.2">
      <c r="AE447" s="911"/>
    </row>
    <row r="448" spans="31:31" x14ac:dyDescent="0.2">
      <c r="AE448" s="911"/>
    </row>
    <row r="449" spans="31:31" x14ac:dyDescent="0.2">
      <c r="AE449" s="911"/>
    </row>
    <row r="450" spans="31:31" x14ac:dyDescent="0.2">
      <c r="AE450" s="911"/>
    </row>
    <row r="451" spans="31:31" x14ac:dyDescent="0.2">
      <c r="AE451" s="911"/>
    </row>
    <row r="452" spans="31:31" x14ac:dyDescent="0.2">
      <c r="AE452" s="911"/>
    </row>
    <row r="453" spans="31:31" x14ac:dyDescent="0.2">
      <c r="AE453" s="911"/>
    </row>
    <row r="454" spans="31:31" x14ac:dyDescent="0.2">
      <c r="AE454" s="911"/>
    </row>
    <row r="455" spans="31:31" x14ac:dyDescent="0.2">
      <c r="AE455" s="911"/>
    </row>
    <row r="456" spans="31:31" x14ac:dyDescent="0.2">
      <c r="AE456" s="911"/>
    </row>
    <row r="457" spans="31:31" x14ac:dyDescent="0.2">
      <c r="AE457" s="911"/>
    </row>
    <row r="458" spans="31:31" x14ac:dyDescent="0.2">
      <c r="AE458" s="911"/>
    </row>
    <row r="459" spans="31:31" x14ac:dyDescent="0.2">
      <c r="AE459" s="911"/>
    </row>
    <row r="460" spans="31:31" x14ac:dyDescent="0.2">
      <c r="AE460" s="911"/>
    </row>
    <row r="461" spans="31:31" x14ac:dyDescent="0.2">
      <c r="AE461" s="911"/>
    </row>
    <row r="462" spans="31:31" x14ac:dyDescent="0.2">
      <c r="AE462" s="911"/>
    </row>
    <row r="463" spans="31:31" x14ac:dyDescent="0.2">
      <c r="AE463" s="911"/>
    </row>
    <row r="464" spans="31:31" x14ac:dyDescent="0.2">
      <c r="AE464" s="911"/>
    </row>
    <row r="465" spans="31:31" x14ac:dyDescent="0.2">
      <c r="AE465" s="911"/>
    </row>
    <row r="466" spans="31:31" x14ac:dyDescent="0.2">
      <c r="AE466" s="911"/>
    </row>
    <row r="467" spans="31:31" x14ac:dyDescent="0.2">
      <c r="AE467" s="911"/>
    </row>
    <row r="468" spans="31:31" x14ac:dyDescent="0.2">
      <c r="AE468" s="911"/>
    </row>
    <row r="469" spans="31:31" x14ac:dyDescent="0.2">
      <c r="AE469" s="911"/>
    </row>
    <row r="470" spans="31:31" x14ac:dyDescent="0.2">
      <c r="AE470" s="911"/>
    </row>
    <row r="471" spans="31:31" x14ac:dyDescent="0.2">
      <c r="AE471" s="911"/>
    </row>
    <row r="472" spans="31:31" x14ac:dyDescent="0.2">
      <c r="AE472" s="911"/>
    </row>
    <row r="473" spans="31:31" x14ac:dyDescent="0.2">
      <c r="AE473" s="911"/>
    </row>
    <row r="474" spans="31:31" x14ac:dyDescent="0.2">
      <c r="AE474" s="911"/>
    </row>
    <row r="475" spans="31:31" x14ac:dyDescent="0.2">
      <c r="AE475" s="911"/>
    </row>
    <row r="476" spans="31:31" x14ac:dyDescent="0.2">
      <c r="AE476" s="911"/>
    </row>
    <row r="477" spans="31:31" x14ac:dyDescent="0.2">
      <c r="AE477" s="911"/>
    </row>
    <row r="478" spans="31:31" x14ac:dyDescent="0.2">
      <c r="AE478" s="911"/>
    </row>
    <row r="479" spans="31:31" x14ac:dyDescent="0.2">
      <c r="AE479" s="911"/>
    </row>
    <row r="480" spans="31:31" x14ac:dyDescent="0.2">
      <c r="AE480" s="911"/>
    </row>
    <row r="481" spans="31:31" x14ac:dyDescent="0.2">
      <c r="AE481" s="911"/>
    </row>
    <row r="482" spans="31:31" x14ac:dyDescent="0.2">
      <c r="AE482" s="911"/>
    </row>
    <row r="483" spans="31:31" x14ac:dyDescent="0.2">
      <c r="AE483" s="911"/>
    </row>
    <row r="484" spans="31:31" x14ac:dyDescent="0.2">
      <c r="AE484" s="911"/>
    </row>
    <row r="485" spans="31:31" x14ac:dyDescent="0.2">
      <c r="AE485" s="911"/>
    </row>
    <row r="486" spans="31:31" x14ac:dyDescent="0.2">
      <c r="AE486" s="911"/>
    </row>
    <row r="487" spans="31:31" x14ac:dyDescent="0.2">
      <c r="AE487" s="911"/>
    </row>
    <row r="488" spans="31:31" x14ac:dyDescent="0.2">
      <c r="AE488" s="911"/>
    </row>
    <row r="489" spans="31:31" x14ac:dyDescent="0.2">
      <c r="AE489" s="911"/>
    </row>
    <row r="490" spans="31:31" x14ac:dyDescent="0.2">
      <c r="AE490" s="911"/>
    </row>
    <row r="491" spans="31:31" x14ac:dyDescent="0.2">
      <c r="AE491" s="911"/>
    </row>
    <row r="492" spans="31:31" x14ac:dyDescent="0.2">
      <c r="AE492" s="911"/>
    </row>
    <row r="493" spans="31:31" x14ac:dyDescent="0.2">
      <c r="AE493" s="911"/>
    </row>
    <row r="494" spans="31:31" x14ac:dyDescent="0.2">
      <c r="AE494" s="911"/>
    </row>
  </sheetData>
  <sheetProtection algorithmName="SHA-512" hashValue="VQasvO1g/hBZlDkUWZX38FES5Ds+HoKuJCi/hgQEOn2ZhZEiGOheiiWDYM3/K4A26ji0yJ1c4owUK1nzIfPUaQ==" saltValue="yhXnLc/37cb5TSHbGMQ9fg==" spinCount="100000" sheet="1" objects="1" scenarios="1"/>
  <phoneticPr fontId="0" type="noConversion"/>
  <dataValidations count="3">
    <dataValidation type="list" allowBlank="1" showInputMessage="1" showErrorMessage="1" sqref="H99 H76:H82 H101:H104 H121 H123:H126 H143 H145:H148">
      <formula1>"LIOa,LIOb,J1,J2,J3,J4,J5,J6,1,2,3,4,5,6,7,8,9,10,11,12,13,14,15,LA,LB,LC,LD,LE,ID1,ID2,ID3"</formula1>
    </dataValidation>
    <dataValidation type="list" allowBlank="1" showInputMessage="1" showErrorMessage="1" sqref="H87:H96 H42:H51 H65:H74 H109:H118 H18:H27 H131:H140 H153:H162">
      <formula1>"AA,AB,AC,AD,AE,DA,DB,DBuit,DC,DCuit,DD,DE,meerh bas DA11, meerh sbo DB10, meerh sbo DB11, meerh sbo DC13, meerh sbo DCuit15"</formula1>
    </dataValidation>
    <dataValidation type="list" allowBlank="1" showInputMessage="1" showErrorMessage="1" sqref="H57:H58 H30:H37">
      <formula1>"LA,LB,LC,LD,LE"</formula1>
    </dataValidation>
  </dataValidations>
  <pageMargins left="0.74803149606299213" right="0.74803149606299213" top="0.98425196850393704" bottom="0.98425196850393704" header="0.51181102362204722" footer="0.51181102362204722"/>
  <pageSetup paperSize="9" scale="50" orientation="portrait" r:id="rId1"/>
  <headerFooter alignWithMargins="0">
    <oddHeader>&amp;L&amp;"Arial,Vet"&amp;F&amp;R&amp;"Arial,Vet"&amp;A</oddHeader>
    <oddFooter>&amp;L&amp;"Arial,Vet"PO-Raad&amp;C&amp;"Arial,Vet"&amp;D&amp;R&amp;"Arial,Vet"pagina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9"/>
  <dimension ref="B1:AN474"/>
  <sheetViews>
    <sheetView showGridLines="0" zoomScale="80" zoomScaleNormal="80" workbookViewId="0">
      <pane ySplit="7" topLeftCell="A8" activePane="bottomLeft" state="frozen"/>
      <selection activeCell="B2" sqref="B2"/>
      <selection pane="bottomLeft" activeCell="B2" sqref="B2"/>
    </sheetView>
  </sheetViews>
  <sheetFormatPr defaultColWidth="9.140625" defaultRowHeight="12.75" x14ac:dyDescent="0.2"/>
  <cols>
    <col min="1" max="1" width="3.7109375" style="48" customWidth="1"/>
    <col min="2" max="3" width="2.7109375" style="48" customWidth="1"/>
    <col min="4" max="4" width="8.7109375" style="209" customWidth="1"/>
    <col min="5" max="5" width="20.7109375" style="209" customWidth="1"/>
    <col min="6" max="6" width="8.85546875" style="127" customWidth="1"/>
    <col min="7" max="7" width="8.85546875" style="210" customWidth="1"/>
    <col min="8" max="9" width="8.85546875" style="211" customWidth="1"/>
    <col min="10" max="10" width="8.85546875" style="212" customWidth="1"/>
    <col min="11" max="11" width="0.85546875" style="639" customWidth="1"/>
    <col min="12" max="15" width="10.7109375" style="368" customWidth="1"/>
    <col min="16" max="16" width="10.7109375" style="946" customWidth="1"/>
    <col min="17" max="17" width="0.85546875" style="48" customWidth="1"/>
    <col min="18" max="18" width="10.85546875" style="329" customWidth="1"/>
    <col min="19" max="19" width="10.85546875" style="48" customWidth="1"/>
    <col min="20" max="20" width="10.85546875" style="328" customWidth="1"/>
    <col min="21" max="21" width="3" style="48" customWidth="1"/>
    <col min="22" max="22" width="2.7109375" style="48" customWidth="1"/>
    <col min="23" max="23" width="13" style="48" customWidth="1"/>
    <col min="24" max="24" width="15.28515625" style="48" customWidth="1"/>
    <col min="25" max="25" width="9.7109375" style="880" customWidth="1"/>
    <col min="26" max="26" width="10.7109375" style="892" customWidth="1"/>
    <col min="27" max="29" width="10.85546875" style="882" customWidth="1"/>
    <col min="30" max="31" width="8.7109375" style="911" customWidth="1"/>
    <col min="32" max="32" width="8.7109375" style="884" customWidth="1"/>
    <col min="33" max="33" width="8.7109375" style="919" customWidth="1"/>
    <col min="34" max="34" width="8.7109375" style="936" customWidth="1"/>
    <col min="35" max="38" width="8.7109375" style="884" customWidth="1"/>
    <col min="39" max="39" width="8.7109375" style="911" customWidth="1"/>
    <col min="40" max="40" width="8.7109375" style="48" customWidth="1"/>
    <col min="41" max="72" width="8.85546875" style="48" customWidth="1"/>
    <col min="73" max="16384" width="9.140625" style="48"/>
  </cols>
  <sheetData>
    <row r="1" spans="2:40" ht="12.75" customHeight="1" x14ac:dyDescent="0.2"/>
    <row r="2" spans="2:40" x14ac:dyDescent="0.2">
      <c r="B2" s="43"/>
      <c r="C2" s="44"/>
      <c r="D2" s="218"/>
      <c r="E2" s="218"/>
      <c r="F2" s="128"/>
      <c r="G2" s="219"/>
      <c r="H2" s="220"/>
      <c r="I2" s="220"/>
      <c r="J2" s="221"/>
      <c r="K2" s="963"/>
      <c r="L2" s="856"/>
      <c r="M2" s="856"/>
      <c r="N2" s="856"/>
      <c r="O2" s="856"/>
      <c r="P2" s="947"/>
      <c r="Q2" s="44"/>
      <c r="R2" s="330"/>
      <c r="S2" s="44"/>
      <c r="T2" s="622"/>
      <c r="U2" s="44"/>
      <c r="V2" s="47"/>
    </row>
    <row r="3" spans="2:40" x14ac:dyDescent="0.2">
      <c r="B3" s="49"/>
      <c r="C3" s="50"/>
      <c r="D3" s="176"/>
      <c r="E3" s="176"/>
      <c r="F3" s="129"/>
      <c r="G3" s="224"/>
      <c r="H3" s="225"/>
      <c r="I3" s="225"/>
      <c r="J3" s="226"/>
      <c r="K3" s="964"/>
      <c r="L3" s="463"/>
      <c r="M3" s="463"/>
      <c r="N3" s="463"/>
      <c r="O3" s="463"/>
      <c r="P3" s="110"/>
      <c r="Q3" s="50"/>
      <c r="R3" s="331"/>
      <c r="S3" s="50"/>
      <c r="T3" s="308"/>
      <c r="U3" s="50"/>
      <c r="V3" s="53"/>
      <c r="X3" s="646"/>
      <c r="AD3" s="925"/>
      <c r="AE3" s="925"/>
    </row>
    <row r="4" spans="2:40" s="332" customFormat="1" ht="18.75" x14ac:dyDescent="0.3">
      <c r="B4" s="333"/>
      <c r="C4" s="674" t="s">
        <v>297</v>
      </c>
      <c r="D4" s="334"/>
      <c r="E4" s="334"/>
      <c r="F4" s="335"/>
      <c r="G4" s="336"/>
      <c r="H4" s="337"/>
      <c r="I4" s="337"/>
      <c r="J4" s="338"/>
      <c r="K4" s="965"/>
      <c r="L4" s="857"/>
      <c r="M4" s="857"/>
      <c r="N4" s="857"/>
      <c r="O4" s="857"/>
      <c r="P4" s="948"/>
      <c r="Q4" s="334"/>
      <c r="R4" s="339"/>
      <c r="S4" s="334"/>
      <c r="T4" s="630"/>
      <c r="U4" s="334"/>
      <c r="V4" s="340"/>
      <c r="Y4" s="910"/>
      <c r="Z4" s="886"/>
      <c r="AA4" s="890"/>
      <c r="AB4" s="890"/>
      <c r="AC4" s="890"/>
      <c r="AD4" s="921"/>
      <c r="AE4" s="921"/>
      <c r="AF4" s="920"/>
      <c r="AG4" s="922"/>
      <c r="AH4" s="939"/>
      <c r="AI4" s="920"/>
      <c r="AJ4" s="920"/>
      <c r="AK4" s="920"/>
      <c r="AL4" s="920"/>
      <c r="AM4" s="921"/>
    </row>
    <row r="5" spans="2:40" s="244" customFormat="1" ht="18.75" x14ac:dyDescent="0.3">
      <c r="B5" s="245"/>
      <c r="C5" s="246" t="str">
        <f>geg!G12</f>
        <v>voorbeeld Basisschool</v>
      </c>
      <c r="D5" s="253"/>
      <c r="E5" s="253"/>
      <c r="F5" s="249"/>
      <c r="G5" s="250"/>
      <c r="H5" s="251"/>
      <c r="I5" s="251"/>
      <c r="J5" s="252"/>
      <c r="K5" s="966">
        <v>170</v>
      </c>
      <c r="L5" s="251"/>
      <c r="M5" s="251"/>
      <c r="N5" s="251"/>
      <c r="O5" s="251"/>
      <c r="P5" s="949"/>
      <c r="Q5" s="251"/>
      <c r="R5" s="339"/>
      <c r="S5" s="253"/>
      <c r="T5" s="624"/>
      <c r="U5" s="253"/>
      <c r="V5" s="254"/>
      <c r="W5" s="959"/>
      <c r="X5" s="955"/>
      <c r="Y5" s="915"/>
      <c r="Z5" s="886"/>
      <c r="AA5" s="956"/>
      <c r="AB5" s="956"/>
      <c r="AC5" s="956"/>
      <c r="AD5" s="957"/>
      <c r="AE5" s="957"/>
      <c r="AF5" s="902"/>
      <c r="AG5" s="922"/>
      <c r="AH5" s="939"/>
      <c r="AI5" s="920"/>
      <c r="AJ5" s="920"/>
      <c r="AK5" s="920"/>
      <c r="AL5" s="920"/>
      <c r="AM5" s="921"/>
    </row>
    <row r="6" spans="2:40" ht="12.75" customHeight="1" x14ac:dyDescent="0.3">
      <c r="B6" s="49"/>
      <c r="C6" s="50"/>
      <c r="D6" s="50"/>
      <c r="E6" s="50"/>
      <c r="F6" s="129"/>
      <c r="G6" s="224"/>
      <c r="H6" s="225"/>
      <c r="I6" s="225"/>
      <c r="J6" s="226"/>
      <c r="K6" s="964"/>
      <c r="L6" s="251"/>
      <c r="M6" s="251"/>
      <c r="N6" s="251"/>
      <c r="O6" s="251"/>
      <c r="P6" s="949"/>
      <c r="Q6" s="251"/>
      <c r="R6" s="331"/>
      <c r="S6" s="50"/>
      <c r="T6" s="308"/>
      <c r="U6" s="50"/>
      <c r="V6" s="53"/>
      <c r="W6" s="646"/>
      <c r="X6" s="646"/>
      <c r="Y6" s="957"/>
      <c r="AA6" s="956"/>
      <c r="AB6" s="956"/>
      <c r="AC6" s="956"/>
      <c r="AD6" s="957"/>
      <c r="AE6" s="957"/>
    </row>
    <row r="7" spans="2:40" ht="12.75" customHeight="1" x14ac:dyDescent="0.3">
      <c r="B7" s="49"/>
      <c r="C7" s="50"/>
      <c r="D7" s="50"/>
      <c r="E7" s="50"/>
      <c r="F7" s="129"/>
      <c r="G7" s="224"/>
      <c r="H7" s="225"/>
      <c r="I7" s="225"/>
      <c r="J7" s="226"/>
      <c r="K7" s="964"/>
      <c r="L7" s="251"/>
      <c r="M7" s="251"/>
      <c r="N7" s="251"/>
      <c r="O7" s="251"/>
      <c r="P7" s="949"/>
      <c r="Q7" s="251"/>
      <c r="R7" s="331"/>
      <c r="S7" s="50"/>
      <c r="T7" s="308"/>
      <c r="U7" s="50"/>
      <c r="V7" s="53"/>
      <c r="W7" s="958"/>
      <c r="X7" s="646"/>
      <c r="Y7" s="957"/>
      <c r="AA7" s="956"/>
      <c r="AB7" s="956"/>
      <c r="AC7" s="956"/>
      <c r="AD7" s="957"/>
      <c r="AE7" s="957"/>
    </row>
    <row r="8" spans="2:40" ht="12.75" customHeight="1" x14ac:dyDescent="0.2">
      <c r="B8" s="49"/>
      <c r="C8" s="50" t="s">
        <v>165</v>
      </c>
      <c r="D8" s="176"/>
      <c r="E8" s="270" t="str">
        <f>dir!E10</f>
        <v>2019/20</v>
      </c>
      <c r="F8" s="129"/>
      <c r="G8" s="224"/>
      <c r="H8" s="129"/>
      <c r="I8" s="225"/>
      <c r="J8" s="351"/>
      <c r="K8" s="964"/>
      <c r="L8" s="860"/>
      <c r="M8" s="860"/>
      <c r="N8" s="860"/>
      <c r="O8" s="860"/>
      <c r="P8" s="954"/>
      <c r="Q8" s="50"/>
      <c r="R8" s="353"/>
      <c r="S8" s="352"/>
      <c r="T8" s="629"/>
      <c r="U8" s="50"/>
      <c r="V8" s="53"/>
      <c r="Y8" s="908"/>
      <c r="Z8" s="918"/>
      <c r="AA8" s="905"/>
      <c r="AB8" s="905"/>
      <c r="AC8" s="905"/>
      <c r="AD8" s="929"/>
      <c r="AE8" s="929"/>
      <c r="AF8" s="904"/>
      <c r="AG8" s="925"/>
      <c r="AH8" s="940"/>
      <c r="AI8" s="924"/>
      <c r="AM8" s="925"/>
    </row>
    <row r="9" spans="2:40" ht="12.75" customHeight="1" x14ac:dyDescent="0.2">
      <c r="B9" s="49"/>
      <c r="C9" s="50" t="s">
        <v>187</v>
      </c>
      <c r="D9" s="176"/>
      <c r="E9" s="270">
        <f>dir!E11</f>
        <v>43739</v>
      </c>
      <c r="F9" s="129"/>
      <c r="G9" s="224"/>
      <c r="H9" s="129"/>
      <c r="I9" s="225"/>
      <c r="J9" s="351"/>
      <c r="K9" s="964"/>
      <c r="L9" s="860"/>
      <c r="M9" s="860"/>
      <c r="N9" s="860"/>
      <c r="O9" s="860"/>
      <c r="P9" s="954"/>
      <c r="Q9" s="50"/>
      <c r="R9" s="353"/>
      <c r="S9" s="352"/>
      <c r="T9" s="629"/>
      <c r="U9" s="50"/>
      <c r="V9" s="53"/>
      <c r="Y9" s="908"/>
      <c r="Z9" s="918"/>
      <c r="AA9" s="905"/>
      <c r="AB9" s="905"/>
      <c r="AC9" s="905"/>
      <c r="AD9" s="929"/>
      <c r="AE9" s="929"/>
      <c r="AF9" s="904"/>
      <c r="AG9" s="925"/>
      <c r="AH9" s="940"/>
      <c r="AI9" s="924"/>
      <c r="AM9" s="925"/>
    </row>
    <row r="10" spans="2:40" ht="12.75" customHeight="1" x14ac:dyDescent="0.2">
      <c r="B10" s="49"/>
      <c r="C10" s="50"/>
      <c r="D10" s="176"/>
      <c r="E10" s="176"/>
      <c r="F10" s="129"/>
      <c r="G10" s="224"/>
      <c r="H10" s="129"/>
      <c r="I10" s="225"/>
      <c r="J10" s="351"/>
      <c r="K10" s="964"/>
      <c r="L10" s="860"/>
      <c r="M10" s="860"/>
      <c r="N10" s="860"/>
      <c r="O10" s="860"/>
      <c r="P10" s="954"/>
      <c r="Q10" s="50"/>
      <c r="R10" s="353"/>
      <c r="S10" s="352"/>
      <c r="T10" s="629"/>
      <c r="U10" s="50"/>
      <c r="V10" s="53"/>
      <c r="Y10" s="908"/>
      <c r="Z10" s="918"/>
      <c r="AA10" s="905"/>
      <c r="AB10" s="905"/>
      <c r="AC10" s="905"/>
      <c r="AD10" s="929"/>
      <c r="AE10" s="929"/>
      <c r="AF10" s="904"/>
      <c r="AG10" s="925"/>
      <c r="AH10" s="940"/>
      <c r="AI10" s="924"/>
      <c r="AM10" s="925"/>
    </row>
    <row r="11" spans="2:40" ht="12.75" customHeight="1" x14ac:dyDescent="0.2">
      <c r="B11" s="49"/>
      <c r="C11" s="341"/>
      <c r="D11" s="724"/>
      <c r="E11" s="723"/>
      <c r="F11" s="704"/>
      <c r="G11" s="725"/>
      <c r="H11" s="726"/>
      <c r="I11" s="726"/>
      <c r="J11" s="727"/>
      <c r="K11" s="967"/>
      <c r="L11" s="816"/>
      <c r="M11" s="816"/>
      <c r="N11" s="816"/>
      <c r="O11" s="816"/>
      <c r="P11" s="950"/>
      <c r="Q11" s="728"/>
      <c r="R11" s="728"/>
      <c r="S11" s="728"/>
      <c r="T11" s="729"/>
      <c r="U11" s="710"/>
      <c r="V11" s="53"/>
    </row>
    <row r="12" spans="2:40" s="81" customFormat="1" ht="12.75" customHeight="1" x14ac:dyDescent="0.2">
      <c r="B12" s="79"/>
      <c r="C12" s="135"/>
      <c r="D12" s="864" t="s">
        <v>298</v>
      </c>
      <c r="E12" s="865"/>
      <c r="F12" s="865"/>
      <c r="G12" s="865"/>
      <c r="H12" s="866"/>
      <c r="I12" s="866"/>
      <c r="J12" s="866"/>
      <c r="K12" s="968"/>
      <c r="L12" s="864" t="s">
        <v>492</v>
      </c>
      <c r="M12" s="858"/>
      <c r="N12" s="864"/>
      <c r="O12" s="864"/>
      <c r="P12" s="951"/>
      <c r="Q12" s="730"/>
      <c r="R12" s="864" t="s">
        <v>494</v>
      </c>
      <c r="S12" s="866"/>
      <c r="T12" s="935"/>
      <c r="U12" s="746"/>
      <c r="V12" s="278"/>
      <c r="W12" s="279"/>
      <c r="X12" s="279"/>
      <c r="Y12" s="882"/>
      <c r="Z12" s="913"/>
      <c r="AA12" s="882"/>
      <c r="AB12" s="882"/>
      <c r="AC12" s="882"/>
      <c r="AD12" s="912"/>
      <c r="AE12" s="912"/>
      <c r="AF12" s="913"/>
      <c r="AG12" s="933"/>
      <c r="AH12" s="941"/>
      <c r="AI12" s="923"/>
      <c r="AJ12" s="923"/>
      <c r="AK12" s="923"/>
      <c r="AL12" s="923"/>
      <c r="AM12" s="923"/>
      <c r="AN12" s="279"/>
    </row>
    <row r="13" spans="2:40" s="81" customFormat="1" ht="12.75" customHeight="1" x14ac:dyDescent="0.2">
      <c r="B13" s="79"/>
      <c r="C13" s="135"/>
      <c r="D13" s="693" t="s">
        <v>480</v>
      </c>
      <c r="E13" s="693" t="s">
        <v>171</v>
      </c>
      <c r="F13" s="732" t="s">
        <v>119</v>
      </c>
      <c r="G13" s="733" t="s">
        <v>289</v>
      </c>
      <c r="H13" s="732" t="s">
        <v>201</v>
      </c>
      <c r="I13" s="732" t="s">
        <v>229</v>
      </c>
      <c r="J13" s="734" t="s">
        <v>122</v>
      </c>
      <c r="K13" s="969"/>
      <c r="L13" s="735" t="s">
        <v>475</v>
      </c>
      <c r="M13" s="735" t="s">
        <v>468</v>
      </c>
      <c r="N13" s="735" t="s">
        <v>482</v>
      </c>
      <c r="O13" s="735" t="s">
        <v>475</v>
      </c>
      <c r="P13" s="952" t="s">
        <v>487</v>
      </c>
      <c r="Q13" s="702"/>
      <c r="R13" s="863" t="s">
        <v>186</v>
      </c>
      <c r="S13" s="737" t="s">
        <v>493</v>
      </c>
      <c r="T13" s="738" t="s">
        <v>186</v>
      </c>
      <c r="U13" s="747"/>
      <c r="V13" s="281"/>
      <c r="W13" s="282"/>
      <c r="X13" s="282"/>
      <c r="Y13" s="914" t="s">
        <v>322</v>
      </c>
      <c r="Z13" s="960" t="s">
        <v>479</v>
      </c>
      <c r="AA13" s="903" t="s">
        <v>488</v>
      </c>
      <c r="AB13" s="903" t="s">
        <v>488</v>
      </c>
      <c r="AC13" s="903" t="s">
        <v>491</v>
      </c>
      <c r="AD13" s="915" t="s">
        <v>473</v>
      </c>
      <c r="AE13" s="915" t="s">
        <v>474</v>
      </c>
      <c r="AF13" s="902" t="s">
        <v>470</v>
      </c>
      <c r="AG13" s="934" t="s">
        <v>306</v>
      </c>
      <c r="AH13" s="941" t="s">
        <v>415</v>
      </c>
      <c r="AI13" s="902" t="s">
        <v>292</v>
      </c>
      <c r="AJ13" s="902" t="s">
        <v>293</v>
      </c>
      <c r="AK13" s="902" t="s">
        <v>121</v>
      </c>
      <c r="AL13" s="902" t="s">
        <v>198</v>
      </c>
      <c r="AM13" s="915" t="s">
        <v>173</v>
      </c>
      <c r="AN13" s="282"/>
    </row>
    <row r="14" spans="2:40" s="81" customFormat="1" ht="12.75" customHeight="1" x14ac:dyDescent="0.2">
      <c r="B14" s="79"/>
      <c r="C14" s="135"/>
      <c r="D14" s="865"/>
      <c r="E14" s="693"/>
      <c r="F14" s="732" t="s">
        <v>120</v>
      </c>
      <c r="G14" s="733" t="s">
        <v>290</v>
      </c>
      <c r="H14" s="732"/>
      <c r="I14" s="732"/>
      <c r="J14" s="734"/>
      <c r="K14" s="969"/>
      <c r="L14" s="735" t="s">
        <v>476</v>
      </c>
      <c r="M14" s="735" t="s">
        <v>478</v>
      </c>
      <c r="N14" s="735" t="s">
        <v>483</v>
      </c>
      <c r="O14" s="735" t="s">
        <v>477</v>
      </c>
      <c r="P14" s="952" t="s">
        <v>284</v>
      </c>
      <c r="Q14" s="702"/>
      <c r="R14" s="706" t="s">
        <v>485</v>
      </c>
      <c r="S14" s="737" t="s">
        <v>469</v>
      </c>
      <c r="T14" s="738" t="s">
        <v>284</v>
      </c>
      <c r="U14" s="710"/>
      <c r="V14" s="58"/>
      <c r="Y14" s="914" t="s">
        <v>193</v>
      </c>
      <c r="Z14" s="961">
        <f>tab!$D$62</f>
        <v>0.6</v>
      </c>
      <c r="AA14" s="903" t="s">
        <v>489</v>
      </c>
      <c r="AB14" s="903" t="s">
        <v>490</v>
      </c>
      <c r="AC14" s="903" t="s">
        <v>486</v>
      </c>
      <c r="AD14" s="915" t="s">
        <v>472</v>
      </c>
      <c r="AE14" s="915" t="s">
        <v>472</v>
      </c>
      <c r="AF14" s="902" t="s">
        <v>471</v>
      </c>
      <c r="AG14" s="934"/>
      <c r="AH14" s="940" t="s">
        <v>228</v>
      </c>
      <c r="AI14" s="915" t="s">
        <v>291</v>
      </c>
      <c r="AJ14" s="915" t="s">
        <v>291</v>
      </c>
      <c r="AK14" s="902"/>
      <c r="AL14" s="902" t="s">
        <v>173</v>
      </c>
      <c r="AM14" s="915"/>
      <c r="AN14" s="343"/>
    </row>
    <row r="15" spans="2:40" ht="12.75" customHeight="1" x14ac:dyDescent="0.2">
      <c r="B15" s="49"/>
      <c r="C15" s="69"/>
      <c r="D15" s="745"/>
      <c r="E15" s="745"/>
      <c r="F15" s="703"/>
      <c r="G15" s="748"/>
      <c r="H15" s="732"/>
      <c r="I15" s="732"/>
      <c r="J15" s="734"/>
      <c r="K15" s="970"/>
      <c r="L15" s="735"/>
      <c r="M15" s="735"/>
      <c r="N15" s="735"/>
      <c r="O15" s="735"/>
      <c r="P15" s="952"/>
      <c r="Q15" s="745"/>
      <c r="R15" s="749"/>
      <c r="S15" s="749"/>
      <c r="T15" s="750"/>
      <c r="U15" s="710"/>
      <c r="V15" s="53"/>
      <c r="Y15" s="914"/>
      <c r="Z15" s="901"/>
      <c r="AA15" s="901"/>
      <c r="AB15" s="901"/>
      <c r="AC15" s="901"/>
      <c r="AD15" s="915"/>
      <c r="AE15" s="915"/>
      <c r="AF15" s="901"/>
      <c r="AG15" s="934"/>
      <c r="AH15" s="940"/>
      <c r="AM15" s="915"/>
      <c r="AN15" s="288"/>
    </row>
    <row r="16" spans="2:40" ht="12.75" customHeight="1" x14ac:dyDescent="0.2">
      <c r="B16" s="49"/>
      <c r="C16" s="69"/>
      <c r="D16" s="75"/>
      <c r="E16" s="1012" t="s">
        <v>386</v>
      </c>
      <c r="F16" s="1013">
        <v>25</v>
      </c>
      <c r="G16" s="1014">
        <v>27395</v>
      </c>
      <c r="H16" s="1013" t="s">
        <v>550</v>
      </c>
      <c r="I16" s="1015">
        <v>15</v>
      </c>
      <c r="J16" s="1016">
        <v>0.1</v>
      </c>
      <c r="K16" s="971"/>
      <c r="L16" s="859"/>
      <c r="M16" s="859"/>
      <c r="N16" s="867">
        <f>IF(J16="","",IF((J16*40)&gt;40,40,((J16*40))))</f>
        <v>4</v>
      </c>
      <c r="O16" s="867">
        <f>IF(J16="","",IF(I16&lt;4,(40*J16),0))</f>
        <v>0</v>
      </c>
      <c r="P16" s="953">
        <f t="shared" ref="P16:P70" si="0">IF(J16="","",(SUM(L16:O16)))</f>
        <v>4</v>
      </c>
      <c r="Q16" s="70"/>
      <c r="R16" s="739">
        <f>IF(J16="","",(((1659*J16)-P16)*AB16))</f>
        <v>7326.1945750452078</v>
      </c>
      <c r="S16" s="739">
        <f t="shared" ref="S16:S70" si="1">IF(J16="","",(P16*AC16)+(AA16*AD16)+((AE16*AA16*(1-AF16))))</f>
        <v>181.00542495479203</v>
      </c>
      <c r="T16" s="740">
        <f t="shared" ref="T16:T70" si="2">IF(J16="","",(R16+S16))</f>
        <v>7507.2</v>
      </c>
      <c r="U16" s="275"/>
      <c r="V16" s="293"/>
      <c r="W16" s="288"/>
      <c r="X16" s="288"/>
      <c r="Y16" s="908">
        <f t="shared" ref="Y16:Y47" si="3">IF(H16="",0,5/12*VLOOKUP(H16,salaris2019,I16+1,FALSE)+7/12*VLOOKUP(H16,salaris2020,I16+1,FALSE))</f>
        <v>3910</v>
      </c>
      <c r="Z16" s="986">
        <f>tab!$D$62</f>
        <v>0.6</v>
      </c>
      <c r="AA16" s="944">
        <f t="shared" ref="AA16:AA71" si="4">(Y16*12/1659)</f>
        <v>28.282097649186255</v>
      </c>
      <c r="AB16" s="944">
        <f t="shared" ref="AB16:AB70" si="5">(Y16*12*(1+Z16))/1659</f>
        <v>45.251356238698008</v>
      </c>
      <c r="AC16" s="944">
        <f t="shared" ref="AC16:AC71" si="6">AB16-AA16</f>
        <v>16.969258589511753</v>
      </c>
      <c r="AD16" s="943">
        <f t="shared" ref="AD16:AD70" si="7">(N16+O16)</f>
        <v>4</v>
      </c>
      <c r="AE16" s="943">
        <f t="shared" ref="AE16:AE70" si="8">(L16+M16)</f>
        <v>0</v>
      </c>
      <c r="AF16" s="916">
        <f>IF(H16&gt;8,tab!$D$63,tab!$D$65)</f>
        <v>0.5</v>
      </c>
      <c r="AG16" s="925">
        <f t="shared" ref="AG16:AG47" si="9">IF(F16&lt;25,0,IF(F16=25,25,IF(F16&lt;40,0,IF(F16=40,40,IF(F16&gt;=40,0)))))</f>
        <v>25</v>
      </c>
      <c r="AH16" s="940">
        <f t="shared" ref="AH16:AH47" si="10">IF(AG16=25,(Y16*1.08*(J16)/2),IF(AG16=40,(Y16*1.08*(J16)),IF(AG16=0,0)))</f>
        <v>211.14000000000001</v>
      </c>
      <c r="AI16" s="924" t="b">
        <f>DATE(YEAR(tab!$E$3),MONTH(G16),DAY(G16))&gt;tab!$E$3</f>
        <v>0</v>
      </c>
      <c r="AJ16" s="925">
        <f t="shared" ref="AJ16:AJ47" si="11">YEAR($E$9)-YEAR(G16)-AI16</f>
        <v>44</v>
      </c>
      <c r="AK16" s="884">
        <f t="shared" ref="AK16:AK47" si="12">IF((G16=""),30,AJ16)</f>
        <v>44</v>
      </c>
      <c r="AL16" s="884">
        <f t="shared" ref="AL16:AL70" si="13">IF((AK16)&gt;50,50,(AK16))</f>
        <v>44</v>
      </c>
      <c r="AM16" s="925">
        <f>ROUND(AL16*J16,2)</f>
        <v>4.4000000000000004</v>
      </c>
    </row>
    <row r="17" spans="2:39" ht="12.75" customHeight="1" x14ac:dyDescent="0.2">
      <c r="B17" s="49"/>
      <c r="C17" s="69"/>
      <c r="D17" s="75"/>
      <c r="E17" s="75"/>
      <c r="F17" s="88"/>
      <c r="G17" s="290"/>
      <c r="H17" s="88"/>
      <c r="I17" s="99"/>
      <c r="J17" s="291"/>
      <c r="K17" s="971"/>
      <c r="L17" s="859"/>
      <c r="M17" s="859"/>
      <c r="N17" s="867" t="str">
        <f t="shared" ref="N17:N70" si="14">IF(J17="","",IF((J17*40)&gt;40,40,((J17*40))))</f>
        <v/>
      </c>
      <c r="O17" s="867" t="str">
        <f t="shared" ref="O17:O70" si="15">IF(J17="","",IF(I17&lt;4,(40*J17),0))</f>
        <v/>
      </c>
      <c r="P17" s="953" t="str">
        <f t="shared" si="0"/>
        <v/>
      </c>
      <c r="Q17" s="70"/>
      <c r="R17" s="739" t="str">
        <f t="shared" ref="R17:R70" si="16">IF(J17="","",(((1659*J17)-P17)*AB17))</f>
        <v/>
      </c>
      <c r="S17" s="739" t="str">
        <f t="shared" si="1"/>
        <v/>
      </c>
      <c r="T17" s="740" t="str">
        <f t="shared" si="2"/>
        <v/>
      </c>
      <c r="U17" s="275"/>
      <c r="V17" s="293"/>
      <c r="W17" s="288"/>
      <c r="X17" s="288"/>
      <c r="Y17" s="908">
        <f t="shared" si="3"/>
        <v>0</v>
      </c>
      <c r="Z17" s="986">
        <f>tab!$D$62</f>
        <v>0.6</v>
      </c>
      <c r="AA17" s="944">
        <f t="shared" si="4"/>
        <v>0</v>
      </c>
      <c r="AB17" s="944">
        <f t="shared" si="5"/>
        <v>0</v>
      </c>
      <c r="AC17" s="944">
        <f t="shared" si="6"/>
        <v>0</v>
      </c>
      <c r="AD17" s="943" t="e">
        <f t="shared" si="7"/>
        <v>#VALUE!</v>
      </c>
      <c r="AE17" s="943">
        <f t="shared" si="8"/>
        <v>0</v>
      </c>
      <c r="AF17" s="916">
        <f>IF(H17&gt;8,tab!$D$63,tab!$D$65)</f>
        <v>0.4</v>
      </c>
      <c r="AG17" s="925">
        <f t="shared" si="9"/>
        <v>0</v>
      </c>
      <c r="AH17" s="940">
        <f t="shared" si="10"/>
        <v>0</v>
      </c>
      <c r="AI17" s="924" t="b">
        <f>DATE(YEAR(tab!$E$3),MONTH(G17),DAY(G17))&gt;tab!$E$3</f>
        <v>0</v>
      </c>
      <c r="AJ17" s="925">
        <f t="shared" si="11"/>
        <v>119</v>
      </c>
      <c r="AK17" s="884">
        <f t="shared" si="12"/>
        <v>30</v>
      </c>
      <c r="AL17" s="884">
        <f t="shared" si="13"/>
        <v>30</v>
      </c>
      <c r="AM17" s="925">
        <f t="shared" ref="AM17:AM70" si="17">ROUND(AL17*J17,2)</f>
        <v>0</v>
      </c>
    </row>
    <row r="18" spans="2:39" ht="12.75" customHeight="1" x14ac:dyDescent="0.2">
      <c r="B18" s="49"/>
      <c r="C18" s="69"/>
      <c r="D18" s="75"/>
      <c r="E18" s="75"/>
      <c r="F18" s="88"/>
      <c r="G18" s="290"/>
      <c r="H18" s="88"/>
      <c r="I18" s="99"/>
      <c r="J18" s="291"/>
      <c r="K18" s="971"/>
      <c r="L18" s="859"/>
      <c r="M18" s="859"/>
      <c r="N18" s="867" t="str">
        <f t="shared" si="14"/>
        <v/>
      </c>
      <c r="O18" s="867" t="str">
        <f t="shared" si="15"/>
        <v/>
      </c>
      <c r="P18" s="953" t="str">
        <f t="shared" si="0"/>
        <v/>
      </c>
      <c r="Q18" s="70"/>
      <c r="R18" s="739" t="str">
        <f t="shared" si="16"/>
        <v/>
      </c>
      <c r="S18" s="739" t="str">
        <f t="shared" si="1"/>
        <v/>
      </c>
      <c r="T18" s="740" t="str">
        <f t="shared" si="2"/>
        <v/>
      </c>
      <c r="U18" s="275"/>
      <c r="V18" s="293"/>
      <c r="W18" s="288"/>
      <c r="X18" s="288"/>
      <c r="Y18" s="908">
        <f t="shared" si="3"/>
        <v>0</v>
      </c>
      <c r="Z18" s="986">
        <f>tab!$D$62</f>
        <v>0.6</v>
      </c>
      <c r="AA18" s="944">
        <f t="shared" si="4"/>
        <v>0</v>
      </c>
      <c r="AB18" s="944">
        <f t="shared" si="5"/>
        <v>0</v>
      </c>
      <c r="AC18" s="944">
        <f t="shared" si="6"/>
        <v>0</v>
      </c>
      <c r="AD18" s="943" t="e">
        <f t="shared" si="7"/>
        <v>#VALUE!</v>
      </c>
      <c r="AE18" s="943">
        <f t="shared" si="8"/>
        <v>0</v>
      </c>
      <c r="AF18" s="916">
        <f>IF(H18&gt;8,tab!$D$63,tab!$D$65)</f>
        <v>0.4</v>
      </c>
      <c r="AG18" s="925">
        <f t="shared" si="9"/>
        <v>0</v>
      </c>
      <c r="AH18" s="940">
        <f t="shared" si="10"/>
        <v>0</v>
      </c>
      <c r="AI18" s="924" t="b">
        <f>DATE(YEAR(tab!$E$3),MONTH(G18),DAY(G18))&gt;tab!$E$3</f>
        <v>0</v>
      </c>
      <c r="AJ18" s="925">
        <f t="shared" si="11"/>
        <v>119</v>
      </c>
      <c r="AK18" s="884">
        <f t="shared" si="12"/>
        <v>30</v>
      </c>
      <c r="AL18" s="884">
        <f t="shared" si="13"/>
        <v>30</v>
      </c>
      <c r="AM18" s="925">
        <f t="shared" si="17"/>
        <v>0</v>
      </c>
    </row>
    <row r="19" spans="2:39" ht="12.75" customHeight="1" x14ac:dyDescent="0.2">
      <c r="B19" s="49"/>
      <c r="C19" s="69"/>
      <c r="D19" s="75"/>
      <c r="E19" s="75"/>
      <c r="F19" s="88"/>
      <c r="G19" s="290"/>
      <c r="H19" s="88"/>
      <c r="I19" s="99"/>
      <c r="J19" s="291"/>
      <c r="K19" s="971"/>
      <c r="L19" s="859"/>
      <c r="M19" s="859"/>
      <c r="N19" s="867" t="str">
        <f t="shared" si="14"/>
        <v/>
      </c>
      <c r="O19" s="867" t="str">
        <f t="shared" si="15"/>
        <v/>
      </c>
      <c r="P19" s="953" t="str">
        <f t="shared" si="0"/>
        <v/>
      </c>
      <c r="Q19" s="70"/>
      <c r="R19" s="739" t="str">
        <f t="shared" si="16"/>
        <v/>
      </c>
      <c r="S19" s="739" t="str">
        <f t="shared" si="1"/>
        <v/>
      </c>
      <c r="T19" s="740" t="str">
        <f t="shared" si="2"/>
        <v/>
      </c>
      <c r="U19" s="275"/>
      <c r="V19" s="293"/>
      <c r="W19" s="288"/>
      <c r="X19" s="288"/>
      <c r="Y19" s="908">
        <f t="shared" si="3"/>
        <v>0</v>
      </c>
      <c r="Z19" s="986">
        <f>tab!$D$62</f>
        <v>0.6</v>
      </c>
      <c r="AA19" s="944">
        <f t="shared" si="4"/>
        <v>0</v>
      </c>
      <c r="AB19" s="944">
        <f t="shared" si="5"/>
        <v>0</v>
      </c>
      <c r="AC19" s="944">
        <f t="shared" si="6"/>
        <v>0</v>
      </c>
      <c r="AD19" s="943" t="e">
        <f t="shared" si="7"/>
        <v>#VALUE!</v>
      </c>
      <c r="AE19" s="943">
        <f t="shared" si="8"/>
        <v>0</v>
      </c>
      <c r="AF19" s="916">
        <f>IF(H19&gt;8,tab!$D$63,tab!$D$65)</f>
        <v>0.4</v>
      </c>
      <c r="AG19" s="925">
        <f t="shared" si="9"/>
        <v>0</v>
      </c>
      <c r="AH19" s="940">
        <f t="shared" si="10"/>
        <v>0</v>
      </c>
      <c r="AI19" s="924" t="b">
        <f>DATE(YEAR(tab!$E$3),MONTH(G19),DAY(G19))&gt;tab!$E$3</f>
        <v>0</v>
      </c>
      <c r="AJ19" s="925">
        <f t="shared" si="11"/>
        <v>119</v>
      </c>
      <c r="AK19" s="884">
        <f t="shared" si="12"/>
        <v>30</v>
      </c>
      <c r="AL19" s="884">
        <f t="shared" si="13"/>
        <v>30</v>
      </c>
      <c r="AM19" s="925">
        <f t="shared" si="17"/>
        <v>0</v>
      </c>
    </row>
    <row r="20" spans="2:39" ht="12.75" customHeight="1" x14ac:dyDescent="0.2">
      <c r="B20" s="49"/>
      <c r="C20" s="69"/>
      <c r="D20" s="75"/>
      <c r="E20" s="75"/>
      <c r="F20" s="88"/>
      <c r="G20" s="290"/>
      <c r="H20" s="88"/>
      <c r="I20" s="99"/>
      <c r="J20" s="291"/>
      <c r="K20" s="971"/>
      <c r="L20" s="859"/>
      <c r="M20" s="859"/>
      <c r="N20" s="867" t="str">
        <f t="shared" si="14"/>
        <v/>
      </c>
      <c r="O20" s="867" t="str">
        <f t="shared" si="15"/>
        <v/>
      </c>
      <c r="P20" s="953" t="str">
        <f t="shared" si="0"/>
        <v/>
      </c>
      <c r="Q20" s="70"/>
      <c r="R20" s="739" t="str">
        <f t="shared" si="16"/>
        <v/>
      </c>
      <c r="S20" s="739" t="str">
        <f t="shared" si="1"/>
        <v/>
      </c>
      <c r="T20" s="740" t="str">
        <f t="shared" si="2"/>
        <v/>
      </c>
      <c r="U20" s="275"/>
      <c r="V20" s="293"/>
      <c r="W20" s="288"/>
      <c r="X20" s="288"/>
      <c r="Y20" s="908">
        <f t="shared" si="3"/>
        <v>0</v>
      </c>
      <c r="Z20" s="986">
        <f>tab!$D$62</f>
        <v>0.6</v>
      </c>
      <c r="AA20" s="944">
        <f t="shared" si="4"/>
        <v>0</v>
      </c>
      <c r="AB20" s="944">
        <f t="shared" si="5"/>
        <v>0</v>
      </c>
      <c r="AC20" s="944">
        <f t="shared" si="6"/>
        <v>0</v>
      </c>
      <c r="AD20" s="943" t="e">
        <f t="shared" si="7"/>
        <v>#VALUE!</v>
      </c>
      <c r="AE20" s="943">
        <f t="shared" si="8"/>
        <v>0</v>
      </c>
      <c r="AF20" s="916">
        <f>IF(H20&gt;8,tab!$D$63,tab!$D$65)</f>
        <v>0.4</v>
      </c>
      <c r="AG20" s="925">
        <f t="shared" si="9"/>
        <v>0</v>
      </c>
      <c r="AH20" s="940">
        <f t="shared" si="10"/>
        <v>0</v>
      </c>
      <c r="AI20" s="924" t="b">
        <f>DATE(YEAR(tab!$E$3),MONTH(G20),DAY(G20))&gt;tab!$E$3</f>
        <v>0</v>
      </c>
      <c r="AJ20" s="925">
        <f t="shared" si="11"/>
        <v>119</v>
      </c>
      <c r="AK20" s="884">
        <f t="shared" si="12"/>
        <v>30</v>
      </c>
      <c r="AL20" s="884">
        <f t="shared" si="13"/>
        <v>30</v>
      </c>
      <c r="AM20" s="925">
        <f t="shared" si="17"/>
        <v>0</v>
      </c>
    </row>
    <row r="21" spans="2:39" ht="12.75" customHeight="1" x14ac:dyDescent="0.2">
      <c r="B21" s="49"/>
      <c r="C21" s="69"/>
      <c r="D21" s="75"/>
      <c r="E21" s="75"/>
      <c r="F21" s="88"/>
      <c r="G21" s="290"/>
      <c r="H21" s="88"/>
      <c r="I21" s="99"/>
      <c r="J21" s="291"/>
      <c r="K21" s="971"/>
      <c r="L21" s="859"/>
      <c r="M21" s="859"/>
      <c r="N21" s="867" t="str">
        <f t="shared" si="14"/>
        <v/>
      </c>
      <c r="O21" s="867" t="str">
        <f t="shared" si="15"/>
        <v/>
      </c>
      <c r="P21" s="953" t="str">
        <f t="shared" si="0"/>
        <v/>
      </c>
      <c r="Q21" s="70"/>
      <c r="R21" s="739" t="str">
        <f t="shared" si="16"/>
        <v/>
      </c>
      <c r="S21" s="739" t="str">
        <f t="shared" si="1"/>
        <v/>
      </c>
      <c r="T21" s="740" t="str">
        <f t="shared" si="2"/>
        <v/>
      </c>
      <c r="U21" s="275"/>
      <c r="V21" s="293"/>
      <c r="W21" s="288"/>
      <c r="X21" s="288"/>
      <c r="Y21" s="908">
        <f t="shared" si="3"/>
        <v>0</v>
      </c>
      <c r="Z21" s="986">
        <f>tab!$D$62</f>
        <v>0.6</v>
      </c>
      <c r="AA21" s="944">
        <f t="shared" si="4"/>
        <v>0</v>
      </c>
      <c r="AB21" s="944">
        <f t="shared" si="5"/>
        <v>0</v>
      </c>
      <c r="AC21" s="944">
        <f t="shared" si="6"/>
        <v>0</v>
      </c>
      <c r="AD21" s="943" t="e">
        <f t="shared" si="7"/>
        <v>#VALUE!</v>
      </c>
      <c r="AE21" s="943">
        <f t="shared" si="8"/>
        <v>0</v>
      </c>
      <c r="AF21" s="916">
        <f>IF(H21&gt;8,tab!$D$63,tab!$D$65)</f>
        <v>0.4</v>
      </c>
      <c r="AG21" s="925">
        <f t="shared" si="9"/>
        <v>0</v>
      </c>
      <c r="AH21" s="940">
        <f t="shared" si="10"/>
        <v>0</v>
      </c>
      <c r="AI21" s="924" t="b">
        <f>DATE(YEAR(tab!$E$3),MONTH(G21),DAY(G21))&gt;tab!$E$3</f>
        <v>0</v>
      </c>
      <c r="AJ21" s="925">
        <f t="shared" si="11"/>
        <v>119</v>
      </c>
      <c r="AK21" s="884">
        <f t="shared" si="12"/>
        <v>30</v>
      </c>
      <c r="AL21" s="884">
        <f t="shared" si="13"/>
        <v>30</v>
      </c>
      <c r="AM21" s="925">
        <f t="shared" si="17"/>
        <v>0</v>
      </c>
    </row>
    <row r="22" spans="2:39" ht="12.75" customHeight="1" x14ac:dyDescent="0.2">
      <c r="B22" s="49"/>
      <c r="C22" s="69"/>
      <c r="D22" s="75"/>
      <c r="E22" s="75"/>
      <c r="F22" s="88"/>
      <c r="G22" s="290"/>
      <c r="H22" s="88"/>
      <c r="I22" s="99"/>
      <c r="J22" s="291"/>
      <c r="K22" s="971"/>
      <c r="L22" s="859"/>
      <c r="M22" s="859"/>
      <c r="N22" s="867" t="str">
        <f t="shared" si="14"/>
        <v/>
      </c>
      <c r="O22" s="867" t="str">
        <f t="shared" si="15"/>
        <v/>
      </c>
      <c r="P22" s="953" t="str">
        <f t="shared" si="0"/>
        <v/>
      </c>
      <c r="Q22" s="70"/>
      <c r="R22" s="739" t="str">
        <f t="shared" si="16"/>
        <v/>
      </c>
      <c r="S22" s="739" t="str">
        <f t="shared" si="1"/>
        <v/>
      </c>
      <c r="T22" s="740" t="str">
        <f t="shared" si="2"/>
        <v/>
      </c>
      <c r="U22" s="275"/>
      <c r="V22" s="293"/>
      <c r="W22" s="288"/>
      <c r="X22" s="288"/>
      <c r="Y22" s="908">
        <f t="shared" si="3"/>
        <v>0</v>
      </c>
      <c r="Z22" s="986">
        <f>tab!$D$62</f>
        <v>0.6</v>
      </c>
      <c r="AA22" s="944">
        <f t="shared" si="4"/>
        <v>0</v>
      </c>
      <c r="AB22" s="944">
        <f t="shared" si="5"/>
        <v>0</v>
      </c>
      <c r="AC22" s="944">
        <f t="shared" si="6"/>
        <v>0</v>
      </c>
      <c r="AD22" s="943" t="e">
        <f t="shared" si="7"/>
        <v>#VALUE!</v>
      </c>
      <c r="AE22" s="943">
        <f t="shared" si="8"/>
        <v>0</v>
      </c>
      <c r="AF22" s="916">
        <f>IF(H22&gt;8,tab!$D$63,tab!$D$65)</f>
        <v>0.4</v>
      </c>
      <c r="AG22" s="925">
        <f t="shared" si="9"/>
        <v>0</v>
      </c>
      <c r="AH22" s="940">
        <f t="shared" si="10"/>
        <v>0</v>
      </c>
      <c r="AI22" s="924" t="b">
        <f>DATE(YEAR(tab!$E$3),MONTH(G22),DAY(G22))&gt;tab!$E$3</f>
        <v>0</v>
      </c>
      <c r="AJ22" s="925">
        <f t="shared" si="11"/>
        <v>119</v>
      </c>
      <c r="AK22" s="884">
        <f t="shared" si="12"/>
        <v>30</v>
      </c>
      <c r="AL22" s="884">
        <f t="shared" si="13"/>
        <v>30</v>
      </c>
      <c r="AM22" s="925">
        <f t="shared" si="17"/>
        <v>0</v>
      </c>
    </row>
    <row r="23" spans="2:39" ht="12.75" customHeight="1" x14ac:dyDescent="0.2">
      <c r="B23" s="49"/>
      <c r="C23" s="69"/>
      <c r="D23" s="75"/>
      <c r="E23" s="75"/>
      <c r="F23" s="88"/>
      <c r="G23" s="290"/>
      <c r="H23" s="88"/>
      <c r="I23" s="99"/>
      <c r="J23" s="291"/>
      <c r="K23" s="971"/>
      <c r="L23" s="859"/>
      <c r="M23" s="859"/>
      <c r="N23" s="867" t="str">
        <f t="shared" si="14"/>
        <v/>
      </c>
      <c r="O23" s="867" t="str">
        <f t="shared" si="15"/>
        <v/>
      </c>
      <c r="P23" s="953" t="str">
        <f t="shared" si="0"/>
        <v/>
      </c>
      <c r="Q23" s="70"/>
      <c r="R23" s="739" t="str">
        <f t="shared" si="16"/>
        <v/>
      </c>
      <c r="S23" s="739" t="str">
        <f t="shared" si="1"/>
        <v/>
      </c>
      <c r="T23" s="740" t="str">
        <f t="shared" si="2"/>
        <v/>
      </c>
      <c r="U23" s="275"/>
      <c r="V23" s="293"/>
      <c r="W23" s="288"/>
      <c r="X23" s="288"/>
      <c r="Y23" s="908">
        <f t="shared" si="3"/>
        <v>0</v>
      </c>
      <c r="Z23" s="986">
        <f>tab!$D$62</f>
        <v>0.6</v>
      </c>
      <c r="AA23" s="944">
        <f t="shared" si="4"/>
        <v>0</v>
      </c>
      <c r="AB23" s="944">
        <f t="shared" si="5"/>
        <v>0</v>
      </c>
      <c r="AC23" s="944">
        <f t="shared" si="6"/>
        <v>0</v>
      </c>
      <c r="AD23" s="943" t="e">
        <f t="shared" si="7"/>
        <v>#VALUE!</v>
      </c>
      <c r="AE23" s="943">
        <f t="shared" si="8"/>
        <v>0</v>
      </c>
      <c r="AF23" s="916">
        <f>IF(H23&gt;8,tab!$D$63,tab!$D$65)</f>
        <v>0.4</v>
      </c>
      <c r="AG23" s="925">
        <f t="shared" si="9"/>
        <v>0</v>
      </c>
      <c r="AH23" s="940">
        <f t="shared" si="10"/>
        <v>0</v>
      </c>
      <c r="AI23" s="924" t="b">
        <f>DATE(YEAR(tab!$E$3),MONTH(G23),DAY(G23))&gt;tab!$E$3</f>
        <v>0</v>
      </c>
      <c r="AJ23" s="925">
        <f t="shared" si="11"/>
        <v>119</v>
      </c>
      <c r="AK23" s="884">
        <f t="shared" si="12"/>
        <v>30</v>
      </c>
      <c r="AL23" s="884">
        <f t="shared" si="13"/>
        <v>30</v>
      </c>
      <c r="AM23" s="925">
        <f t="shared" si="17"/>
        <v>0</v>
      </c>
    </row>
    <row r="24" spans="2:39" ht="12.75" customHeight="1" x14ac:dyDescent="0.2">
      <c r="B24" s="49"/>
      <c r="C24" s="69"/>
      <c r="D24" s="75"/>
      <c r="E24" s="75"/>
      <c r="F24" s="88"/>
      <c r="G24" s="290"/>
      <c r="H24" s="88"/>
      <c r="I24" s="99"/>
      <c r="J24" s="291"/>
      <c r="K24" s="971"/>
      <c r="L24" s="859"/>
      <c r="M24" s="859"/>
      <c r="N24" s="867" t="str">
        <f t="shared" si="14"/>
        <v/>
      </c>
      <c r="O24" s="867" t="str">
        <f t="shared" si="15"/>
        <v/>
      </c>
      <c r="P24" s="953" t="str">
        <f t="shared" si="0"/>
        <v/>
      </c>
      <c r="Q24" s="70"/>
      <c r="R24" s="739" t="str">
        <f t="shared" si="16"/>
        <v/>
      </c>
      <c r="S24" s="739" t="str">
        <f t="shared" si="1"/>
        <v/>
      </c>
      <c r="T24" s="740" t="str">
        <f t="shared" si="2"/>
        <v/>
      </c>
      <c r="U24" s="275"/>
      <c r="V24" s="293"/>
      <c r="W24" s="288"/>
      <c r="X24" s="288"/>
      <c r="Y24" s="908">
        <f t="shared" si="3"/>
        <v>0</v>
      </c>
      <c r="Z24" s="986">
        <f>tab!$D$62</f>
        <v>0.6</v>
      </c>
      <c r="AA24" s="944">
        <f t="shared" si="4"/>
        <v>0</v>
      </c>
      <c r="AB24" s="944">
        <f t="shared" si="5"/>
        <v>0</v>
      </c>
      <c r="AC24" s="944">
        <f t="shared" si="6"/>
        <v>0</v>
      </c>
      <c r="AD24" s="943" t="e">
        <f t="shared" si="7"/>
        <v>#VALUE!</v>
      </c>
      <c r="AE24" s="943">
        <f t="shared" si="8"/>
        <v>0</v>
      </c>
      <c r="AF24" s="916">
        <f>IF(H24&gt;8,tab!$D$63,tab!$D$65)</f>
        <v>0.4</v>
      </c>
      <c r="AG24" s="925">
        <f t="shared" si="9"/>
        <v>0</v>
      </c>
      <c r="AH24" s="940">
        <f t="shared" si="10"/>
        <v>0</v>
      </c>
      <c r="AI24" s="924" t="b">
        <f>DATE(YEAR(tab!$E$3),MONTH(G24),DAY(G24))&gt;tab!$E$3</f>
        <v>0</v>
      </c>
      <c r="AJ24" s="925">
        <f t="shared" si="11"/>
        <v>119</v>
      </c>
      <c r="AK24" s="884">
        <f t="shared" si="12"/>
        <v>30</v>
      </c>
      <c r="AL24" s="884">
        <f t="shared" si="13"/>
        <v>30</v>
      </c>
      <c r="AM24" s="925">
        <f t="shared" si="17"/>
        <v>0</v>
      </c>
    </row>
    <row r="25" spans="2:39" ht="12.75" customHeight="1" x14ac:dyDescent="0.2">
      <c r="B25" s="49"/>
      <c r="C25" s="69"/>
      <c r="D25" s="75"/>
      <c r="E25" s="75"/>
      <c r="F25" s="88"/>
      <c r="G25" s="290"/>
      <c r="H25" s="88"/>
      <c r="I25" s="99"/>
      <c r="J25" s="291"/>
      <c r="K25" s="971"/>
      <c r="L25" s="859"/>
      <c r="M25" s="859"/>
      <c r="N25" s="867" t="str">
        <f t="shared" si="14"/>
        <v/>
      </c>
      <c r="O25" s="867" t="str">
        <f t="shared" si="15"/>
        <v/>
      </c>
      <c r="P25" s="953" t="str">
        <f t="shared" si="0"/>
        <v/>
      </c>
      <c r="Q25" s="70"/>
      <c r="R25" s="739" t="str">
        <f t="shared" si="16"/>
        <v/>
      </c>
      <c r="S25" s="739" t="str">
        <f t="shared" si="1"/>
        <v/>
      </c>
      <c r="T25" s="740" t="str">
        <f t="shared" si="2"/>
        <v/>
      </c>
      <c r="U25" s="275"/>
      <c r="V25" s="293"/>
      <c r="W25" s="288"/>
      <c r="X25" s="288"/>
      <c r="Y25" s="908">
        <f t="shared" si="3"/>
        <v>0</v>
      </c>
      <c r="Z25" s="986">
        <f>tab!$D$62</f>
        <v>0.6</v>
      </c>
      <c r="AA25" s="944">
        <f t="shared" si="4"/>
        <v>0</v>
      </c>
      <c r="AB25" s="944">
        <f t="shared" si="5"/>
        <v>0</v>
      </c>
      <c r="AC25" s="944">
        <f t="shared" si="6"/>
        <v>0</v>
      </c>
      <c r="AD25" s="943" t="e">
        <f t="shared" si="7"/>
        <v>#VALUE!</v>
      </c>
      <c r="AE25" s="943">
        <f t="shared" si="8"/>
        <v>0</v>
      </c>
      <c r="AF25" s="916">
        <f>IF(H25&gt;8,tab!$D$63,tab!$D$65)</f>
        <v>0.4</v>
      </c>
      <c r="AG25" s="925">
        <f t="shared" si="9"/>
        <v>0</v>
      </c>
      <c r="AH25" s="940">
        <f t="shared" si="10"/>
        <v>0</v>
      </c>
      <c r="AI25" s="924" t="b">
        <f>DATE(YEAR(tab!$E$3),MONTH(G25),DAY(G25))&gt;tab!$E$3</f>
        <v>0</v>
      </c>
      <c r="AJ25" s="925">
        <f t="shared" si="11"/>
        <v>119</v>
      </c>
      <c r="AK25" s="884">
        <f t="shared" si="12"/>
        <v>30</v>
      </c>
      <c r="AL25" s="884">
        <f t="shared" si="13"/>
        <v>30</v>
      </c>
      <c r="AM25" s="925">
        <f t="shared" si="17"/>
        <v>0</v>
      </c>
    </row>
    <row r="26" spans="2:39" ht="12.75" customHeight="1" x14ac:dyDescent="0.2">
      <c r="B26" s="49"/>
      <c r="C26" s="69"/>
      <c r="D26" s="75"/>
      <c r="E26" s="75"/>
      <c r="F26" s="88"/>
      <c r="G26" s="290"/>
      <c r="H26" s="88"/>
      <c r="I26" s="99"/>
      <c r="J26" s="291"/>
      <c r="K26" s="971"/>
      <c r="L26" s="859"/>
      <c r="M26" s="859"/>
      <c r="N26" s="867" t="str">
        <f t="shared" si="14"/>
        <v/>
      </c>
      <c r="O26" s="867" t="str">
        <f t="shared" si="15"/>
        <v/>
      </c>
      <c r="P26" s="953" t="str">
        <f t="shared" si="0"/>
        <v/>
      </c>
      <c r="Q26" s="70"/>
      <c r="R26" s="739" t="str">
        <f t="shared" si="16"/>
        <v/>
      </c>
      <c r="S26" s="739" t="str">
        <f t="shared" si="1"/>
        <v/>
      </c>
      <c r="T26" s="740" t="str">
        <f t="shared" si="2"/>
        <v/>
      </c>
      <c r="U26" s="275"/>
      <c r="V26" s="293"/>
      <c r="W26" s="288"/>
      <c r="X26" s="288"/>
      <c r="Y26" s="908">
        <f t="shared" si="3"/>
        <v>0</v>
      </c>
      <c r="Z26" s="986">
        <f>tab!$D$62</f>
        <v>0.6</v>
      </c>
      <c r="AA26" s="944">
        <f t="shared" si="4"/>
        <v>0</v>
      </c>
      <c r="AB26" s="944">
        <f t="shared" si="5"/>
        <v>0</v>
      </c>
      <c r="AC26" s="944">
        <f t="shared" si="6"/>
        <v>0</v>
      </c>
      <c r="AD26" s="943" t="e">
        <f t="shared" si="7"/>
        <v>#VALUE!</v>
      </c>
      <c r="AE26" s="943">
        <f t="shared" si="8"/>
        <v>0</v>
      </c>
      <c r="AF26" s="916">
        <f>IF(H26&gt;8,tab!$D$63,tab!$D$65)</f>
        <v>0.4</v>
      </c>
      <c r="AG26" s="925">
        <f t="shared" si="9"/>
        <v>0</v>
      </c>
      <c r="AH26" s="940">
        <f t="shared" si="10"/>
        <v>0</v>
      </c>
      <c r="AI26" s="924" t="b">
        <f>DATE(YEAR(tab!$E$3),MONTH(G26),DAY(G26))&gt;tab!$E$3</f>
        <v>0</v>
      </c>
      <c r="AJ26" s="925">
        <f t="shared" si="11"/>
        <v>119</v>
      </c>
      <c r="AK26" s="884">
        <f t="shared" si="12"/>
        <v>30</v>
      </c>
      <c r="AL26" s="884">
        <f t="shared" si="13"/>
        <v>30</v>
      </c>
      <c r="AM26" s="925">
        <f t="shared" si="17"/>
        <v>0</v>
      </c>
    </row>
    <row r="27" spans="2:39" ht="12.75" customHeight="1" x14ac:dyDescent="0.2">
      <c r="B27" s="49"/>
      <c r="C27" s="69"/>
      <c r="D27" s="75"/>
      <c r="E27" s="75"/>
      <c r="F27" s="88"/>
      <c r="G27" s="290"/>
      <c r="H27" s="88"/>
      <c r="I27" s="99"/>
      <c r="J27" s="291"/>
      <c r="K27" s="971"/>
      <c r="L27" s="859"/>
      <c r="M27" s="859"/>
      <c r="N27" s="867" t="str">
        <f t="shared" si="14"/>
        <v/>
      </c>
      <c r="O27" s="867" t="str">
        <f t="shared" si="15"/>
        <v/>
      </c>
      <c r="P27" s="953" t="str">
        <f t="shared" si="0"/>
        <v/>
      </c>
      <c r="Q27" s="70"/>
      <c r="R27" s="739" t="str">
        <f t="shared" si="16"/>
        <v/>
      </c>
      <c r="S27" s="739" t="str">
        <f t="shared" si="1"/>
        <v/>
      </c>
      <c r="T27" s="740" t="str">
        <f t="shared" si="2"/>
        <v/>
      </c>
      <c r="U27" s="275"/>
      <c r="V27" s="293"/>
      <c r="W27" s="288"/>
      <c r="X27" s="288"/>
      <c r="Y27" s="908">
        <f t="shared" si="3"/>
        <v>0</v>
      </c>
      <c r="Z27" s="986">
        <f>tab!$D$62</f>
        <v>0.6</v>
      </c>
      <c r="AA27" s="944">
        <f t="shared" si="4"/>
        <v>0</v>
      </c>
      <c r="AB27" s="944">
        <f t="shared" si="5"/>
        <v>0</v>
      </c>
      <c r="AC27" s="944">
        <f t="shared" si="6"/>
        <v>0</v>
      </c>
      <c r="AD27" s="943" t="e">
        <f t="shared" si="7"/>
        <v>#VALUE!</v>
      </c>
      <c r="AE27" s="943">
        <f t="shared" si="8"/>
        <v>0</v>
      </c>
      <c r="AF27" s="916">
        <f>IF(H27&gt;8,tab!$D$63,tab!$D$65)</f>
        <v>0.4</v>
      </c>
      <c r="AG27" s="925">
        <f t="shared" si="9"/>
        <v>0</v>
      </c>
      <c r="AH27" s="940">
        <f t="shared" si="10"/>
        <v>0</v>
      </c>
      <c r="AI27" s="924" t="b">
        <f>DATE(YEAR(tab!$E$3),MONTH(G27),DAY(G27))&gt;tab!$E$3</f>
        <v>0</v>
      </c>
      <c r="AJ27" s="925">
        <f t="shared" si="11"/>
        <v>119</v>
      </c>
      <c r="AK27" s="884">
        <f t="shared" si="12"/>
        <v>30</v>
      </c>
      <c r="AL27" s="884">
        <f t="shared" si="13"/>
        <v>30</v>
      </c>
      <c r="AM27" s="925">
        <f t="shared" si="17"/>
        <v>0</v>
      </c>
    </row>
    <row r="28" spans="2:39" ht="12.75" customHeight="1" x14ac:dyDescent="0.2">
      <c r="B28" s="49"/>
      <c r="C28" s="69"/>
      <c r="D28" s="75"/>
      <c r="E28" s="75"/>
      <c r="F28" s="88"/>
      <c r="G28" s="290"/>
      <c r="H28" s="88"/>
      <c r="I28" s="99"/>
      <c r="J28" s="291"/>
      <c r="K28" s="971"/>
      <c r="L28" s="859"/>
      <c r="M28" s="859"/>
      <c r="N28" s="867" t="str">
        <f t="shared" si="14"/>
        <v/>
      </c>
      <c r="O28" s="867" t="str">
        <f t="shared" si="15"/>
        <v/>
      </c>
      <c r="P28" s="953" t="str">
        <f t="shared" si="0"/>
        <v/>
      </c>
      <c r="Q28" s="70"/>
      <c r="R28" s="739" t="str">
        <f t="shared" si="16"/>
        <v/>
      </c>
      <c r="S28" s="739" t="str">
        <f t="shared" si="1"/>
        <v/>
      </c>
      <c r="T28" s="740" t="str">
        <f t="shared" si="2"/>
        <v/>
      </c>
      <c r="U28" s="275"/>
      <c r="V28" s="293"/>
      <c r="W28" s="288"/>
      <c r="X28" s="288"/>
      <c r="Y28" s="908">
        <f t="shared" si="3"/>
        <v>0</v>
      </c>
      <c r="Z28" s="986">
        <f>tab!$D$62</f>
        <v>0.6</v>
      </c>
      <c r="AA28" s="944">
        <f t="shared" si="4"/>
        <v>0</v>
      </c>
      <c r="AB28" s="944">
        <f t="shared" si="5"/>
        <v>0</v>
      </c>
      <c r="AC28" s="944">
        <f t="shared" si="6"/>
        <v>0</v>
      </c>
      <c r="AD28" s="943" t="e">
        <f t="shared" si="7"/>
        <v>#VALUE!</v>
      </c>
      <c r="AE28" s="943">
        <f t="shared" si="8"/>
        <v>0</v>
      </c>
      <c r="AF28" s="916">
        <f>IF(H28&gt;8,tab!$D$63,tab!$D$65)</f>
        <v>0.4</v>
      </c>
      <c r="AG28" s="925">
        <f t="shared" si="9"/>
        <v>0</v>
      </c>
      <c r="AH28" s="940">
        <f t="shared" si="10"/>
        <v>0</v>
      </c>
      <c r="AI28" s="924" t="b">
        <f>DATE(YEAR(tab!$E$3),MONTH(G28),DAY(G28))&gt;tab!$E$3</f>
        <v>0</v>
      </c>
      <c r="AJ28" s="925">
        <f t="shared" si="11"/>
        <v>119</v>
      </c>
      <c r="AK28" s="884">
        <f t="shared" si="12"/>
        <v>30</v>
      </c>
      <c r="AL28" s="884">
        <f t="shared" si="13"/>
        <v>30</v>
      </c>
      <c r="AM28" s="925">
        <f t="shared" si="17"/>
        <v>0</v>
      </c>
    </row>
    <row r="29" spans="2:39" ht="12.75" customHeight="1" x14ac:dyDescent="0.2">
      <c r="B29" s="49"/>
      <c r="C29" s="69"/>
      <c r="D29" s="75"/>
      <c r="E29" s="75"/>
      <c r="F29" s="88"/>
      <c r="G29" s="290"/>
      <c r="H29" s="88"/>
      <c r="I29" s="99"/>
      <c r="J29" s="291"/>
      <c r="K29" s="971"/>
      <c r="L29" s="859"/>
      <c r="M29" s="859"/>
      <c r="N29" s="867" t="str">
        <f t="shared" si="14"/>
        <v/>
      </c>
      <c r="O29" s="867" t="str">
        <f t="shared" si="15"/>
        <v/>
      </c>
      <c r="P29" s="953" t="str">
        <f t="shared" si="0"/>
        <v/>
      </c>
      <c r="Q29" s="70"/>
      <c r="R29" s="739" t="str">
        <f t="shared" si="16"/>
        <v/>
      </c>
      <c r="S29" s="739" t="str">
        <f t="shared" si="1"/>
        <v/>
      </c>
      <c r="T29" s="740" t="str">
        <f t="shared" si="2"/>
        <v/>
      </c>
      <c r="U29" s="275"/>
      <c r="V29" s="293"/>
      <c r="W29" s="288"/>
      <c r="X29" s="288"/>
      <c r="Y29" s="908">
        <f t="shared" si="3"/>
        <v>0</v>
      </c>
      <c r="Z29" s="986">
        <f>tab!$D$62</f>
        <v>0.6</v>
      </c>
      <c r="AA29" s="944">
        <f t="shared" si="4"/>
        <v>0</v>
      </c>
      <c r="AB29" s="944">
        <f t="shared" si="5"/>
        <v>0</v>
      </c>
      <c r="AC29" s="944">
        <f t="shared" si="6"/>
        <v>0</v>
      </c>
      <c r="AD29" s="943" t="e">
        <f t="shared" si="7"/>
        <v>#VALUE!</v>
      </c>
      <c r="AE29" s="943">
        <f t="shared" si="8"/>
        <v>0</v>
      </c>
      <c r="AF29" s="916">
        <f>IF(H29&gt;8,tab!$D$63,tab!$D$65)</f>
        <v>0.4</v>
      </c>
      <c r="AG29" s="925">
        <f t="shared" si="9"/>
        <v>0</v>
      </c>
      <c r="AH29" s="940">
        <f t="shared" si="10"/>
        <v>0</v>
      </c>
      <c r="AI29" s="924" t="b">
        <f>DATE(YEAR(tab!$E$3),MONTH(G29),DAY(G29))&gt;tab!$E$3</f>
        <v>0</v>
      </c>
      <c r="AJ29" s="925">
        <f t="shared" si="11"/>
        <v>119</v>
      </c>
      <c r="AK29" s="884">
        <f t="shared" si="12"/>
        <v>30</v>
      </c>
      <c r="AL29" s="884">
        <f t="shared" si="13"/>
        <v>30</v>
      </c>
      <c r="AM29" s="925">
        <f t="shared" si="17"/>
        <v>0</v>
      </c>
    </row>
    <row r="30" spans="2:39" ht="12.75" customHeight="1" x14ac:dyDescent="0.2">
      <c r="B30" s="49"/>
      <c r="C30" s="69"/>
      <c r="D30" s="75"/>
      <c r="E30" s="75"/>
      <c r="F30" s="88"/>
      <c r="G30" s="290"/>
      <c r="H30" s="88"/>
      <c r="I30" s="99"/>
      <c r="J30" s="291"/>
      <c r="K30" s="971"/>
      <c r="L30" s="859"/>
      <c r="M30" s="859"/>
      <c r="N30" s="867" t="str">
        <f t="shared" si="14"/>
        <v/>
      </c>
      <c r="O30" s="867" t="str">
        <f t="shared" si="15"/>
        <v/>
      </c>
      <c r="P30" s="953" t="str">
        <f t="shared" si="0"/>
        <v/>
      </c>
      <c r="Q30" s="70"/>
      <c r="R30" s="739" t="str">
        <f t="shared" si="16"/>
        <v/>
      </c>
      <c r="S30" s="739" t="str">
        <f t="shared" si="1"/>
        <v/>
      </c>
      <c r="T30" s="740" t="str">
        <f t="shared" si="2"/>
        <v/>
      </c>
      <c r="U30" s="275"/>
      <c r="V30" s="293"/>
      <c r="W30" s="288"/>
      <c r="X30" s="288"/>
      <c r="Y30" s="908">
        <f t="shared" si="3"/>
        <v>0</v>
      </c>
      <c r="Z30" s="986">
        <f>tab!$D$62</f>
        <v>0.6</v>
      </c>
      <c r="AA30" s="944">
        <f t="shared" si="4"/>
        <v>0</v>
      </c>
      <c r="AB30" s="944">
        <f t="shared" si="5"/>
        <v>0</v>
      </c>
      <c r="AC30" s="944">
        <f t="shared" si="6"/>
        <v>0</v>
      </c>
      <c r="AD30" s="943" t="e">
        <f t="shared" si="7"/>
        <v>#VALUE!</v>
      </c>
      <c r="AE30" s="943">
        <f t="shared" si="8"/>
        <v>0</v>
      </c>
      <c r="AF30" s="916">
        <f>IF(H30&gt;8,tab!$D$63,tab!$D$65)</f>
        <v>0.4</v>
      </c>
      <c r="AG30" s="925">
        <f t="shared" si="9"/>
        <v>0</v>
      </c>
      <c r="AH30" s="940">
        <f t="shared" si="10"/>
        <v>0</v>
      </c>
      <c r="AI30" s="924" t="b">
        <f>DATE(YEAR(tab!$E$3),MONTH(G30),DAY(G30))&gt;tab!$E$3</f>
        <v>0</v>
      </c>
      <c r="AJ30" s="925">
        <f t="shared" si="11"/>
        <v>119</v>
      </c>
      <c r="AK30" s="884">
        <f t="shared" si="12"/>
        <v>30</v>
      </c>
      <c r="AL30" s="884">
        <f t="shared" si="13"/>
        <v>30</v>
      </c>
      <c r="AM30" s="925">
        <f t="shared" si="17"/>
        <v>0</v>
      </c>
    </row>
    <row r="31" spans="2:39" ht="12.75" customHeight="1" x14ac:dyDescent="0.2">
      <c r="B31" s="49"/>
      <c r="C31" s="69"/>
      <c r="D31" s="75"/>
      <c r="E31" s="75"/>
      <c r="F31" s="88"/>
      <c r="G31" s="290"/>
      <c r="H31" s="88"/>
      <c r="I31" s="99"/>
      <c r="J31" s="291"/>
      <c r="K31" s="971"/>
      <c r="L31" s="859"/>
      <c r="M31" s="859"/>
      <c r="N31" s="867" t="str">
        <f t="shared" si="14"/>
        <v/>
      </c>
      <c r="O31" s="867" t="str">
        <f t="shared" si="15"/>
        <v/>
      </c>
      <c r="P31" s="953" t="str">
        <f t="shared" si="0"/>
        <v/>
      </c>
      <c r="Q31" s="70"/>
      <c r="R31" s="739" t="str">
        <f t="shared" si="16"/>
        <v/>
      </c>
      <c r="S31" s="739" t="str">
        <f t="shared" si="1"/>
        <v/>
      </c>
      <c r="T31" s="740" t="str">
        <f t="shared" si="2"/>
        <v/>
      </c>
      <c r="U31" s="275"/>
      <c r="V31" s="293"/>
      <c r="W31" s="288"/>
      <c r="X31" s="288"/>
      <c r="Y31" s="908">
        <f t="shared" si="3"/>
        <v>0</v>
      </c>
      <c r="Z31" s="986">
        <f>tab!$D$62</f>
        <v>0.6</v>
      </c>
      <c r="AA31" s="944">
        <f t="shared" si="4"/>
        <v>0</v>
      </c>
      <c r="AB31" s="944">
        <f t="shared" si="5"/>
        <v>0</v>
      </c>
      <c r="AC31" s="944">
        <f t="shared" si="6"/>
        <v>0</v>
      </c>
      <c r="AD31" s="943" t="e">
        <f t="shared" si="7"/>
        <v>#VALUE!</v>
      </c>
      <c r="AE31" s="943">
        <f t="shared" si="8"/>
        <v>0</v>
      </c>
      <c r="AF31" s="916">
        <f>IF(H31&gt;8,tab!$D$63,tab!$D$65)</f>
        <v>0.4</v>
      </c>
      <c r="AG31" s="925">
        <f t="shared" si="9"/>
        <v>0</v>
      </c>
      <c r="AH31" s="940">
        <f t="shared" si="10"/>
        <v>0</v>
      </c>
      <c r="AI31" s="924" t="b">
        <f>DATE(YEAR(tab!$E$3),MONTH(G31),DAY(G31))&gt;tab!$E$3</f>
        <v>0</v>
      </c>
      <c r="AJ31" s="925">
        <f t="shared" si="11"/>
        <v>119</v>
      </c>
      <c r="AK31" s="884">
        <f t="shared" si="12"/>
        <v>30</v>
      </c>
      <c r="AL31" s="884">
        <f t="shared" si="13"/>
        <v>30</v>
      </c>
      <c r="AM31" s="925">
        <f t="shared" si="17"/>
        <v>0</v>
      </c>
    </row>
    <row r="32" spans="2:39" ht="12.75" customHeight="1" x14ac:dyDescent="0.2">
      <c r="B32" s="49"/>
      <c r="C32" s="69"/>
      <c r="D32" s="75"/>
      <c r="E32" s="75"/>
      <c r="F32" s="88"/>
      <c r="G32" s="290"/>
      <c r="H32" s="88"/>
      <c r="I32" s="99"/>
      <c r="J32" s="291"/>
      <c r="K32" s="971"/>
      <c r="L32" s="859"/>
      <c r="M32" s="859"/>
      <c r="N32" s="867" t="str">
        <f t="shared" si="14"/>
        <v/>
      </c>
      <c r="O32" s="867" t="str">
        <f t="shared" si="15"/>
        <v/>
      </c>
      <c r="P32" s="953" t="str">
        <f t="shared" si="0"/>
        <v/>
      </c>
      <c r="Q32" s="70"/>
      <c r="R32" s="739" t="str">
        <f t="shared" si="16"/>
        <v/>
      </c>
      <c r="S32" s="739" t="str">
        <f t="shared" si="1"/>
        <v/>
      </c>
      <c r="T32" s="740" t="str">
        <f t="shared" si="2"/>
        <v/>
      </c>
      <c r="U32" s="275"/>
      <c r="V32" s="293"/>
      <c r="W32" s="288"/>
      <c r="X32" s="288"/>
      <c r="Y32" s="908">
        <f t="shared" si="3"/>
        <v>0</v>
      </c>
      <c r="Z32" s="986">
        <f>tab!$D$62</f>
        <v>0.6</v>
      </c>
      <c r="AA32" s="944">
        <f t="shared" si="4"/>
        <v>0</v>
      </c>
      <c r="AB32" s="944">
        <f t="shared" si="5"/>
        <v>0</v>
      </c>
      <c r="AC32" s="944">
        <f t="shared" si="6"/>
        <v>0</v>
      </c>
      <c r="AD32" s="943" t="e">
        <f t="shared" si="7"/>
        <v>#VALUE!</v>
      </c>
      <c r="AE32" s="943">
        <f t="shared" si="8"/>
        <v>0</v>
      </c>
      <c r="AF32" s="916">
        <f>IF(H32&gt;8,tab!$D$63,tab!$D$65)</f>
        <v>0.4</v>
      </c>
      <c r="AG32" s="925">
        <f t="shared" si="9"/>
        <v>0</v>
      </c>
      <c r="AH32" s="940">
        <f t="shared" si="10"/>
        <v>0</v>
      </c>
      <c r="AI32" s="924" t="b">
        <f>DATE(YEAR(tab!$E$3),MONTH(G32),DAY(G32))&gt;tab!$E$3</f>
        <v>0</v>
      </c>
      <c r="AJ32" s="925">
        <f t="shared" si="11"/>
        <v>119</v>
      </c>
      <c r="AK32" s="884">
        <f t="shared" si="12"/>
        <v>30</v>
      </c>
      <c r="AL32" s="884">
        <f t="shared" si="13"/>
        <v>30</v>
      </c>
      <c r="AM32" s="925">
        <f t="shared" si="17"/>
        <v>0</v>
      </c>
    </row>
    <row r="33" spans="2:39" ht="12.75" customHeight="1" x14ac:dyDescent="0.2">
      <c r="B33" s="49"/>
      <c r="C33" s="69"/>
      <c r="D33" s="75"/>
      <c r="E33" s="75"/>
      <c r="F33" s="88"/>
      <c r="G33" s="290"/>
      <c r="H33" s="88"/>
      <c r="I33" s="99"/>
      <c r="J33" s="291"/>
      <c r="K33" s="971"/>
      <c r="L33" s="859"/>
      <c r="M33" s="859"/>
      <c r="N33" s="867" t="str">
        <f t="shared" si="14"/>
        <v/>
      </c>
      <c r="O33" s="867" t="str">
        <f t="shared" si="15"/>
        <v/>
      </c>
      <c r="P33" s="953" t="str">
        <f t="shared" si="0"/>
        <v/>
      </c>
      <c r="Q33" s="70"/>
      <c r="R33" s="739" t="str">
        <f t="shared" si="16"/>
        <v/>
      </c>
      <c r="S33" s="739" t="str">
        <f t="shared" si="1"/>
        <v/>
      </c>
      <c r="T33" s="740" t="str">
        <f t="shared" si="2"/>
        <v/>
      </c>
      <c r="U33" s="275"/>
      <c r="V33" s="293"/>
      <c r="W33" s="288"/>
      <c r="X33" s="288"/>
      <c r="Y33" s="908">
        <f t="shared" si="3"/>
        <v>0</v>
      </c>
      <c r="Z33" s="986">
        <f>tab!$D$62</f>
        <v>0.6</v>
      </c>
      <c r="AA33" s="944">
        <f t="shared" si="4"/>
        <v>0</v>
      </c>
      <c r="AB33" s="944">
        <f t="shared" si="5"/>
        <v>0</v>
      </c>
      <c r="AC33" s="944">
        <f t="shared" si="6"/>
        <v>0</v>
      </c>
      <c r="AD33" s="943" t="e">
        <f t="shared" si="7"/>
        <v>#VALUE!</v>
      </c>
      <c r="AE33" s="943">
        <f t="shared" si="8"/>
        <v>0</v>
      </c>
      <c r="AF33" s="916">
        <f>IF(H33&gt;8,tab!$D$63,tab!$D$65)</f>
        <v>0.4</v>
      </c>
      <c r="AG33" s="925">
        <f t="shared" si="9"/>
        <v>0</v>
      </c>
      <c r="AH33" s="940">
        <f t="shared" si="10"/>
        <v>0</v>
      </c>
      <c r="AI33" s="924" t="b">
        <f>DATE(YEAR(tab!$E$3),MONTH(G33),DAY(G33))&gt;tab!$E$3</f>
        <v>0</v>
      </c>
      <c r="AJ33" s="925">
        <f t="shared" si="11"/>
        <v>119</v>
      </c>
      <c r="AK33" s="884">
        <f t="shared" si="12"/>
        <v>30</v>
      </c>
      <c r="AL33" s="884">
        <f t="shared" si="13"/>
        <v>30</v>
      </c>
      <c r="AM33" s="925">
        <f t="shared" si="17"/>
        <v>0</v>
      </c>
    </row>
    <row r="34" spans="2:39" ht="12.75" customHeight="1" x14ac:dyDescent="0.2">
      <c r="B34" s="49"/>
      <c r="C34" s="69"/>
      <c r="D34" s="75"/>
      <c r="E34" s="75"/>
      <c r="F34" s="88"/>
      <c r="G34" s="290"/>
      <c r="H34" s="88"/>
      <c r="I34" s="99"/>
      <c r="J34" s="291"/>
      <c r="K34" s="971"/>
      <c r="L34" s="859"/>
      <c r="M34" s="859"/>
      <c r="N34" s="867" t="str">
        <f t="shared" si="14"/>
        <v/>
      </c>
      <c r="O34" s="867" t="str">
        <f t="shared" si="15"/>
        <v/>
      </c>
      <c r="P34" s="953" t="str">
        <f t="shared" si="0"/>
        <v/>
      </c>
      <c r="Q34" s="70"/>
      <c r="R34" s="739" t="str">
        <f t="shared" si="16"/>
        <v/>
      </c>
      <c r="S34" s="739" t="str">
        <f t="shared" si="1"/>
        <v/>
      </c>
      <c r="T34" s="740" t="str">
        <f t="shared" si="2"/>
        <v/>
      </c>
      <c r="U34" s="275"/>
      <c r="V34" s="293"/>
      <c r="W34" s="288"/>
      <c r="X34" s="288"/>
      <c r="Y34" s="908">
        <f t="shared" si="3"/>
        <v>0</v>
      </c>
      <c r="Z34" s="986">
        <f>tab!$D$62</f>
        <v>0.6</v>
      </c>
      <c r="AA34" s="944">
        <f t="shared" si="4"/>
        <v>0</v>
      </c>
      <c r="AB34" s="944">
        <f t="shared" si="5"/>
        <v>0</v>
      </c>
      <c r="AC34" s="944">
        <f t="shared" si="6"/>
        <v>0</v>
      </c>
      <c r="AD34" s="943" t="e">
        <f t="shared" si="7"/>
        <v>#VALUE!</v>
      </c>
      <c r="AE34" s="943">
        <f t="shared" si="8"/>
        <v>0</v>
      </c>
      <c r="AF34" s="916">
        <f>IF(H34&gt;8,tab!$D$63,tab!$D$65)</f>
        <v>0.4</v>
      </c>
      <c r="AG34" s="925">
        <f t="shared" si="9"/>
        <v>0</v>
      </c>
      <c r="AH34" s="940">
        <f t="shared" si="10"/>
        <v>0</v>
      </c>
      <c r="AI34" s="924" t="b">
        <f>DATE(YEAR(tab!$E$3),MONTH(G34),DAY(G34))&gt;tab!$E$3</f>
        <v>0</v>
      </c>
      <c r="AJ34" s="925">
        <f t="shared" si="11"/>
        <v>119</v>
      </c>
      <c r="AK34" s="884">
        <f t="shared" si="12"/>
        <v>30</v>
      </c>
      <c r="AL34" s="884">
        <f t="shared" si="13"/>
        <v>30</v>
      </c>
      <c r="AM34" s="925">
        <f t="shared" si="17"/>
        <v>0</v>
      </c>
    </row>
    <row r="35" spans="2:39" ht="12.75" customHeight="1" x14ac:dyDescent="0.2">
      <c r="B35" s="49"/>
      <c r="C35" s="69"/>
      <c r="D35" s="75"/>
      <c r="E35" s="75"/>
      <c r="F35" s="88"/>
      <c r="G35" s="290"/>
      <c r="H35" s="88"/>
      <c r="I35" s="99"/>
      <c r="J35" s="291"/>
      <c r="K35" s="971"/>
      <c r="L35" s="859"/>
      <c r="M35" s="859"/>
      <c r="N35" s="867" t="str">
        <f t="shared" si="14"/>
        <v/>
      </c>
      <c r="O35" s="867" t="str">
        <f t="shared" si="15"/>
        <v/>
      </c>
      <c r="P35" s="953" t="str">
        <f t="shared" si="0"/>
        <v/>
      </c>
      <c r="Q35" s="70"/>
      <c r="R35" s="739" t="str">
        <f t="shared" si="16"/>
        <v/>
      </c>
      <c r="S35" s="739" t="str">
        <f t="shared" si="1"/>
        <v/>
      </c>
      <c r="T35" s="740" t="str">
        <f t="shared" si="2"/>
        <v/>
      </c>
      <c r="U35" s="275"/>
      <c r="V35" s="293"/>
      <c r="W35" s="288"/>
      <c r="X35" s="288"/>
      <c r="Y35" s="908">
        <f t="shared" si="3"/>
        <v>0</v>
      </c>
      <c r="Z35" s="986">
        <f>tab!$D$62</f>
        <v>0.6</v>
      </c>
      <c r="AA35" s="944">
        <f t="shared" si="4"/>
        <v>0</v>
      </c>
      <c r="AB35" s="944">
        <f t="shared" si="5"/>
        <v>0</v>
      </c>
      <c r="AC35" s="944">
        <f t="shared" si="6"/>
        <v>0</v>
      </c>
      <c r="AD35" s="943" t="e">
        <f t="shared" si="7"/>
        <v>#VALUE!</v>
      </c>
      <c r="AE35" s="943">
        <f t="shared" si="8"/>
        <v>0</v>
      </c>
      <c r="AF35" s="916">
        <f>IF(H35&gt;8,tab!$D$63,tab!$D$65)</f>
        <v>0.4</v>
      </c>
      <c r="AG35" s="925">
        <f t="shared" si="9"/>
        <v>0</v>
      </c>
      <c r="AH35" s="940">
        <f t="shared" si="10"/>
        <v>0</v>
      </c>
      <c r="AI35" s="924" t="b">
        <f>DATE(YEAR(tab!$E$3),MONTH(G35),DAY(G35))&gt;tab!$E$3</f>
        <v>0</v>
      </c>
      <c r="AJ35" s="925">
        <f t="shared" si="11"/>
        <v>119</v>
      </c>
      <c r="AK35" s="884">
        <f t="shared" si="12"/>
        <v>30</v>
      </c>
      <c r="AL35" s="884">
        <f t="shared" si="13"/>
        <v>30</v>
      </c>
      <c r="AM35" s="925">
        <f t="shared" si="17"/>
        <v>0</v>
      </c>
    </row>
    <row r="36" spans="2:39" ht="12.75" customHeight="1" x14ac:dyDescent="0.2">
      <c r="B36" s="49"/>
      <c r="C36" s="69"/>
      <c r="D36" s="75"/>
      <c r="E36" s="75"/>
      <c r="F36" s="88"/>
      <c r="G36" s="290"/>
      <c r="H36" s="88"/>
      <c r="I36" s="99"/>
      <c r="J36" s="291"/>
      <c r="K36" s="971"/>
      <c r="L36" s="859"/>
      <c r="M36" s="859"/>
      <c r="N36" s="867" t="str">
        <f t="shared" si="14"/>
        <v/>
      </c>
      <c r="O36" s="867" t="str">
        <f t="shared" si="15"/>
        <v/>
      </c>
      <c r="P36" s="953" t="str">
        <f t="shared" si="0"/>
        <v/>
      </c>
      <c r="Q36" s="70"/>
      <c r="R36" s="739" t="str">
        <f t="shared" si="16"/>
        <v/>
      </c>
      <c r="S36" s="739" t="str">
        <f t="shared" si="1"/>
        <v/>
      </c>
      <c r="T36" s="740" t="str">
        <f t="shared" si="2"/>
        <v/>
      </c>
      <c r="U36" s="275"/>
      <c r="V36" s="293"/>
      <c r="W36" s="288"/>
      <c r="X36" s="288"/>
      <c r="Y36" s="908">
        <f t="shared" si="3"/>
        <v>0</v>
      </c>
      <c r="Z36" s="986">
        <f>tab!$D$62</f>
        <v>0.6</v>
      </c>
      <c r="AA36" s="944">
        <f t="shared" si="4"/>
        <v>0</v>
      </c>
      <c r="AB36" s="944">
        <f t="shared" si="5"/>
        <v>0</v>
      </c>
      <c r="AC36" s="944">
        <f t="shared" si="6"/>
        <v>0</v>
      </c>
      <c r="AD36" s="943" t="e">
        <f t="shared" si="7"/>
        <v>#VALUE!</v>
      </c>
      <c r="AE36" s="943">
        <f t="shared" si="8"/>
        <v>0</v>
      </c>
      <c r="AF36" s="916">
        <f>IF(H36&gt;8,tab!$D$63,tab!$D$65)</f>
        <v>0.4</v>
      </c>
      <c r="AG36" s="925">
        <f t="shared" si="9"/>
        <v>0</v>
      </c>
      <c r="AH36" s="940">
        <f t="shared" si="10"/>
        <v>0</v>
      </c>
      <c r="AI36" s="924" t="b">
        <f>DATE(YEAR(tab!$E$3),MONTH(G36),DAY(G36))&gt;tab!$E$3</f>
        <v>0</v>
      </c>
      <c r="AJ36" s="925">
        <f t="shared" si="11"/>
        <v>119</v>
      </c>
      <c r="AK36" s="884">
        <f t="shared" si="12"/>
        <v>30</v>
      </c>
      <c r="AL36" s="884">
        <f t="shared" si="13"/>
        <v>30</v>
      </c>
      <c r="AM36" s="925">
        <f t="shared" si="17"/>
        <v>0</v>
      </c>
    </row>
    <row r="37" spans="2:39" ht="12.75" customHeight="1" x14ac:dyDescent="0.2">
      <c r="B37" s="49"/>
      <c r="C37" s="69"/>
      <c r="D37" s="75"/>
      <c r="E37" s="75"/>
      <c r="F37" s="88"/>
      <c r="G37" s="290"/>
      <c r="H37" s="88"/>
      <c r="I37" s="99"/>
      <c r="J37" s="291"/>
      <c r="K37" s="971"/>
      <c r="L37" s="859"/>
      <c r="M37" s="859"/>
      <c r="N37" s="867" t="str">
        <f t="shared" si="14"/>
        <v/>
      </c>
      <c r="O37" s="867" t="str">
        <f t="shared" si="15"/>
        <v/>
      </c>
      <c r="P37" s="953" t="str">
        <f t="shared" si="0"/>
        <v/>
      </c>
      <c r="Q37" s="70"/>
      <c r="R37" s="739" t="str">
        <f t="shared" si="16"/>
        <v/>
      </c>
      <c r="S37" s="739" t="str">
        <f t="shared" si="1"/>
        <v/>
      </c>
      <c r="T37" s="740" t="str">
        <f t="shared" si="2"/>
        <v/>
      </c>
      <c r="U37" s="275"/>
      <c r="V37" s="293"/>
      <c r="W37" s="288"/>
      <c r="X37" s="288"/>
      <c r="Y37" s="908">
        <f t="shared" si="3"/>
        <v>0</v>
      </c>
      <c r="Z37" s="986">
        <f>tab!$D$62</f>
        <v>0.6</v>
      </c>
      <c r="AA37" s="944">
        <f t="shared" si="4"/>
        <v>0</v>
      </c>
      <c r="AB37" s="944">
        <f t="shared" si="5"/>
        <v>0</v>
      </c>
      <c r="AC37" s="944">
        <f t="shared" si="6"/>
        <v>0</v>
      </c>
      <c r="AD37" s="943" t="e">
        <f t="shared" si="7"/>
        <v>#VALUE!</v>
      </c>
      <c r="AE37" s="943">
        <f t="shared" si="8"/>
        <v>0</v>
      </c>
      <c r="AF37" s="916">
        <f>IF(H37&gt;8,tab!$D$63,tab!$D$65)</f>
        <v>0.4</v>
      </c>
      <c r="AG37" s="925">
        <f t="shared" si="9"/>
        <v>0</v>
      </c>
      <c r="AH37" s="940">
        <f t="shared" si="10"/>
        <v>0</v>
      </c>
      <c r="AI37" s="924" t="b">
        <f>DATE(YEAR(tab!$E$3),MONTH(G37),DAY(G37))&gt;tab!$E$3</f>
        <v>0</v>
      </c>
      <c r="AJ37" s="925">
        <f t="shared" si="11"/>
        <v>119</v>
      </c>
      <c r="AK37" s="884">
        <f t="shared" si="12"/>
        <v>30</v>
      </c>
      <c r="AL37" s="884">
        <f t="shared" si="13"/>
        <v>30</v>
      </c>
      <c r="AM37" s="925">
        <f t="shared" si="17"/>
        <v>0</v>
      </c>
    </row>
    <row r="38" spans="2:39" ht="12.75" customHeight="1" x14ac:dyDescent="0.2">
      <c r="B38" s="49"/>
      <c r="C38" s="69"/>
      <c r="D38" s="75"/>
      <c r="E38" s="75"/>
      <c r="F38" s="88"/>
      <c r="G38" s="290"/>
      <c r="H38" s="88"/>
      <c r="I38" s="99"/>
      <c r="J38" s="291"/>
      <c r="K38" s="971"/>
      <c r="L38" s="859"/>
      <c r="M38" s="859"/>
      <c r="N38" s="867" t="str">
        <f t="shared" si="14"/>
        <v/>
      </c>
      <c r="O38" s="867" t="str">
        <f t="shared" si="15"/>
        <v/>
      </c>
      <c r="P38" s="953" t="str">
        <f t="shared" si="0"/>
        <v/>
      </c>
      <c r="Q38" s="70"/>
      <c r="R38" s="739" t="str">
        <f t="shared" si="16"/>
        <v/>
      </c>
      <c r="S38" s="739" t="str">
        <f t="shared" si="1"/>
        <v/>
      </c>
      <c r="T38" s="740" t="str">
        <f t="shared" si="2"/>
        <v/>
      </c>
      <c r="U38" s="275"/>
      <c r="V38" s="293"/>
      <c r="W38" s="288"/>
      <c r="X38" s="288"/>
      <c r="Y38" s="908">
        <f t="shared" si="3"/>
        <v>0</v>
      </c>
      <c r="Z38" s="986">
        <f>tab!$D$62</f>
        <v>0.6</v>
      </c>
      <c r="AA38" s="944">
        <f t="shared" si="4"/>
        <v>0</v>
      </c>
      <c r="AB38" s="944">
        <f t="shared" si="5"/>
        <v>0</v>
      </c>
      <c r="AC38" s="944">
        <f t="shared" si="6"/>
        <v>0</v>
      </c>
      <c r="AD38" s="943" t="e">
        <f t="shared" si="7"/>
        <v>#VALUE!</v>
      </c>
      <c r="AE38" s="943">
        <f t="shared" si="8"/>
        <v>0</v>
      </c>
      <c r="AF38" s="916">
        <f>IF(H38&gt;8,tab!$D$63,tab!$D$65)</f>
        <v>0.4</v>
      </c>
      <c r="AG38" s="925">
        <f t="shared" si="9"/>
        <v>0</v>
      </c>
      <c r="AH38" s="940">
        <f t="shared" si="10"/>
        <v>0</v>
      </c>
      <c r="AI38" s="924" t="b">
        <f>DATE(YEAR(tab!$E$3),MONTH(G38),DAY(G38))&gt;tab!$E$3</f>
        <v>0</v>
      </c>
      <c r="AJ38" s="925">
        <f t="shared" si="11"/>
        <v>119</v>
      </c>
      <c r="AK38" s="884">
        <f t="shared" si="12"/>
        <v>30</v>
      </c>
      <c r="AL38" s="884">
        <f t="shared" si="13"/>
        <v>30</v>
      </c>
      <c r="AM38" s="925">
        <f t="shared" si="17"/>
        <v>0</v>
      </c>
    </row>
    <row r="39" spans="2:39" ht="12.75" customHeight="1" x14ac:dyDescent="0.2">
      <c r="B39" s="49"/>
      <c r="C39" s="69"/>
      <c r="D39" s="75"/>
      <c r="E39" s="75"/>
      <c r="F39" s="88"/>
      <c r="G39" s="290"/>
      <c r="H39" s="88"/>
      <c r="I39" s="99"/>
      <c r="J39" s="291"/>
      <c r="K39" s="971"/>
      <c r="L39" s="859"/>
      <c r="M39" s="859"/>
      <c r="N39" s="867" t="str">
        <f t="shared" si="14"/>
        <v/>
      </c>
      <c r="O39" s="867" t="str">
        <f t="shared" si="15"/>
        <v/>
      </c>
      <c r="P39" s="953" t="str">
        <f t="shared" si="0"/>
        <v/>
      </c>
      <c r="Q39" s="70"/>
      <c r="R39" s="739" t="str">
        <f t="shared" si="16"/>
        <v/>
      </c>
      <c r="S39" s="739" t="str">
        <f t="shared" si="1"/>
        <v/>
      </c>
      <c r="T39" s="740" t="str">
        <f t="shared" si="2"/>
        <v/>
      </c>
      <c r="U39" s="275"/>
      <c r="V39" s="293"/>
      <c r="W39" s="288"/>
      <c r="X39" s="288"/>
      <c r="Y39" s="908">
        <f t="shared" si="3"/>
        <v>0</v>
      </c>
      <c r="Z39" s="986">
        <f>tab!$D$62</f>
        <v>0.6</v>
      </c>
      <c r="AA39" s="944">
        <f t="shared" si="4"/>
        <v>0</v>
      </c>
      <c r="AB39" s="944">
        <f t="shared" si="5"/>
        <v>0</v>
      </c>
      <c r="AC39" s="944">
        <f t="shared" si="6"/>
        <v>0</v>
      </c>
      <c r="AD39" s="943" t="e">
        <f t="shared" si="7"/>
        <v>#VALUE!</v>
      </c>
      <c r="AE39" s="943">
        <f t="shared" si="8"/>
        <v>0</v>
      </c>
      <c r="AF39" s="916">
        <f>IF(H39&gt;8,tab!$D$63,tab!$D$65)</f>
        <v>0.4</v>
      </c>
      <c r="AG39" s="925">
        <f t="shared" si="9"/>
        <v>0</v>
      </c>
      <c r="AH39" s="940">
        <f t="shared" si="10"/>
        <v>0</v>
      </c>
      <c r="AI39" s="924" t="b">
        <f>DATE(YEAR(tab!$E$3),MONTH(G39),DAY(G39))&gt;tab!$E$3</f>
        <v>0</v>
      </c>
      <c r="AJ39" s="925">
        <f t="shared" si="11"/>
        <v>119</v>
      </c>
      <c r="AK39" s="884">
        <f t="shared" si="12"/>
        <v>30</v>
      </c>
      <c r="AL39" s="884">
        <f t="shared" si="13"/>
        <v>30</v>
      </c>
      <c r="AM39" s="925">
        <f t="shared" si="17"/>
        <v>0</v>
      </c>
    </row>
    <row r="40" spans="2:39" ht="12.75" customHeight="1" x14ac:dyDescent="0.2">
      <c r="B40" s="49"/>
      <c r="C40" s="69"/>
      <c r="D40" s="75"/>
      <c r="E40" s="75"/>
      <c r="F40" s="88"/>
      <c r="G40" s="290"/>
      <c r="H40" s="88"/>
      <c r="I40" s="99"/>
      <c r="J40" s="291"/>
      <c r="K40" s="971"/>
      <c r="L40" s="859"/>
      <c r="M40" s="859"/>
      <c r="N40" s="867" t="str">
        <f t="shared" si="14"/>
        <v/>
      </c>
      <c r="O40" s="867" t="str">
        <f t="shared" si="15"/>
        <v/>
      </c>
      <c r="P40" s="953" t="str">
        <f t="shared" si="0"/>
        <v/>
      </c>
      <c r="Q40" s="70"/>
      <c r="R40" s="739" t="str">
        <f t="shared" si="16"/>
        <v/>
      </c>
      <c r="S40" s="739" t="str">
        <f t="shared" si="1"/>
        <v/>
      </c>
      <c r="T40" s="740" t="str">
        <f t="shared" si="2"/>
        <v/>
      </c>
      <c r="U40" s="275"/>
      <c r="V40" s="293"/>
      <c r="W40" s="288"/>
      <c r="X40" s="288"/>
      <c r="Y40" s="908">
        <f t="shared" si="3"/>
        <v>0</v>
      </c>
      <c r="Z40" s="986">
        <f>tab!$D$62</f>
        <v>0.6</v>
      </c>
      <c r="AA40" s="944">
        <f t="shared" si="4"/>
        <v>0</v>
      </c>
      <c r="AB40" s="944">
        <f t="shared" si="5"/>
        <v>0</v>
      </c>
      <c r="AC40" s="944">
        <f t="shared" si="6"/>
        <v>0</v>
      </c>
      <c r="AD40" s="943" t="e">
        <f t="shared" si="7"/>
        <v>#VALUE!</v>
      </c>
      <c r="AE40" s="943">
        <f t="shared" si="8"/>
        <v>0</v>
      </c>
      <c r="AF40" s="916">
        <f>IF(H40&gt;8,tab!$D$63,tab!$D$65)</f>
        <v>0.4</v>
      </c>
      <c r="AG40" s="925">
        <f t="shared" si="9"/>
        <v>0</v>
      </c>
      <c r="AH40" s="940">
        <f t="shared" si="10"/>
        <v>0</v>
      </c>
      <c r="AI40" s="924" t="b">
        <f>DATE(YEAR(tab!$E$3),MONTH(G40),DAY(G40))&gt;tab!$E$3</f>
        <v>0</v>
      </c>
      <c r="AJ40" s="925">
        <f t="shared" si="11"/>
        <v>119</v>
      </c>
      <c r="AK40" s="884">
        <f t="shared" si="12"/>
        <v>30</v>
      </c>
      <c r="AL40" s="884">
        <f t="shared" si="13"/>
        <v>30</v>
      </c>
      <c r="AM40" s="925">
        <f t="shared" si="17"/>
        <v>0</v>
      </c>
    </row>
    <row r="41" spans="2:39" ht="12.75" customHeight="1" x14ac:dyDescent="0.2">
      <c r="B41" s="49"/>
      <c r="C41" s="69"/>
      <c r="D41" s="75"/>
      <c r="E41" s="75"/>
      <c r="F41" s="88"/>
      <c r="G41" s="290"/>
      <c r="H41" s="88"/>
      <c r="I41" s="99"/>
      <c r="J41" s="291"/>
      <c r="K41" s="971"/>
      <c r="L41" s="859"/>
      <c r="M41" s="859"/>
      <c r="N41" s="867" t="str">
        <f t="shared" si="14"/>
        <v/>
      </c>
      <c r="O41" s="867" t="str">
        <f t="shared" si="15"/>
        <v/>
      </c>
      <c r="P41" s="953" t="str">
        <f t="shared" si="0"/>
        <v/>
      </c>
      <c r="Q41" s="70"/>
      <c r="R41" s="739" t="str">
        <f t="shared" si="16"/>
        <v/>
      </c>
      <c r="S41" s="739" t="str">
        <f t="shared" si="1"/>
        <v/>
      </c>
      <c r="T41" s="740" t="str">
        <f t="shared" si="2"/>
        <v/>
      </c>
      <c r="U41" s="275"/>
      <c r="V41" s="293"/>
      <c r="W41" s="288"/>
      <c r="X41" s="288"/>
      <c r="Y41" s="908">
        <f t="shared" si="3"/>
        <v>0</v>
      </c>
      <c r="Z41" s="986">
        <f>tab!$D$62</f>
        <v>0.6</v>
      </c>
      <c r="AA41" s="944">
        <f t="shared" si="4"/>
        <v>0</v>
      </c>
      <c r="AB41" s="944">
        <f t="shared" si="5"/>
        <v>0</v>
      </c>
      <c r="AC41" s="944">
        <f t="shared" si="6"/>
        <v>0</v>
      </c>
      <c r="AD41" s="943" t="e">
        <f t="shared" si="7"/>
        <v>#VALUE!</v>
      </c>
      <c r="AE41" s="943">
        <f t="shared" si="8"/>
        <v>0</v>
      </c>
      <c r="AF41" s="916">
        <f>IF(H41&gt;8,tab!$D$63,tab!$D$65)</f>
        <v>0.4</v>
      </c>
      <c r="AG41" s="925">
        <f t="shared" si="9"/>
        <v>0</v>
      </c>
      <c r="AH41" s="940">
        <f t="shared" si="10"/>
        <v>0</v>
      </c>
      <c r="AI41" s="924" t="b">
        <f>DATE(YEAR(tab!$E$3),MONTH(G41),DAY(G41))&gt;tab!$E$3</f>
        <v>0</v>
      </c>
      <c r="AJ41" s="925">
        <f t="shared" si="11"/>
        <v>119</v>
      </c>
      <c r="AK41" s="884">
        <f t="shared" si="12"/>
        <v>30</v>
      </c>
      <c r="AL41" s="884">
        <f t="shared" si="13"/>
        <v>30</v>
      </c>
      <c r="AM41" s="925">
        <f t="shared" si="17"/>
        <v>0</v>
      </c>
    </row>
    <row r="42" spans="2:39" ht="12.75" customHeight="1" x14ac:dyDescent="0.2">
      <c r="B42" s="49"/>
      <c r="C42" s="69"/>
      <c r="D42" s="75"/>
      <c r="E42" s="75"/>
      <c r="F42" s="88"/>
      <c r="G42" s="290"/>
      <c r="H42" s="88"/>
      <c r="I42" s="99"/>
      <c r="J42" s="291"/>
      <c r="K42" s="971"/>
      <c r="L42" s="859"/>
      <c r="M42" s="859"/>
      <c r="N42" s="867" t="str">
        <f t="shared" si="14"/>
        <v/>
      </c>
      <c r="O42" s="867" t="str">
        <f t="shared" si="15"/>
        <v/>
      </c>
      <c r="P42" s="953" t="str">
        <f t="shared" si="0"/>
        <v/>
      </c>
      <c r="Q42" s="70"/>
      <c r="R42" s="739" t="str">
        <f t="shared" si="16"/>
        <v/>
      </c>
      <c r="S42" s="739" t="str">
        <f t="shared" si="1"/>
        <v/>
      </c>
      <c r="T42" s="740" t="str">
        <f t="shared" si="2"/>
        <v/>
      </c>
      <c r="U42" s="275"/>
      <c r="V42" s="293"/>
      <c r="W42" s="288"/>
      <c r="X42" s="288"/>
      <c r="Y42" s="908">
        <f t="shared" si="3"/>
        <v>0</v>
      </c>
      <c r="Z42" s="986">
        <f>tab!$D$62</f>
        <v>0.6</v>
      </c>
      <c r="AA42" s="944">
        <f t="shared" si="4"/>
        <v>0</v>
      </c>
      <c r="AB42" s="944">
        <f t="shared" si="5"/>
        <v>0</v>
      </c>
      <c r="AC42" s="944">
        <f t="shared" si="6"/>
        <v>0</v>
      </c>
      <c r="AD42" s="943" t="e">
        <f t="shared" si="7"/>
        <v>#VALUE!</v>
      </c>
      <c r="AE42" s="943">
        <f t="shared" si="8"/>
        <v>0</v>
      </c>
      <c r="AF42" s="916">
        <f>IF(H42&gt;8,tab!$D$63,tab!$D$65)</f>
        <v>0.4</v>
      </c>
      <c r="AG42" s="925">
        <f t="shared" si="9"/>
        <v>0</v>
      </c>
      <c r="AH42" s="940">
        <f t="shared" si="10"/>
        <v>0</v>
      </c>
      <c r="AI42" s="924" t="b">
        <f>DATE(YEAR(tab!$E$3),MONTH(G42),DAY(G42))&gt;tab!$E$3</f>
        <v>0</v>
      </c>
      <c r="AJ42" s="925">
        <f t="shared" si="11"/>
        <v>119</v>
      </c>
      <c r="AK42" s="884">
        <f t="shared" si="12"/>
        <v>30</v>
      </c>
      <c r="AL42" s="884">
        <f t="shared" si="13"/>
        <v>30</v>
      </c>
      <c r="AM42" s="925">
        <f t="shared" si="17"/>
        <v>0</v>
      </c>
    </row>
    <row r="43" spans="2:39" ht="12.75" customHeight="1" x14ac:dyDescent="0.2">
      <c r="B43" s="49"/>
      <c r="C43" s="69"/>
      <c r="D43" s="75"/>
      <c r="E43" s="75"/>
      <c r="F43" s="88"/>
      <c r="G43" s="290"/>
      <c r="H43" s="88"/>
      <c r="I43" s="99"/>
      <c r="J43" s="291"/>
      <c r="K43" s="971"/>
      <c r="L43" s="859"/>
      <c r="M43" s="859"/>
      <c r="N43" s="867" t="str">
        <f t="shared" si="14"/>
        <v/>
      </c>
      <c r="O43" s="867" t="str">
        <f t="shared" si="15"/>
        <v/>
      </c>
      <c r="P43" s="953" t="str">
        <f t="shared" si="0"/>
        <v/>
      </c>
      <c r="Q43" s="70"/>
      <c r="R43" s="739" t="str">
        <f t="shared" si="16"/>
        <v/>
      </c>
      <c r="S43" s="739" t="str">
        <f t="shared" si="1"/>
        <v/>
      </c>
      <c r="T43" s="740" t="str">
        <f t="shared" si="2"/>
        <v/>
      </c>
      <c r="U43" s="275"/>
      <c r="V43" s="293"/>
      <c r="W43" s="288"/>
      <c r="X43" s="288"/>
      <c r="Y43" s="908">
        <f t="shared" si="3"/>
        <v>0</v>
      </c>
      <c r="Z43" s="986">
        <f>tab!$D$62</f>
        <v>0.6</v>
      </c>
      <c r="AA43" s="944">
        <f t="shared" si="4"/>
        <v>0</v>
      </c>
      <c r="AB43" s="944">
        <f t="shared" si="5"/>
        <v>0</v>
      </c>
      <c r="AC43" s="944">
        <f t="shared" si="6"/>
        <v>0</v>
      </c>
      <c r="AD43" s="943" t="e">
        <f t="shared" si="7"/>
        <v>#VALUE!</v>
      </c>
      <c r="AE43" s="943">
        <f t="shared" si="8"/>
        <v>0</v>
      </c>
      <c r="AF43" s="916">
        <f>IF(H43&gt;8,tab!$D$63,tab!$D$65)</f>
        <v>0.4</v>
      </c>
      <c r="AG43" s="925">
        <f t="shared" si="9"/>
        <v>0</v>
      </c>
      <c r="AH43" s="940">
        <f t="shared" si="10"/>
        <v>0</v>
      </c>
      <c r="AI43" s="924" t="b">
        <f>DATE(YEAR(tab!$E$3),MONTH(G43),DAY(G43))&gt;tab!$E$3</f>
        <v>0</v>
      </c>
      <c r="AJ43" s="925">
        <f t="shared" si="11"/>
        <v>119</v>
      </c>
      <c r="AK43" s="884">
        <f t="shared" si="12"/>
        <v>30</v>
      </c>
      <c r="AL43" s="884">
        <f t="shared" si="13"/>
        <v>30</v>
      </c>
      <c r="AM43" s="925">
        <f t="shared" si="17"/>
        <v>0</v>
      </c>
    </row>
    <row r="44" spans="2:39" ht="12.75" customHeight="1" x14ac:dyDescent="0.2">
      <c r="B44" s="49"/>
      <c r="C44" s="69"/>
      <c r="D44" s="75"/>
      <c r="E44" s="75"/>
      <c r="F44" s="88"/>
      <c r="G44" s="290"/>
      <c r="H44" s="88"/>
      <c r="I44" s="99"/>
      <c r="J44" s="291"/>
      <c r="K44" s="971"/>
      <c r="L44" s="859"/>
      <c r="M44" s="859"/>
      <c r="N44" s="867" t="str">
        <f t="shared" si="14"/>
        <v/>
      </c>
      <c r="O44" s="867" t="str">
        <f t="shared" si="15"/>
        <v/>
      </c>
      <c r="P44" s="953" t="str">
        <f t="shared" si="0"/>
        <v/>
      </c>
      <c r="Q44" s="70"/>
      <c r="R44" s="739" t="str">
        <f t="shared" si="16"/>
        <v/>
      </c>
      <c r="S44" s="739" t="str">
        <f t="shared" si="1"/>
        <v/>
      </c>
      <c r="T44" s="740" t="str">
        <f t="shared" si="2"/>
        <v/>
      </c>
      <c r="U44" s="275"/>
      <c r="V44" s="293"/>
      <c r="W44" s="288"/>
      <c r="X44" s="288"/>
      <c r="Y44" s="908">
        <f t="shared" si="3"/>
        <v>0</v>
      </c>
      <c r="Z44" s="986">
        <f>tab!$D$62</f>
        <v>0.6</v>
      </c>
      <c r="AA44" s="944">
        <f t="shared" si="4"/>
        <v>0</v>
      </c>
      <c r="AB44" s="944">
        <f t="shared" si="5"/>
        <v>0</v>
      </c>
      <c r="AC44" s="944">
        <f t="shared" si="6"/>
        <v>0</v>
      </c>
      <c r="AD44" s="943" t="e">
        <f t="shared" si="7"/>
        <v>#VALUE!</v>
      </c>
      <c r="AE44" s="943">
        <f t="shared" si="8"/>
        <v>0</v>
      </c>
      <c r="AF44" s="916">
        <f>IF(H44&gt;8,tab!$D$63,tab!$D$65)</f>
        <v>0.4</v>
      </c>
      <c r="AG44" s="925">
        <f t="shared" si="9"/>
        <v>0</v>
      </c>
      <c r="AH44" s="940">
        <f t="shared" si="10"/>
        <v>0</v>
      </c>
      <c r="AI44" s="924" t="b">
        <f>DATE(YEAR(tab!$E$3),MONTH(G44),DAY(G44))&gt;tab!$E$3</f>
        <v>0</v>
      </c>
      <c r="AJ44" s="925">
        <f t="shared" si="11"/>
        <v>119</v>
      </c>
      <c r="AK44" s="884">
        <f t="shared" si="12"/>
        <v>30</v>
      </c>
      <c r="AL44" s="884">
        <f t="shared" si="13"/>
        <v>30</v>
      </c>
      <c r="AM44" s="925">
        <f t="shared" si="17"/>
        <v>0</v>
      </c>
    </row>
    <row r="45" spans="2:39" ht="12.75" customHeight="1" x14ac:dyDescent="0.2">
      <c r="B45" s="49"/>
      <c r="C45" s="69"/>
      <c r="D45" s="75"/>
      <c r="E45" s="75"/>
      <c r="F45" s="88"/>
      <c r="G45" s="290"/>
      <c r="H45" s="88"/>
      <c r="I45" s="99"/>
      <c r="J45" s="291"/>
      <c r="K45" s="971"/>
      <c r="L45" s="859"/>
      <c r="M45" s="859"/>
      <c r="N45" s="867" t="str">
        <f t="shared" si="14"/>
        <v/>
      </c>
      <c r="O45" s="867" t="str">
        <f t="shared" si="15"/>
        <v/>
      </c>
      <c r="P45" s="953" t="str">
        <f t="shared" si="0"/>
        <v/>
      </c>
      <c r="Q45" s="70"/>
      <c r="R45" s="739" t="str">
        <f t="shared" si="16"/>
        <v/>
      </c>
      <c r="S45" s="739" t="str">
        <f t="shared" si="1"/>
        <v/>
      </c>
      <c r="T45" s="740" t="str">
        <f t="shared" si="2"/>
        <v/>
      </c>
      <c r="U45" s="275"/>
      <c r="V45" s="293"/>
      <c r="W45" s="288"/>
      <c r="X45" s="288"/>
      <c r="Y45" s="908">
        <f t="shared" si="3"/>
        <v>0</v>
      </c>
      <c r="Z45" s="986">
        <f>tab!$D$62</f>
        <v>0.6</v>
      </c>
      <c r="AA45" s="944">
        <f t="shared" si="4"/>
        <v>0</v>
      </c>
      <c r="AB45" s="944">
        <f t="shared" si="5"/>
        <v>0</v>
      </c>
      <c r="AC45" s="944">
        <f t="shared" si="6"/>
        <v>0</v>
      </c>
      <c r="AD45" s="943" t="e">
        <f t="shared" si="7"/>
        <v>#VALUE!</v>
      </c>
      <c r="AE45" s="943">
        <f t="shared" si="8"/>
        <v>0</v>
      </c>
      <c r="AF45" s="916">
        <f>IF(H45&gt;8,tab!$D$63,tab!$D$65)</f>
        <v>0.4</v>
      </c>
      <c r="AG45" s="925">
        <f t="shared" si="9"/>
        <v>0</v>
      </c>
      <c r="AH45" s="940">
        <f t="shared" si="10"/>
        <v>0</v>
      </c>
      <c r="AI45" s="924" t="b">
        <f>DATE(YEAR(tab!$E$3),MONTH(G45),DAY(G45))&gt;tab!$E$3</f>
        <v>0</v>
      </c>
      <c r="AJ45" s="925">
        <f t="shared" si="11"/>
        <v>119</v>
      </c>
      <c r="AK45" s="884">
        <f t="shared" si="12"/>
        <v>30</v>
      </c>
      <c r="AL45" s="884">
        <f t="shared" si="13"/>
        <v>30</v>
      </c>
      <c r="AM45" s="925">
        <f t="shared" si="17"/>
        <v>0</v>
      </c>
    </row>
    <row r="46" spans="2:39" ht="12.75" customHeight="1" x14ac:dyDescent="0.2">
      <c r="B46" s="49"/>
      <c r="C46" s="69"/>
      <c r="D46" s="75"/>
      <c r="E46" s="75"/>
      <c r="F46" s="88"/>
      <c r="G46" s="290"/>
      <c r="H46" s="88"/>
      <c r="I46" s="99"/>
      <c r="J46" s="291"/>
      <c r="K46" s="971"/>
      <c r="L46" s="859"/>
      <c r="M46" s="859"/>
      <c r="N46" s="867" t="str">
        <f t="shared" si="14"/>
        <v/>
      </c>
      <c r="O46" s="867" t="str">
        <f t="shared" si="15"/>
        <v/>
      </c>
      <c r="P46" s="953" t="str">
        <f t="shared" si="0"/>
        <v/>
      </c>
      <c r="Q46" s="70"/>
      <c r="R46" s="739" t="str">
        <f t="shared" si="16"/>
        <v/>
      </c>
      <c r="S46" s="739" t="str">
        <f t="shared" si="1"/>
        <v/>
      </c>
      <c r="T46" s="740" t="str">
        <f t="shared" si="2"/>
        <v/>
      </c>
      <c r="U46" s="275"/>
      <c r="V46" s="293"/>
      <c r="W46" s="288"/>
      <c r="X46" s="288"/>
      <c r="Y46" s="908">
        <f t="shared" si="3"/>
        <v>0</v>
      </c>
      <c r="Z46" s="986">
        <f>tab!$D$62</f>
        <v>0.6</v>
      </c>
      <c r="AA46" s="944">
        <f t="shared" si="4"/>
        <v>0</v>
      </c>
      <c r="AB46" s="944">
        <f t="shared" si="5"/>
        <v>0</v>
      </c>
      <c r="AC46" s="944">
        <f t="shared" si="6"/>
        <v>0</v>
      </c>
      <c r="AD46" s="943" t="e">
        <f t="shared" si="7"/>
        <v>#VALUE!</v>
      </c>
      <c r="AE46" s="943">
        <f t="shared" si="8"/>
        <v>0</v>
      </c>
      <c r="AF46" s="916">
        <f>IF(H46&gt;8,tab!$D$63,tab!$D$65)</f>
        <v>0.4</v>
      </c>
      <c r="AG46" s="925">
        <f t="shared" si="9"/>
        <v>0</v>
      </c>
      <c r="AH46" s="940">
        <f t="shared" si="10"/>
        <v>0</v>
      </c>
      <c r="AI46" s="924" t="b">
        <f>DATE(YEAR(tab!$E$3),MONTH(G46),DAY(G46))&gt;tab!$E$3</f>
        <v>0</v>
      </c>
      <c r="AJ46" s="925">
        <f t="shared" si="11"/>
        <v>119</v>
      </c>
      <c r="AK46" s="884">
        <f t="shared" si="12"/>
        <v>30</v>
      </c>
      <c r="AL46" s="884">
        <f t="shared" si="13"/>
        <v>30</v>
      </c>
      <c r="AM46" s="925">
        <f t="shared" si="17"/>
        <v>0</v>
      </c>
    </row>
    <row r="47" spans="2:39" ht="12.75" customHeight="1" x14ac:dyDescent="0.2">
      <c r="B47" s="49"/>
      <c r="C47" s="69"/>
      <c r="D47" s="75"/>
      <c r="E47" s="75"/>
      <c r="F47" s="88"/>
      <c r="G47" s="290"/>
      <c r="H47" s="88"/>
      <c r="I47" s="99"/>
      <c r="J47" s="291"/>
      <c r="K47" s="971"/>
      <c r="L47" s="859"/>
      <c r="M47" s="859"/>
      <c r="N47" s="867" t="str">
        <f t="shared" si="14"/>
        <v/>
      </c>
      <c r="O47" s="867" t="str">
        <f t="shared" si="15"/>
        <v/>
      </c>
      <c r="P47" s="953" t="str">
        <f t="shared" si="0"/>
        <v/>
      </c>
      <c r="Q47" s="70"/>
      <c r="R47" s="739" t="str">
        <f t="shared" si="16"/>
        <v/>
      </c>
      <c r="S47" s="739" t="str">
        <f t="shared" si="1"/>
        <v/>
      </c>
      <c r="T47" s="740" t="str">
        <f t="shared" si="2"/>
        <v/>
      </c>
      <c r="U47" s="275"/>
      <c r="V47" s="293"/>
      <c r="W47" s="288"/>
      <c r="X47" s="288"/>
      <c r="Y47" s="908">
        <f t="shared" si="3"/>
        <v>0</v>
      </c>
      <c r="Z47" s="986">
        <f>tab!$D$62</f>
        <v>0.6</v>
      </c>
      <c r="AA47" s="944">
        <f t="shared" si="4"/>
        <v>0</v>
      </c>
      <c r="AB47" s="944">
        <f t="shared" si="5"/>
        <v>0</v>
      </c>
      <c r="AC47" s="944">
        <f t="shared" si="6"/>
        <v>0</v>
      </c>
      <c r="AD47" s="943" t="e">
        <f t="shared" si="7"/>
        <v>#VALUE!</v>
      </c>
      <c r="AE47" s="943">
        <f t="shared" si="8"/>
        <v>0</v>
      </c>
      <c r="AF47" s="916">
        <f>IF(H47&gt;8,tab!$D$63,tab!$D$65)</f>
        <v>0.4</v>
      </c>
      <c r="AG47" s="925">
        <f t="shared" si="9"/>
        <v>0</v>
      </c>
      <c r="AH47" s="940">
        <f t="shared" si="10"/>
        <v>0</v>
      </c>
      <c r="AI47" s="924" t="b">
        <f>DATE(YEAR(tab!$E$3),MONTH(G47),DAY(G47))&gt;tab!$E$3</f>
        <v>0</v>
      </c>
      <c r="AJ47" s="925">
        <f t="shared" si="11"/>
        <v>119</v>
      </c>
      <c r="AK47" s="884">
        <f t="shared" si="12"/>
        <v>30</v>
      </c>
      <c r="AL47" s="884">
        <f t="shared" si="13"/>
        <v>30</v>
      </c>
      <c r="AM47" s="925">
        <f t="shared" si="17"/>
        <v>0</v>
      </c>
    </row>
    <row r="48" spans="2:39" ht="12.75" customHeight="1" x14ac:dyDescent="0.2">
      <c r="B48" s="49"/>
      <c r="C48" s="69"/>
      <c r="D48" s="75"/>
      <c r="E48" s="75"/>
      <c r="F48" s="88"/>
      <c r="G48" s="290"/>
      <c r="H48" s="88"/>
      <c r="I48" s="99"/>
      <c r="J48" s="291"/>
      <c r="K48" s="971"/>
      <c r="L48" s="859"/>
      <c r="M48" s="859"/>
      <c r="N48" s="867" t="str">
        <f t="shared" si="14"/>
        <v/>
      </c>
      <c r="O48" s="867" t="str">
        <f t="shared" si="15"/>
        <v/>
      </c>
      <c r="P48" s="953" t="str">
        <f t="shared" si="0"/>
        <v/>
      </c>
      <c r="Q48" s="70"/>
      <c r="R48" s="739" t="str">
        <f t="shared" si="16"/>
        <v/>
      </c>
      <c r="S48" s="739" t="str">
        <f t="shared" si="1"/>
        <v/>
      </c>
      <c r="T48" s="740" t="str">
        <f t="shared" si="2"/>
        <v/>
      </c>
      <c r="U48" s="275"/>
      <c r="V48" s="293"/>
      <c r="W48" s="288"/>
      <c r="X48" s="288"/>
      <c r="Y48" s="908">
        <f t="shared" ref="Y48:Y70" si="18">IF(H48="",0,5/12*VLOOKUP(H48,salaris2019,I48+1,FALSE)+7/12*VLOOKUP(H48,salaris2020,I48+1,FALSE))</f>
        <v>0</v>
      </c>
      <c r="Z48" s="986">
        <f>tab!$D$62</f>
        <v>0.6</v>
      </c>
      <c r="AA48" s="944">
        <f t="shared" si="4"/>
        <v>0</v>
      </c>
      <c r="AB48" s="944">
        <f t="shared" si="5"/>
        <v>0</v>
      </c>
      <c r="AC48" s="944">
        <f t="shared" si="6"/>
        <v>0</v>
      </c>
      <c r="AD48" s="943" t="e">
        <f t="shared" si="7"/>
        <v>#VALUE!</v>
      </c>
      <c r="AE48" s="943">
        <f t="shared" si="8"/>
        <v>0</v>
      </c>
      <c r="AF48" s="916">
        <f>IF(H48&gt;8,tab!$D$63,tab!$D$65)</f>
        <v>0.4</v>
      </c>
      <c r="AG48" s="925">
        <f t="shared" ref="AG48:AG70" si="19">IF(F48&lt;25,0,IF(F48=25,25,IF(F48&lt;40,0,IF(F48=40,40,IF(F48&gt;=40,0)))))</f>
        <v>0</v>
      </c>
      <c r="AH48" s="940">
        <f t="shared" ref="AH48:AH70" si="20">IF(AG48=25,(Y48*1.08*(J48)/2),IF(AG48=40,(Y48*1.08*(J48)),IF(AG48=0,0)))</f>
        <v>0</v>
      </c>
      <c r="AI48" s="924" t="b">
        <f>DATE(YEAR(tab!$E$3),MONTH(G48),DAY(G48))&gt;tab!$E$3</f>
        <v>0</v>
      </c>
      <c r="AJ48" s="925">
        <f t="shared" ref="AJ48:AJ70" si="21">YEAR($E$9)-YEAR(G48)-AI48</f>
        <v>119</v>
      </c>
      <c r="AK48" s="884">
        <f t="shared" ref="AK48:AK70" si="22">IF((G48=""),30,AJ48)</f>
        <v>30</v>
      </c>
      <c r="AL48" s="884">
        <f t="shared" si="13"/>
        <v>30</v>
      </c>
      <c r="AM48" s="925">
        <f t="shared" si="17"/>
        <v>0</v>
      </c>
    </row>
    <row r="49" spans="2:39" ht="12.75" customHeight="1" x14ac:dyDescent="0.2">
      <c r="B49" s="49"/>
      <c r="C49" s="69"/>
      <c r="D49" s="75"/>
      <c r="E49" s="75"/>
      <c r="F49" s="88"/>
      <c r="G49" s="290"/>
      <c r="H49" s="88"/>
      <c r="I49" s="99"/>
      <c r="J49" s="291"/>
      <c r="K49" s="971"/>
      <c r="L49" s="859"/>
      <c r="M49" s="859"/>
      <c r="N49" s="867" t="str">
        <f t="shared" si="14"/>
        <v/>
      </c>
      <c r="O49" s="867" t="str">
        <f t="shared" si="15"/>
        <v/>
      </c>
      <c r="P49" s="953" t="str">
        <f t="shared" si="0"/>
        <v/>
      </c>
      <c r="Q49" s="70"/>
      <c r="R49" s="739" t="str">
        <f t="shared" si="16"/>
        <v/>
      </c>
      <c r="S49" s="739" t="str">
        <f t="shared" si="1"/>
        <v/>
      </c>
      <c r="T49" s="740" t="str">
        <f t="shared" si="2"/>
        <v/>
      </c>
      <c r="U49" s="275"/>
      <c r="V49" s="293"/>
      <c r="W49" s="288"/>
      <c r="X49" s="288"/>
      <c r="Y49" s="908">
        <f t="shared" si="18"/>
        <v>0</v>
      </c>
      <c r="Z49" s="986">
        <f>tab!$D$62</f>
        <v>0.6</v>
      </c>
      <c r="AA49" s="944">
        <f t="shared" si="4"/>
        <v>0</v>
      </c>
      <c r="AB49" s="944">
        <f t="shared" si="5"/>
        <v>0</v>
      </c>
      <c r="AC49" s="944">
        <f t="shared" si="6"/>
        <v>0</v>
      </c>
      <c r="AD49" s="943" t="e">
        <f t="shared" si="7"/>
        <v>#VALUE!</v>
      </c>
      <c r="AE49" s="943">
        <f t="shared" si="8"/>
        <v>0</v>
      </c>
      <c r="AF49" s="916">
        <f>IF(H49&gt;8,tab!$D$63,tab!$D$65)</f>
        <v>0.4</v>
      </c>
      <c r="AG49" s="925">
        <f t="shared" si="19"/>
        <v>0</v>
      </c>
      <c r="AH49" s="940">
        <f t="shared" si="20"/>
        <v>0</v>
      </c>
      <c r="AI49" s="924" t="b">
        <f>DATE(YEAR(tab!$E$3),MONTH(G49),DAY(G49))&gt;tab!$E$3</f>
        <v>0</v>
      </c>
      <c r="AJ49" s="925">
        <f t="shared" si="21"/>
        <v>119</v>
      </c>
      <c r="AK49" s="884">
        <f t="shared" si="22"/>
        <v>30</v>
      </c>
      <c r="AL49" s="884">
        <f t="shared" si="13"/>
        <v>30</v>
      </c>
      <c r="AM49" s="925">
        <f t="shared" si="17"/>
        <v>0</v>
      </c>
    </row>
    <row r="50" spans="2:39" ht="12.75" customHeight="1" x14ac:dyDescent="0.2">
      <c r="B50" s="49"/>
      <c r="C50" s="69"/>
      <c r="D50" s="75"/>
      <c r="E50" s="75"/>
      <c r="F50" s="88"/>
      <c r="G50" s="290"/>
      <c r="H50" s="88"/>
      <c r="I50" s="99"/>
      <c r="J50" s="291"/>
      <c r="K50" s="971"/>
      <c r="L50" s="859"/>
      <c r="M50" s="859"/>
      <c r="N50" s="867" t="str">
        <f t="shared" si="14"/>
        <v/>
      </c>
      <c r="O50" s="867" t="str">
        <f t="shared" si="15"/>
        <v/>
      </c>
      <c r="P50" s="953" t="str">
        <f t="shared" si="0"/>
        <v/>
      </c>
      <c r="Q50" s="70"/>
      <c r="R50" s="739" t="str">
        <f t="shared" si="16"/>
        <v/>
      </c>
      <c r="S50" s="739" t="str">
        <f t="shared" si="1"/>
        <v/>
      </c>
      <c r="T50" s="740" t="str">
        <f t="shared" si="2"/>
        <v/>
      </c>
      <c r="U50" s="275"/>
      <c r="V50" s="293"/>
      <c r="W50" s="288"/>
      <c r="X50" s="288"/>
      <c r="Y50" s="908">
        <f t="shared" si="18"/>
        <v>0</v>
      </c>
      <c r="Z50" s="986">
        <f>tab!$D$62</f>
        <v>0.6</v>
      </c>
      <c r="AA50" s="944">
        <f t="shared" si="4"/>
        <v>0</v>
      </c>
      <c r="AB50" s="944">
        <f t="shared" si="5"/>
        <v>0</v>
      </c>
      <c r="AC50" s="944">
        <f t="shared" si="6"/>
        <v>0</v>
      </c>
      <c r="AD50" s="943" t="e">
        <f t="shared" si="7"/>
        <v>#VALUE!</v>
      </c>
      <c r="AE50" s="943">
        <f t="shared" si="8"/>
        <v>0</v>
      </c>
      <c r="AF50" s="916">
        <f>IF(H50&gt;8,tab!$D$63,tab!$D$65)</f>
        <v>0.4</v>
      </c>
      <c r="AG50" s="925">
        <f t="shared" si="19"/>
        <v>0</v>
      </c>
      <c r="AH50" s="940">
        <f t="shared" si="20"/>
        <v>0</v>
      </c>
      <c r="AI50" s="924" t="b">
        <f>DATE(YEAR(tab!$E$3),MONTH(G50),DAY(G50))&gt;tab!$E$3</f>
        <v>0</v>
      </c>
      <c r="AJ50" s="925">
        <f t="shared" si="21"/>
        <v>119</v>
      </c>
      <c r="AK50" s="884">
        <f t="shared" si="22"/>
        <v>30</v>
      </c>
      <c r="AL50" s="884">
        <f t="shared" si="13"/>
        <v>30</v>
      </c>
      <c r="AM50" s="925">
        <f t="shared" si="17"/>
        <v>0</v>
      </c>
    </row>
    <row r="51" spans="2:39" ht="12.75" customHeight="1" x14ac:dyDescent="0.2">
      <c r="B51" s="49"/>
      <c r="C51" s="69"/>
      <c r="D51" s="75"/>
      <c r="E51" s="75"/>
      <c r="F51" s="88"/>
      <c r="G51" s="290"/>
      <c r="H51" s="88"/>
      <c r="I51" s="99"/>
      <c r="J51" s="291"/>
      <c r="K51" s="971"/>
      <c r="L51" s="859"/>
      <c r="M51" s="859"/>
      <c r="N51" s="867" t="str">
        <f t="shared" si="14"/>
        <v/>
      </c>
      <c r="O51" s="867" t="str">
        <f t="shared" si="15"/>
        <v/>
      </c>
      <c r="P51" s="953" t="str">
        <f t="shared" si="0"/>
        <v/>
      </c>
      <c r="Q51" s="70"/>
      <c r="R51" s="739" t="str">
        <f t="shared" si="16"/>
        <v/>
      </c>
      <c r="S51" s="739" t="str">
        <f t="shared" si="1"/>
        <v/>
      </c>
      <c r="T51" s="740" t="str">
        <f t="shared" si="2"/>
        <v/>
      </c>
      <c r="U51" s="275"/>
      <c r="V51" s="293"/>
      <c r="W51" s="288"/>
      <c r="X51" s="288"/>
      <c r="Y51" s="908">
        <f t="shared" si="18"/>
        <v>0</v>
      </c>
      <c r="Z51" s="986">
        <f>tab!$D$62</f>
        <v>0.6</v>
      </c>
      <c r="AA51" s="944">
        <f t="shared" si="4"/>
        <v>0</v>
      </c>
      <c r="AB51" s="944">
        <f t="shared" si="5"/>
        <v>0</v>
      </c>
      <c r="AC51" s="944">
        <f t="shared" si="6"/>
        <v>0</v>
      </c>
      <c r="AD51" s="943" t="e">
        <f t="shared" si="7"/>
        <v>#VALUE!</v>
      </c>
      <c r="AE51" s="943">
        <f t="shared" si="8"/>
        <v>0</v>
      </c>
      <c r="AF51" s="916">
        <f>IF(H51&gt;8,tab!$D$63,tab!$D$65)</f>
        <v>0.4</v>
      </c>
      <c r="AG51" s="925">
        <f t="shared" si="19"/>
        <v>0</v>
      </c>
      <c r="AH51" s="940">
        <f t="shared" si="20"/>
        <v>0</v>
      </c>
      <c r="AI51" s="924" t="b">
        <f>DATE(YEAR(tab!$E$3),MONTH(G51),DAY(G51))&gt;tab!$E$3</f>
        <v>0</v>
      </c>
      <c r="AJ51" s="925">
        <f t="shared" si="21"/>
        <v>119</v>
      </c>
      <c r="AK51" s="884">
        <f t="shared" si="22"/>
        <v>30</v>
      </c>
      <c r="AL51" s="884">
        <f t="shared" si="13"/>
        <v>30</v>
      </c>
      <c r="AM51" s="925">
        <f t="shared" si="17"/>
        <v>0</v>
      </c>
    </row>
    <row r="52" spans="2:39" ht="12.75" customHeight="1" x14ac:dyDescent="0.2">
      <c r="B52" s="49"/>
      <c r="C52" s="69"/>
      <c r="D52" s="75"/>
      <c r="E52" s="75"/>
      <c r="F52" s="88"/>
      <c r="G52" s="290"/>
      <c r="H52" s="88"/>
      <c r="I52" s="99"/>
      <c r="J52" s="291"/>
      <c r="K52" s="971"/>
      <c r="L52" s="859"/>
      <c r="M52" s="859"/>
      <c r="N52" s="867" t="str">
        <f t="shared" si="14"/>
        <v/>
      </c>
      <c r="O52" s="867" t="str">
        <f t="shared" si="15"/>
        <v/>
      </c>
      <c r="P52" s="953" t="str">
        <f t="shared" si="0"/>
        <v/>
      </c>
      <c r="Q52" s="70"/>
      <c r="R52" s="739" t="str">
        <f t="shared" si="16"/>
        <v/>
      </c>
      <c r="S52" s="739" t="str">
        <f t="shared" si="1"/>
        <v/>
      </c>
      <c r="T52" s="740" t="str">
        <f t="shared" si="2"/>
        <v/>
      </c>
      <c r="U52" s="275"/>
      <c r="V52" s="293"/>
      <c r="W52" s="288"/>
      <c r="X52" s="288"/>
      <c r="Y52" s="908">
        <f t="shared" si="18"/>
        <v>0</v>
      </c>
      <c r="Z52" s="986">
        <f>tab!$D$62</f>
        <v>0.6</v>
      </c>
      <c r="AA52" s="944">
        <f t="shared" si="4"/>
        <v>0</v>
      </c>
      <c r="AB52" s="944">
        <f t="shared" si="5"/>
        <v>0</v>
      </c>
      <c r="AC52" s="944">
        <f t="shared" si="6"/>
        <v>0</v>
      </c>
      <c r="AD52" s="943" t="e">
        <f t="shared" si="7"/>
        <v>#VALUE!</v>
      </c>
      <c r="AE52" s="943">
        <f t="shared" si="8"/>
        <v>0</v>
      </c>
      <c r="AF52" s="916">
        <f>IF(H52&gt;8,tab!$D$63,tab!$D$65)</f>
        <v>0.4</v>
      </c>
      <c r="AG52" s="925">
        <f t="shared" si="19"/>
        <v>0</v>
      </c>
      <c r="AH52" s="940">
        <f t="shared" si="20"/>
        <v>0</v>
      </c>
      <c r="AI52" s="924" t="b">
        <f>DATE(YEAR(tab!$E$3),MONTH(G52),DAY(G52))&gt;tab!$E$3</f>
        <v>0</v>
      </c>
      <c r="AJ52" s="925">
        <f t="shared" si="21"/>
        <v>119</v>
      </c>
      <c r="AK52" s="884">
        <f t="shared" si="22"/>
        <v>30</v>
      </c>
      <c r="AL52" s="884">
        <f t="shared" si="13"/>
        <v>30</v>
      </c>
      <c r="AM52" s="925">
        <f t="shared" si="17"/>
        <v>0</v>
      </c>
    </row>
    <row r="53" spans="2:39" ht="12.75" customHeight="1" x14ac:dyDescent="0.2">
      <c r="B53" s="49"/>
      <c r="C53" s="69"/>
      <c r="D53" s="75"/>
      <c r="E53" s="75"/>
      <c r="F53" s="88"/>
      <c r="G53" s="290"/>
      <c r="H53" s="88"/>
      <c r="I53" s="99"/>
      <c r="J53" s="291"/>
      <c r="K53" s="971"/>
      <c r="L53" s="859"/>
      <c r="M53" s="859"/>
      <c r="N53" s="867" t="str">
        <f t="shared" si="14"/>
        <v/>
      </c>
      <c r="O53" s="867" t="str">
        <f t="shared" si="15"/>
        <v/>
      </c>
      <c r="P53" s="953" t="str">
        <f t="shared" si="0"/>
        <v/>
      </c>
      <c r="Q53" s="70"/>
      <c r="R53" s="739" t="str">
        <f t="shared" si="16"/>
        <v/>
      </c>
      <c r="S53" s="739" t="str">
        <f t="shared" si="1"/>
        <v/>
      </c>
      <c r="T53" s="740" t="str">
        <f t="shared" si="2"/>
        <v/>
      </c>
      <c r="U53" s="275"/>
      <c r="V53" s="293"/>
      <c r="W53" s="288"/>
      <c r="X53" s="288"/>
      <c r="Y53" s="908">
        <f t="shared" si="18"/>
        <v>0</v>
      </c>
      <c r="Z53" s="986">
        <f>tab!$D$62</f>
        <v>0.6</v>
      </c>
      <c r="AA53" s="944">
        <f t="shared" si="4"/>
        <v>0</v>
      </c>
      <c r="AB53" s="944">
        <f t="shared" si="5"/>
        <v>0</v>
      </c>
      <c r="AC53" s="944">
        <f t="shared" si="6"/>
        <v>0</v>
      </c>
      <c r="AD53" s="943" t="e">
        <f t="shared" si="7"/>
        <v>#VALUE!</v>
      </c>
      <c r="AE53" s="943">
        <f t="shared" si="8"/>
        <v>0</v>
      </c>
      <c r="AF53" s="916">
        <f>IF(H53&gt;8,tab!$D$63,tab!$D$65)</f>
        <v>0.4</v>
      </c>
      <c r="AG53" s="925">
        <f t="shared" si="19"/>
        <v>0</v>
      </c>
      <c r="AH53" s="940">
        <f t="shared" si="20"/>
        <v>0</v>
      </c>
      <c r="AI53" s="924" t="b">
        <f>DATE(YEAR(tab!$E$3),MONTH(G53),DAY(G53))&gt;tab!$E$3</f>
        <v>0</v>
      </c>
      <c r="AJ53" s="925">
        <f t="shared" si="21"/>
        <v>119</v>
      </c>
      <c r="AK53" s="884">
        <f t="shared" si="22"/>
        <v>30</v>
      </c>
      <c r="AL53" s="884">
        <f t="shared" si="13"/>
        <v>30</v>
      </c>
      <c r="AM53" s="925">
        <f t="shared" si="17"/>
        <v>0</v>
      </c>
    </row>
    <row r="54" spans="2:39" ht="12.75" customHeight="1" x14ac:dyDescent="0.2">
      <c r="B54" s="49"/>
      <c r="C54" s="69"/>
      <c r="D54" s="75"/>
      <c r="E54" s="75"/>
      <c r="F54" s="88"/>
      <c r="G54" s="290"/>
      <c r="H54" s="88"/>
      <c r="I54" s="99"/>
      <c r="J54" s="291"/>
      <c r="K54" s="971"/>
      <c r="L54" s="859"/>
      <c r="M54" s="859"/>
      <c r="N54" s="867" t="str">
        <f t="shared" si="14"/>
        <v/>
      </c>
      <c r="O54" s="867" t="str">
        <f t="shared" si="15"/>
        <v/>
      </c>
      <c r="P54" s="953" t="str">
        <f t="shared" si="0"/>
        <v/>
      </c>
      <c r="Q54" s="70"/>
      <c r="R54" s="739" t="str">
        <f t="shared" si="16"/>
        <v/>
      </c>
      <c r="S54" s="739" t="str">
        <f t="shared" si="1"/>
        <v/>
      </c>
      <c r="T54" s="740" t="str">
        <f t="shared" si="2"/>
        <v/>
      </c>
      <c r="U54" s="275"/>
      <c r="V54" s="293"/>
      <c r="W54" s="288"/>
      <c r="X54" s="288"/>
      <c r="Y54" s="908">
        <f t="shared" si="18"/>
        <v>0</v>
      </c>
      <c r="Z54" s="986">
        <f>tab!$D$62</f>
        <v>0.6</v>
      </c>
      <c r="AA54" s="944">
        <f t="shared" si="4"/>
        <v>0</v>
      </c>
      <c r="AB54" s="944">
        <f t="shared" si="5"/>
        <v>0</v>
      </c>
      <c r="AC54" s="944">
        <f t="shared" si="6"/>
        <v>0</v>
      </c>
      <c r="AD54" s="943" t="e">
        <f t="shared" si="7"/>
        <v>#VALUE!</v>
      </c>
      <c r="AE54" s="943">
        <f t="shared" si="8"/>
        <v>0</v>
      </c>
      <c r="AF54" s="916">
        <f>IF(H54&gt;8,tab!$D$63,tab!$D$65)</f>
        <v>0.4</v>
      </c>
      <c r="AG54" s="925">
        <f t="shared" si="19"/>
        <v>0</v>
      </c>
      <c r="AH54" s="940">
        <f t="shared" si="20"/>
        <v>0</v>
      </c>
      <c r="AI54" s="924" t="b">
        <f>DATE(YEAR(tab!$E$3),MONTH(G54),DAY(G54))&gt;tab!$E$3</f>
        <v>0</v>
      </c>
      <c r="AJ54" s="925">
        <f t="shared" si="21"/>
        <v>119</v>
      </c>
      <c r="AK54" s="884">
        <f t="shared" si="22"/>
        <v>30</v>
      </c>
      <c r="AL54" s="884">
        <f t="shared" si="13"/>
        <v>30</v>
      </c>
      <c r="AM54" s="925">
        <f t="shared" si="17"/>
        <v>0</v>
      </c>
    </row>
    <row r="55" spans="2:39" ht="12.75" customHeight="1" x14ac:dyDescent="0.2">
      <c r="B55" s="49"/>
      <c r="C55" s="69"/>
      <c r="D55" s="75"/>
      <c r="E55" s="75"/>
      <c r="F55" s="88"/>
      <c r="G55" s="290"/>
      <c r="H55" s="88"/>
      <c r="I55" s="99"/>
      <c r="J55" s="291"/>
      <c r="K55" s="971"/>
      <c r="L55" s="859"/>
      <c r="M55" s="859"/>
      <c r="N55" s="867" t="str">
        <f t="shared" si="14"/>
        <v/>
      </c>
      <c r="O55" s="867" t="str">
        <f t="shared" si="15"/>
        <v/>
      </c>
      <c r="P55" s="953" t="str">
        <f t="shared" si="0"/>
        <v/>
      </c>
      <c r="Q55" s="70"/>
      <c r="R55" s="739" t="str">
        <f t="shared" si="16"/>
        <v/>
      </c>
      <c r="S55" s="739" t="str">
        <f t="shared" si="1"/>
        <v/>
      </c>
      <c r="T55" s="740" t="str">
        <f t="shared" si="2"/>
        <v/>
      </c>
      <c r="U55" s="275"/>
      <c r="V55" s="293"/>
      <c r="W55" s="288"/>
      <c r="X55" s="288"/>
      <c r="Y55" s="908">
        <f t="shared" si="18"/>
        <v>0</v>
      </c>
      <c r="Z55" s="986">
        <f>tab!$D$62</f>
        <v>0.6</v>
      </c>
      <c r="AA55" s="944">
        <f t="shared" si="4"/>
        <v>0</v>
      </c>
      <c r="AB55" s="944">
        <f t="shared" si="5"/>
        <v>0</v>
      </c>
      <c r="AC55" s="944">
        <f t="shared" si="6"/>
        <v>0</v>
      </c>
      <c r="AD55" s="943" t="e">
        <f t="shared" si="7"/>
        <v>#VALUE!</v>
      </c>
      <c r="AE55" s="943">
        <f t="shared" si="8"/>
        <v>0</v>
      </c>
      <c r="AF55" s="916">
        <f>IF(H55&gt;8,tab!$D$63,tab!$D$65)</f>
        <v>0.4</v>
      </c>
      <c r="AG55" s="925">
        <f t="shared" si="19"/>
        <v>0</v>
      </c>
      <c r="AH55" s="940">
        <f t="shared" si="20"/>
        <v>0</v>
      </c>
      <c r="AI55" s="924" t="b">
        <f>DATE(YEAR(tab!$E$3),MONTH(G55),DAY(G55))&gt;tab!$E$3</f>
        <v>0</v>
      </c>
      <c r="AJ55" s="925">
        <f t="shared" si="21"/>
        <v>119</v>
      </c>
      <c r="AK55" s="884">
        <f t="shared" si="22"/>
        <v>30</v>
      </c>
      <c r="AL55" s="884">
        <f t="shared" si="13"/>
        <v>30</v>
      </c>
      <c r="AM55" s="925">
        <f t="shared" si="17"/>
        <v>0</v>
      </c>
    </row>
    <row r="56" spans="2:39" ht="12.75" customHeight="1" x14ac:dyDescent="0.2">
      <c r="B56" s="49"/>
      <c r="C56" s="69"/>
      <c r="D56" s="75"/>
      <c r="E56" s="75"/>
      <c r="F56" s="88"/>
      <c r="G56" s="290"/>
      <c r="H56" s="88"/>
      <c r="I56" s="99"/>
      <c r="J56" s="291"/>
      <c r="K56" s="971"/>
      <c r="L56" s="859"/>
      <c r="M56" s="859"/>
      <c r="N56" s="867" t="str">
        <f t="shared" si="14"/>
        <v/>
      </c>
      <c r="O56" s="867" t="str">
        <f t="shared" si="15"/>
        <v/>
      </c>
      <c r="P56" s="953" t="str">
        <f t="shared" si="0"/>
        <v/>
      </c>
      <c r="Q56" s="70"/>
      <c r="R56" s="739" t="str">
        <f t="shared" si="16"/>
        <v/>
      </c>
      <c r="S56" s="739" t="str">
        <f t="shared" si="1"/>
        <v/>
      </c>
      <c r="T56" s="740" t="str">
        <f t="shared" si="2"/>
        <v/>
      </c>
      <c r="U56" s="275"/>
      <c r="V56" s="293"/>
      <c r="W56" s="288"/>
      <c r="X56" s="288"/>
      <c r="Y56" s="908">
        <f t="shared" si="18"/>
        <v>0</v>
      </c>
      <c r="Z56" s="986">
        <f>tab!$D$62</f>
        <v>0.6</v>
      </c>
      <c r="AA56" s="944">
        <f t="shared" si="4"/>
        <v>0</v>
      </c>
      <c r="AB56" s="944">
        <f t="shared" si="5"/>
        <v>0</v>
      </c>
      <c r="AC56" s="944">
        <f t="shared" si="6"/>
        <v>0</v>
      </c>
      <c r="AD56" s="943" t="e">
        <f t="shared" si="7"/>
        <v>#VALUE!</v>
      </c>
      <c r="AE56" s="943">
        <f t="shared" si="8"/>
        <v>0</v>
      </c>
      <c r="AF56" s="916">
        <f>IF(H56&gt;8,tab!$D$63,tab!$D$65)</f>
        <v>0.4</v>
      </c>
      <c r="AG56" s="925">
        <f t="shared" si="19"/>
        <v>0</v>
      </c>
      <c r="AH56" s="940">
        <f t="shared" si="20"/>
        <v>0</v>
      </c>
      <c r="AI56" s="924" t="b">
        <f>DATE(YEAR(tab!$E$3),MONTH(G56),DAY(G56))&gt;tab!$E$3</f>
        <v>0</v>
      </c>
      <c r="AJ56" s="925">
        <f t="shared" si="21"/>
        <v>119</v>
      </c>
      <c r="AK56" s="884">
        <f t="shared" si="22"/>
        <v>30</v>
      </c>
      <c r="AL56" s="884">
        <f t="shared" si="13"/>
        <v>30</v>
      </c>
      <c r="AM56" s="925">
        <f t="shared" si="17"/>
        <v>0</v>
      </c>
    </row>
    <row r="57" spans="2:39" ht="12.75" customHeight="1" x14ac:dyDescent="0.2">
      <c r="B57" s="49"/>
      <c r="C57" s="69"/>
      <c r="D57" s="75"/>
      <c r="E57" s="75"/>
      <c r="F57" s="88"/>
      <c r="G57" s="290"/>
      <c r="H57" s="88"/>
      <c r="I57" s="99"/>
      <c r="J57" s="291"/>
      <c r="K57" s="971"/>
      <c r="L57" s="859"/>
      <c r="M57" s="859"/>
      <c r="N57" s="867" t="str">
        <f t="shared" si="14"/>
        <v/>
      </c>
      <c r="O57" s="867" t="str">
        <f t="shared" si="15"/>
        <v/>
      </c>
      <c r="P57" s="953" t="str">
        <f t="shared" si="0"/>
        <v/>
      </c>
      <c r="Q57" s="70"/>
      <c r="R57" s="739" t="str">
        <f t="shared" si="16"/>
        <v/>
      </c>
      <c r="S57" s="739" t="str">
        <f t="shared" si="1"/>
        <v/>
      </c>
      <c r="T57" s="740" t="str">
        <f t="shared" si="2"/>
        <v/>
      </c>
      <c r="U57" s="275"/>
      <c r="V57" s="293"/>
      <c r="W57" s="288"/>
      <c r="X57" s="288"/>
      <c r="Y57" s="908">
        <f t="shared" si="18"/>
        <v>0</v>
      </c>
      <c r="Z57" s="986">
        <f>tab!$D$62</f>
        <v>0.6</v>
      </c>
      <c r="AA57" s="944">
        <f t="shared" si="4"/>
        <v>0</v>
      </c>
      <c r="AB57" s="944">
        <f t="shared" si="5"/>
        <v>0</v>
      </c>
      <c r="AC57" s="944">
        <f t="shared" si="6"/>
        <v>0</v>
      </c>
      <c r="AD57" s="943" t="e">
        <f t="shared" si="7"/>
        <v>#VALUE!</v>
      </c>
      <c r="AE57" s="943">
        <f t="shared" si="8"/>
        <v>0</v>
      </c>
      <c r="AF57" s="916">
        <f>IF(H57&gt;8,tab!$D$63,tab!$D$65)</f>
        <v>0.4</v>
      </c>
      <c r="AG57" s="925">
        <f t="shared" si="19"/>
        <v>0</v>
      </c>
      <c r="AH57" s="940">
        <f t="shared" si="20"/>
        <v>0</v>
      </c>
      <c r="AI57" s="924" t="b">
        <f>DATE(YEAR(tab!$E$3),MONTH(G57),DAY(G57))&gt;tab!$E$3</f>
        <v>0</v>
      </c>
      <c r="AJ57" s="925">
        <f t="shared" si="21"/>
        <v>119</v>
      </c>
      <c r="AK57" s="884">
        <f t="shared" si="22"/>
        <v>30</v>
      </c>
      <c r="AL57" s="884">
        <f t="shared" si="13"/>
        <v>30</v>
      </c>
      <c r="AM57" s="925">
        <f t="shared" si="17"/>
        <v>0</v>
      </c>
    </row>
    <row r="58" spans="2:39" ht="12.75" customHeight="1" x14ac:dyDescent="0.2">
      <c r="B58" s="49"/>
      <c r="C58" s="69"/>
      <c r="D58" s="75"/>
      <c r="E58" s="75"/>
      <c r="F58" s="88"/>
      <c r="G58" s="290"/>
      <c r="H58" s="88"/>
      <c r="I58" s="99"/>
      <c r="J58" s="291"/>
      <c r="K58" s="971"/>
      <c r="L58" s="859"/>
      <c r="M58" s="859"/>
      <c r="N58" s="867" t="str">
        <f t="shared" si="14"/>
        <v/>
      </c>
      <c r="O58" s="867" t="str">
        <f t="shared" si="15"/>
        <v/>
      </c>
      <c r="P58" s="953" t="str">
        <f t="shared" si="0"/>
        <v/>
      </c>
      <c r="Q58" s="70"/>
      <c r="R58" s="739" t="str">
        <f t="shared" si="16"/>
        <v/>
      </c>
      <c r="S58" s="739" t="str">
        <f t="shared" si="1"/>
        <v/>
      </c>
      <c r="T58" s="740" t="str">
        <f t="shared" si="2"/>
        <v/>
      </c>
      <c r="U58" s="275"/>
      <c r="V58" s="293"/>
      <c r="W58" s="288"/>
      <c r="X58" s="288"/>
      <c r="Y58" s="908">
        <f t="shared" si="18"/>
        <v>0</v>
      </c>
      <c r="Z58" s="986">
        <f>tab!$D$62</f>
        <v>0.6</v>
      </c>
      <c r="AA58" s="944">
        <f t="shared" si="4"/>
        <v>0</v>
      </c>
      <c r="AB58" s="944">
        <f t="shared" si="5"/>
        <v>0</v>
      </c>
      <c r="AC58" s="944">
        <f t="shared" si="6"/>
        <v>0</v>
      </c>
      <c r="AD58" s="943" t="e">
        <f t="shared" si="7"/>
        <v>#VALUE!</v>
      </c>
      <c r="AE58" s="943">
        <f t="shared" si="8"/>
        <v>0</v>
      </c>
      <c r="AF58" s="916">
        <f>IF(H58&gt;8,tab!$D$63,tab!$D$65)</f>
        <v>0.4</v>
      </c>
      <c r="AG58" s="925">
        <f t="shared" si="19"/>
        <v>0</v>
      </c>
      <c r="AH58" s="940">
        <f t="shared" si="20"/>
        <v>0</v>
      </c>
      <c r="AI58" s="924" t="b">
        <f>DATE(YEAR(tab!$E$3),MONTH(G58),DAY(G58))&gt;tab!$E$3</f>
        <v>0</v>
      </c>
      <c r="AJ58" s="925">
        <f t="shared" si="21"/>
        <v>119</v>
      </c>
      <c r="AK58" s="884">
        <f t="shared" si="22"/>
        <v>30</v>
      </c>
      <c r="AL58" s="884">
        <f t="shared" si="13"/>
        <v>30</v>
      </c>
      <c r="AM58" s="925">
        <f t="shared" si="17"/>
        <v>0</v>
      </c>
    </row>
    <row r="59" spans="2:39" ht="12.75" customHeight="1" x14ac:dyDescent="0.2">
      <c r="B59" s="49"/>
      <c r="C59" s="69"/>
      <c r="D59" s="75"/>
      <c r="E59" s="75"/>
      <c r="F59" s="88"/>
      <c r="G59" s="290"/>
      <c r="H59" s="88"/>
      <c r="I59" s="99"/>
      <c r="J59" s="291"/>
      <c r="K59" s="971"/>
      <c r="L59" s="859"/>
      <c r="M59" s="859"/>
      <c r="N59" s="867" t="str">
        <f t="shared" si="14"/>
        <v/>
      </c>
      <c r="O59" s="867" t="str">
        <f t="shared" si="15"/>
        <v/>
      </c>
      <c r="P59" s="953" t="str">
        <f t="shared" si="0"/>
        <v/>
      </c>
      <c r="Q59" s="70"/>
      <c r="R59" s="739" t="str">
        <f t="shared" si="16"/>
        <v/>
      </c>
      <c r="S59" s="739" t="str">
        <f t="shared" si="1"/>
        <v/>
      </c>
      <c r="T59" s="740" t="str">
        <f t="shared" si="2"/>
        <v/>
      </c>
      <c r="U59" s="275"/>
      <c r="V59" s="293"/>
      <c r="W59" s="288"/>
      <c r="X59" s="288"/>
      <c r="Y59" s="908">
        <f t="shared" si="18"/>
        <v>0</v>
      </c>
      <c r="Z59" s="986">
        <f>tab!$D$62</f>
        <v>0.6</v>
      </c>
      <c r="AA59" s="944">
        <f t="shared" si="4"/>
        <v>0</v>
      </c>
      <c r="AB59" s="944">
        <f t="shared" si="5"/>
        <v>0</v>
      </c>
      <c r="AC59" s="944">
        <f t="shared" si="6"/>
        <v>0</v>
      </c>
      <c r="AD59" s="943" t="e">
        <f t="shared" si="7"/>
        <v>#VALUE!</v>
      </c>
      <c r="AE59" s="943">
        <f t="shared" si="8"/>
        <v>0</v>
      </c>
      <c r="AF59" s="916">
        <f>IF(H59&gt;8,tab!$D$63,tab!$D$65)</f>
        <v>0.4</v>
      </c>
      <c r="AG59" s="925">
        <f t="shared" si="19"/>
        <v>0</v>
      </c>
      <c r="AH59" s="940">
        <f t="shared" si="20"/>
        <v>0</v>
      </c>
      <c r="AI59" s="924" t="b">
        <f>DATE(YEAR(tab!$E$3),MONTH(G59),DAY(G59))&gt;tab!$E$3</f>
        <v>0</v>
      </c>
      <c r="AJ59" s="925">
        <f t="shared" si="21"/>
        <v>119</v>
      </c>
      <c r="AK59" s="884">
        <f t="shared" si="22"/>
        <v>30</v>
      </c>
      <c r="AL59" s="884">
        <f t="shared" si="13"/>
        <v>30</v>
      </c>
      <c r="AM59" s="925">
        <f t="shared" si="17"/>
        <v>0</v>
      </c>
    </row>
    <row r="60" spans="2:39" ht="12.75" customHeight="1" x14ac:dyDescent="0.2">
      <c r="B60" s="49"/>
      <c r="C60" s="69"/>
      <c r="D60" s="75"/>
      <c r="E60" s="75"/>
      <c r="F60" s="88"/>
      <c r="G60" s="290"/>
      <c r="H60" s="88"/>
      <c r="I60" s="99"/>
      <c r="J60" s="291"/>
      <c r="K60" s="971"/>
      <c r="L60" s="859"/>
      <c r="M60" s="859"/>
      <c r="N60" s="867" t="str">
        <f t="shared" si="14"/>
        <v/>
      </c>
      <c r="O60" s="867" t="str">
        <f t="shared" si="15"/>
        <v/>
      </c>
      <c r="P60" s="953" t="str">
        <f t="shared" si="0"/>
        <v/>
      </c>
      <c r="Q60" s="70"/>
      <c r="R60" s="739" t="str">
        <f t="shared" si="16"/>
        <v/>
      </c>
      <c r="S60" s="739" t="str">
        <f t="shared" si="1"/>
        <v/>
      </c>
      <c r="T60" s="740" t="str">
        <f t="shared" si="2"/>
        <v/>
      </c>
      <c r="U60" s="275"/>
      <c r="V60" s="293"/>
      <c r="W60" s="288"/>
      <c r="X60" s="288"/>
      <c r="Y60" s="908">
        <f t="shared" si="18"/>
        <v>0</v>
      </c>
      <c r="Z60" s="986">
        <f>tab!$D$62</f>
        <v>0.6</v>
      </c>
      <c r="AA60" s="944">
        <f t="shared" si="4"/>
        <v>0</v>
      </c>
      <c r="AB60" s="944">
        <f t="shared" si="5"/>
        <v>0</v>
      </c>
      <c r="AC60" s="944">
        <f t="shared" si="6"/>
        <v>0</v>
      </c>
      <c r="AD60" s="943" t="e">
        <f t="shared" si="7"/>
        <v>#VALUE!</v>
      </c>
      <c r="AE60" s="943">
        <f t="shared" si="8"/>
        <v>0</v>
      </c>
      <c r="AF60" s="916">
        <f>IF(H60&gt;8,tab!$D$63,tab!$D$65)</f>
        <v>0.4</v>
      </c>
      <c r="AG60" s="925">
        <f t="shared" si="19"/>
        <v>0</v>
      </c>
      <c r="AH60" s="940">
        <f t="shared" si="20"/>
        <v>0</v>
      </c>
      <c r="AI60" s="924" t="b">
        <f>DATE(YEAR(tab!$E$3),MONTH(G60),DAY(G60))&gt;tab!$E$3</f>
        <v>0</v>
      </c>
      <c r="AJ60" s="925">
        <f t="shared" si="21"/>
        <v>119</v>
      </c>
      <c r="AK60" s="884">
        <f t="shared" si="22"/>
        <v>30</v>
      </c>
      <c r="AL60" s="884">
        <f t="shared" si="13"/>
        <v>30</v>
      </c>
      <c r="AM60" s="925">
        <f t="shared" si="17"/>
        <v>0</v>
      </c>
    </row>
    <row r="61" spans="2:39" ht="12.75" customHeight="1" x14ac:dyDescent="0.2">
      <c r="B61" s="49"/>
      <c r="C61" s="69"/>
      <c r="D61" s="75"/>
      <c r="E61" s="75"/>
      <c r="F61" s="88"/>
      <c r="G61" s="290"/>
      <c r="H61" s="88"/>
      <c r="I61" s="99"/>
      <c r="J61" s="291"/>
      <c r="K61" s="971"/>
      <c r="L61" s="859"/>
      <c r="M61" s="859"/>
      <c r="N61" s="867" t="str">
        <f t="shared" si="14"/>
        <v/>
      </c>
      <c r="O61" s="867" t="str">
        <f t="shared" si="15"/>
        <v/>
      </c>
      <c r="P61" s="953" t="str">
        <f t="shared" si="0"/>
        <v/>
      </c>
      <c r="Q61" s="70"/>
      <c r="R61" s="739" t="str">
        <f t="shared" si="16"/>
        <v/>
      </c>
      <c r="S61" s="739" t="str">
        <f t="shared" si="1"/>
        <v/>
      </c>
      <c r="T61" s="740" t="str">
        <f t="shared" si="2"/>
        <v/>
      </c>
      <c r="U61" s="275"/>
      <c r="V61" s="293"/>
      <c r="W61" s="288"/>
      <c r="X61" s="288"/>
      <c r="Y61" s="908">
        <f t="shared" si="18"/>
        <v>0</v>
      </c>
      <c r="Z61" s="986">
        <f>tab!$D$62</f>
        <v>0.6</v>
      </c>
      <c r="AA61" s="944">
        <f t="shared" si="4"/>
        <v>0</v>
      </c>
      <c r="AB61" s="944">
        <f t="shared" si="5"/>
        <v>0</v>
      </c>
      <c r="AC61" s="944">
        <f t="shared" si="6"/>
        <v>0</v>
      </c>
      <c r="AD61" s="943" t="e">
        <f t="shared" si="7"/>
        <v>#VALUE!</v>
      </c>
      <c r="AE61" s="943">
        <f t="shared" si="8"/>
        <v>0</v>
      </c>
      <c r="AF61" s="916">
        <f>IF(H61&gt;8,tab!$D$63,tab!$D$65)</f>
        <v>0.4</v>
      </c>
      <c r="AG61" s="925">
        <f t="shared" si="19"/>
        <v>0</v>
      </c>
      <c r="AH61" s="940">
        <f t="shared" si="20"/>
        <v>0</v>
      </c>
      <c r="AI61" s="924" t="b">
        <f>DATE(YEAR(tab!$E$3),MONTH(G61),DAY(G61))&gt;tab!$E$3</f>
        <v>0</v>
      </c>
      <c r="AJ61" s="925">
        <f t="shared" si="21"/>
        <v>119</v>
      </c>
      <c r="AK61" s="884">
        <f t="shared" si="22"/>
        <v>30</v>
      </c>
      <c r="AL61" s="884">
        <f t="shared" si="13"/>
        <v>30</v>
      </c>
      <c r="AM61" s="925">
        <f t="shared" si="17"/>
        <v>0</v>
      </c>
    </row>
    <row r="62" spans="2:39" ht="12.75" customHeight="1" x14ac:dyDescent="0.2">
      <c r="B62" s="49"/>
      <c r="C62" s="69"/>
      <c r="D62" s="75"/>
      <c r="E62" s="75"/>
      <c r="F62" s="88"/>
      <c r="G62" s="290"/>
      <c r="H62" s="88"/>
      <c r="I62" s="99"/>
      <c r="J62" s="291"/>
      <c r="K62" s="971"/>
      <c r="L62" s="859"/>
      <c r="M62" s="859"/>
      <c r="N62" s="867" t="str">
        <f t="shared" si="14"/>
        <v/>
      </c>
      <c r="O62" s="867" t="str">
        <f t="shared" si="15"/>
        <v/>
      </c>
      <c r="P62" s="953" t="str">
        <f t="shared" si="0"/>
        <v/>
      </c>
      <c r="Q62" s="70"/>
      <c r="R62" s="739" t="str">
        <f t="shared" si="16"/>
        <v/>
      </c>
      <c r="S62" s="739" t="str">
        <f t="shared" si="1"/>
        <v/>
      </c>
      <c r="T62" s="740" t="str">
        <f t="shared" si="2"/>
        <v/>
      </c>
      <c r="U62" s="275"/>
      <c r="V62" s="293"/>
      <c r="W62" s="288"/>
      <c r="X62" s="288"/>
      <c r="Y62" s="908">
        <f t="shared" si="18"/>
        <v>0</v>
      </c>
      <c r="Z62" s="986">
        <f>tab!$D$62</f>
        <v>0.6</v>
      </c>
      <c r="AA62" s="944">
        <f t="shared" si="4"/>
        <v>0</v>
      </c>
      <c r="AB62" s="944">
        <f t="shared" si="5"/>
        <v>0</v>
      </c>
      <c r="AC62" s="944">
        <f t="shared" si="6"/>
        <v>0</v>
      </c>
      <c r="AD62" s="943" t="e">
        <f t="shared" si="7"/>
        <v>#VALUE!</v>
      </c>
      <c r="AE62" s="943">
        <f t="shared" si="8"/>
        <v>0</v>
      </c>
      <c r="AF62" s="916">
        <f>IF(H62&gt;8,tab!$D$63,tab!$D$65)</f>
        <v>0.4</v>
      </c>
      <c r="AG62" s="925">
        <f t="shared" si="19"/>
        <v>0</v>
      </c>
      <c r="AH62" s="940">
        <f t="shared" si="20"/>
        <v>0</v>
      </c>
      <c r="AI62" s="924" t="b">
        <f>DATE(YEAR(tab!$E$3),MONTH(G62),DAY(G62))&gt;tab!$E$3</f>
        <v>0</v>
      </c>
      <c r="AJ62" s="925">
        <f t="shared" si="21"/>
        <v>119</v>
      </c>
      <c r="AK62" s="884">
        <f t="shared" si="22"/>
        <v>30</v>
      </c>
      <c r="AL62" s="884">
        <f t="shared" si="13"/>
        <v>30</v>
      </c>
      <c r="AM62" s="925">
        <f t="shared" si="17"/>
        <v>0</v>
      </c>
    </row>
    <row r="63" spans="2:39" ht="12.75" customHeight="1" x14ac:dyDescent="0.2">
      <c r="B63" s="49"/>
      <c r="C63" s="69"/>
      <c r="D63" s="75"/>
      <c r="E63" s="75"/>
      <c r="F63" s="88"/>
      <c r="G63" s="290"/>
      <c r="H63" s="88"/>
      <c r="I63" s="99"/>
      <c r="J63" s="291"/>
      <c r="K63" s="971"/>
      <c r="L63" s="859"/>
      <c r="M63" s="859"/>
      <c r="N63" s="867" t="str">
        <f t="shared" si="14"/>
        <v/>
      </c>
      <c r="O63" s="867" t="str">
        <f t="shared" si="15"/>
        <v/>
      </c>
      <c r="P63" s="953" t="str">
        <f t="shared" si="0"/>
        <v/>
      </c>
      <c r="Q63" s="70"/>
      <c r="R63" s="739" t="str">
        <f t="shared" si="16"/>
        <v/>
      </c>
      <c r="S63" s="739" t="str">
        <f t="shared" si="1"/>
        <v/>
      </c>
      <c r="T63" s="740" t="str">
        <f t="shared" si="2"/>
        <v/>
      </c>
      <c r="U63" s="275"/>
      <c r="V63" s="293"/>
      <c r="W63" s="288"/>
      <c r="X63" s="288"/>
      <c r="Y63" s="908">
        <f t="shared" si="18"/>
        <v>0</v>
      </c>
      <c r="Z63" s="986">
        <f>tab!$D$62</f>
        <v>0.6</v>
      </c>
      <c r="AA63" s="944">
        <f t="shared" si="4"/>
        <v>0</v>
      </c>
      <c r="AB63" s="944">
        <f t="shared" si="5"/>
        <v>0</v>
      </c>
      <c r="AC63" s="944">
        <f t="shared" si="6"/>
        <v>0</v>
      </c>
      <c r="AD63" s="943" t="e">
        <f t="shared" si="7"/>
        <v>#VALUE!</v>
      </c>
      <c r="AE63" s="943">
        <f t="shared" si="8"/>
        <v>0</v>
      </c>
      <c r="AF63" s="916">
        <f>IF(H63&gt;8,tab!$D$63,tab!$D$65)</f>
        <v>0.4</v>
      </c>
      <c r="AG63" s="925">
        <f t="shared" si="19"/>
        <v>0</v>
      </c>
      <c r="AH63" s="940">
        <f t="shared" si="20"/>
        <v>0</v>
      </c>
      <c r="AI63" s="924" t="b">
        <f>DATE(YEAR(tab!$E$3),MONTH(G63),DAY(G63))&gt;tab!$E$3</f>
        <v>0</v>
      </c>
      <c r="AJ63" s="925">
        <f t="shared" si="21"/>
        <v>119</v>
      </c>
      <c r="AK63" s="884">
        <f t="shared" si="22"/>
        <v>30</v>
      </c>
      <c r="AL63" s="884">
        <f t="shared" si="13"/>
        <v>30</v>
      </c>
      <c r="AM63" s="925">
        <f t="shared" si="17"/>
        <v>0</v>
      </c>
    </row>
    <row r="64" spans="2:39" ht="12.75" customHeight="1" x14ac:dyDescent="0.2">
      <c r="B64" s="49"/>
      <c r="C64" s="69"/>
      <c r="D64" s="75"/>
      <c r="E64" s="75"/>
      <c r="F64" s="88"/>
      <c r="G64" s="290"/>
      <c r="H64" s="88"/>
      <c r="I64" s="99"/>
      <c r="J64" s="291"/>
      <c r="K64" s="971"/>
      <c r="L64" s="859"/>
      <c r="M64" s="859"/>
      <c r="N64" s="867" t="str">
        <f t="shared" si="14"/>
        <v/>
      </c>
      <c r="O64" s="867" t="str">
        <f t="shared" si="15"/>
        <v/>
      </c>
      <c r="P64" s="953" t="str">
        <f t="shared" si="0"/>
        <v/>
      </c>
      <c r="Q64" s="70"/>
      <c r="R64" s="739" t="str">
        <f t="shared" si="16"/>
        <v/>
      </c>
      <c r="S64" s="739" t="str">
        <f t="shared" si="1"/>
        <v/>
      </c>
      <c r="T64" s="740" t="str">
        <f t="shared" si="2"/>
        <v/>
      </c>
      <c r="U64" s="275"/>
      <c r="V64" s="293"/>
      <c r="W64" s="288"/>
      <c r="X64" s="288"/>
      <c r="Y64" s="908">
        <f t="shared" si="18"/>
        <v>0</v>
      </c>
      <c r="Z64" s="986">
        <f>tab!$D$62</f>
        <v>0.6</v>
      </c>
      <c r="AA64" s="944">
        <f t="shared" si="4"/>
        <v>0</v>
      </c>
      <c r="AB64" s="944">
        <f t="shared" si="5"/>
        <v>0</v>
      </c>
      <c r="AC64" s="944">
        <f t="shared" si="6"/>
        <v>0</v>
      </c>
      <c r="AD64" s="943" t="e">
        <f t="shared" si="7"/>
        <v>#VALUE!</v>
      </c>
      <c r="AE64" s="943">
        <f t="shared" si="8"/>
        <v>0</v>
      </c>
      <c r="AF64" s="916">
        <f>IF(H64&gt;8,tab!$D$63,tab!$D$65)</f>
        <v>0.4</v>
      </c>
      <c r="AG64" s="925">
        <f t="shared" si="19"/>
        <v>0</v>
      </c>
      <c r="AH64" s="940">
        <f t="shared" si="20"/>
        <v>0</v>
      </c>
      <c r="AI64" s="924" t="b">
        <f>DATE(YEAR(tab!$E$3),MONTH(G64),DAY(G64))&gt;tab!$E$3</f>
        <v>0</v>
      </c>
      <c r="AJ64" s="925">
        <f t="shared" si="21"/>
        <v>119</v>
      </c>
      <c r="AK64" s="884">
        <f t="shared" si="22"/>
        <v>30</v>
      </c>
      <c r="AL64" s="884">
        <f t="shared" si="13"/>
        <v>30</v>
      </c>
      <c r="AM64" s="925">
        <f t="shared" si="17"/>
        <v>0</v>
      </c>
    </row>
    <row r="65" spans="2:40" ht="12.75" customHeight="1" x14ac:dyDescent="0.2">
      <c r="B65" s="49"/>
      <c r="C65" s="69"/>
      <c r="D65" s="75"/>
      <c r="E65" s="75"/>
      <c r="F65" s="88"/>
      <c r="G65" s="290"/>
      <c r="H65" s="88"/>
      <c r="I65" s="99"/>
      <c r="J65" s="291"/>
      <c r="K65" s="971"/>
      <c r="L65" s="859"/>
      <c r="M65" s="859"/>
      <c r="N65" s="867" t="str">
        <f t="shared" si="14"/>
        <v/>
      </c>
      <c r="O65" s="867" t="str">
        <f t="shared" si="15"/>
        <v/>
      </c>
      <c r="P65" s="953" t="str">
        <f t="shared" si="0"/>
        <v/>
      </c>
      <c r="Q65" s="70"/>
      <c r="R65" s="739" t="str">
        <f t="shared" si="16"/>
        <v/>
      </c>
      <c r="S65" s="739" t="str">
        <f t="shared" si="1"/>
        <v/>
      </c>
      <c r="T65" s="740" t="str">
        <f t="shared" si="2"/>
        <v/>
      </c>
      <c r="U65" s="275"/>
      <c r="V65" s="293"/>
      <c r="W65" s="288"/>
      <c r="X65" s="288"/>
      <c r="Y65" s="908">
        <f t="shared" si="18"/>
        <v>0</v>
      </c>
      <c r="Z65" s="986">
        <f>tab!$D$62</f>
        <v>0.6</v>
      </c>
      <c r="AA65" s="944">
        <f t="shared" si="4"/>
        <v>0</v>
      </c>
      <c r="AB65" s="944">
        <f t="shared" si="5"/>
        <v>0</v>
      </c>
      <c r="AC65" s="944">
        <f t="shared" si="6"/>
        <v>0</v>
      </c>
      <c r="AD65" s="943" t="e">
        <f t="shared" si="7"/>
        <v>#VALUE!</v>
      </c>
      <c r="AE65" s="943">
        <f t="shared" si="8"/>
        <v>0</v>
      </c>
      <c r="AF65" s="916">
        <f>IF(H65&gt;8,tab!$D$63,tab!$D$65)</f>
        <v>0.4</v>
      </c>
      <c r="AG65" s="925">
        <f t="shared" si="19"/>
        <v>0</v>
      </c>
      <c r="AH65" s="940">
        <f t="shared" si="20"/>
        <v>0</v>
      </c>
      <c r="AI65" s="924" t="b">
        <f>DATE(YEAR(tab!$E$3),MONTH(G65),DAY(G65))&gt;tab!$E$3</f>
        <v>0</v>
      </c>
      <c r="AJ65" s="925">
        <f t="shared" si="21"/>
        <v>119</v>
      </c>
      <c r="AK65" s="884">
        <f t="shared" si="22"/>
        <v>30</v>
      </c>
      <c r="AL65" s="884">
        <f t="shared" si="13"/>
        <v>30</v>
      </c>
      <c r="AM65" s="925">
        <f t="shared" si="17"/>
        <v>0</v>
      </c>
    </row>
    <row r="66" spans="2:40" ht="12.75" customHeight="1" x14ac:dyDescent="0.2">
      <c r="B66" s="49"/>
      <c r="C66" s="69"/>
      <c r="D66" s="75"/>
      <c r="E66" s="75"/>
      <c r="F66" s="88"/>
      <c r="G66" s="290"/>
      <c r="H66" s="88"/>
      <c r="I66" s="99"/>
      <c r="J66" s="291"/>
      <c r="K66" s="971"/>
      <c r="L66" s="859"/>
      <c r="M66" s="859"/>
      <c r="N66" s="867" t="str">
        <f t="shared" si="14"/>
        <v/>
      </c>
      <c r="O66" s="867" t="str">
        <f t="shared" si="15"/>
        <v/>
      </c>
      <c r="P66" s="953" t="str">
        <f t="shared" si="0"/>
        <v/>
      </c>
      <c r="Q66" s="70"/>
      <c r="R66" s="739" t="str">
        <f t="shared" si="16"/>
        <v/>
      </c>
      <c r="S66" s="739" t="str">
        <f t="shared" si="1"/>
        <v/>
      </c>
      <c r="T66" s="740" t="str">
        <f t="shared" si="2"/>
        <v/>
      </c>
      <c r="U66" s="275"/>
      <c r="V66" s="293"/>
      <c r="W66" s="288"/>
      <c r="X66" s="288"/>
      <c r="Y66" s="908">
        <f t="shared" si="18"/>
        <v>0</v>
      </c>
      <c r="Z66" s="986">
        <f>tab!$D$62</f>
        <v>0.6</v>
      </c>
      <c r="AA66" s="944">
        <f t="shared" si="4"/>
        <v>0</v>
      </c>
      <c r="AB66" s="944">
        <f t="shared" si="5"/>
        <v>0</v>
      </c>
      <c r="AC66" s="944">
        <f t="shared" si="6"/>
        <v>0</v>
      </c>
      <c r="AD66" s="943" t="e">
        <f t="shared" si="7"/>
        <v>#VALUE!</v>
      </c>
      <c r="AE66" s="943">
        <f t="shared" si="8"/>
        <v>0</v>
      </c>
      <c r="AF66" s="916">
        <f>IF(H66&gt;8,tab!$D$63,tab!$D$65)</f>
        <v>0.4</v>
      </c>
      <c r="AG66" s="925">
        <f t="shared" si="19"/>
        <v>0</v>
      </c>
      <c r="AH66" s="940">
        <f t="shared" si="20"/>
        <v>0</v>
      </c>
      <c r="AI66" s="924" t="b">
        <f>DATE(YEAR(tab!$E$3),MONTH(G66),DAY(G66))&gt;tab!$E$3</f>
        <v>0</v>
      </c>
      <c r="AJ66" s="925">
        <f t="shared" si="21"/>
        <v>119</v>
      </c>
      <c r="AK66" s="884">
        <f t="shared" si="22"/>
        <v>30</v>
      </c>
      <c r="AL66" s="884">
        <f t="shared" si="13"/>
        <v>30</v>
      </c>
      <c r="AM66" s="925">
        <f t="shared" si="17"/>
        <v>0</v>
      </c>
    </row>
    <row r="67" spans="2:40" ht="12.75" customHeight="1" x14ac:dyDescent="0.2">
      <c r="B67" s="49"/>
      <c r="C67" s="69"/>
      <c r="D67" s="75"/>
      <c r="E67" s="75"/>
      <c r="F67" s="88"/>
      <c r="G67" s="290"/>
      <c r="H67" s="88"/>
      <c r="I67" s="99"/>
      <c r="J67" s="291"/>
      <c r="K67" s="971"/>
      <c r="L67" s="859"/>
      <c r="M67" s="859"/>
      <c r="N67" s="867" t="str">
        <f t="shared" si="14"/>
        <v/>
      </c>
      <c r="O67" s="867" t="str">
        <f t="shared" si="15"/>
        <v/>
      </c>
      <c r="P67" s="953" t="str">
        <f t="shared" si="0"/>
        <v/>
      </c>
      <c r="Q67" s="70"/>
      <c r="R67" s="739" t="str">
        <f t="shared" si="16"/>
        <v/>
      </c>
      <c r="S67" s="739" t="str">
        <f t="shared" si="1"/>
        <v/>
      </c>
      <c r="T67" s="740" t="str">
        <f t="shared" si="2"/>
        <v/>
      </c>
      <c r="U67" s="275"/>
      <c r="V67" s="293"/>
      <c r="W67" s="288"/>
      <c r="X67" s="288"/>
      <c r="Y67" s="908">
        <f t="shared" si="18"/>
        <v>0</v>
      </c>
      <c r="Z67" s="986">
        <f>tab!$D$62</f>
        <v>0.6</v>
      </c>
      <c r="AA67" s="944">
        <f t="shared" si="4"/>
        <v>0</v>
      </c>
      <c r="AB67" s="944">
        <f t="shared" si="5"/>
        <v>0</v>
      </c>
      <c r="AC67" s="944">
        <f t="shared" si="6"/>
        <v>0</v>
      </c>
      <c r="AD67" s="943" t="e">
        <f t="shared" si="7"/>
        <v>#VALUE!</v>
      </c>
      <c r="AE67" s="943">
        <f t="shared" si="8"/>
        <v>0</v>
      </c>
      <c r="AF67" s="916">
        <f>IF(H67&gt;8,tab!$D$63,tab!$D$65)</f>
        <v>0.4</v>
      </c>
      <c r="AG67" s="925">
        <f t="shared" si="19"/>
        <v>0</v>
      </c>
      <c r="AH67" s="940">
        <f t="shared" si="20"/>
        <v>0</v>
      </c>
      <c r="AI67" s="924" t="b">
        <f>DATE(YEAR(tab!$E$3),MONTH(G67),DAY(G67))&gt;tab!$E$3</f>
        <v>0</v>
      </c>
      <c r="AJ67" s="925">
        <f t="shared" si="21"/>
        <v>119</v>
      </c>
      <c r="AK67" s="884">
        <f t="shared" si="22"/>
        <v>30</v>
      </c>
      <c r="AL67" s="884">
        <f t="shared" si="13"/>
        <v>30</v>
      </c>
      <c r="AM67" s="925">
        <f t="shared" si="17"/>
        <v>0</v>
      </c>
    </row>
    <row r="68" spans="2:40" ht="12.75" customHeight="1" x14ac:dyDescent="0.2">
      <c r="B68" s="49"/>
      <c r="C68" s="69"/>
      <c r="D68" s="75"/>
      <c r="E68" s="75"/>
      <c r="F68" s="88"/>
      <c r="G68" s="290"/>
      <c r="H68" s="88"/>
      <c r="I68" s="99"/>
      <c r="J68" s="291"/>
      <c r="K68" s="971"/>
      <c r="L68" s="859"/>
      <c r="M68" s="859"/>
      <c r="N68" s="867" t="str">
        <f t="shared" si="14"/>
        <v/>
      </c>
      <c r="O68" s="867" t="str">
        <f t="shared" si="15"/>
        <v/>
      </c>
      <c r="P68" s="953" t="str">
        <f t="shared" si="0"/>
        <v/>
      </c>
      <c r="Q68" s="70"/>
      <c r="R68" s="739" t="str">
        <f t="shared" si="16"/>
        <v/>
      </c>
      <c r="S68" s="739" t="str">
        <f t="shared" si="1"/>
        <v/>
      </c>
      <c r="T68" s="740" t="str">
        <f t="shared" si="2"/>
        <v/>
      </c>
      <c r="U68" s="275"/>
      <c r="V68" s="293"/>
      <c r="W68" s="288"/>
      <c r="X68" s="288"/>
      <c r="Y68" s="908">
        <f t="shared" si="18"/>
        <v>0</v>
      </c>
      <c r="Z68" s="986">
        <f>tab!$D$62</f>
        <v>0.6</v>
      </c>
      <c r="AA68" s="944">
        <f t="shared" si="4"/>
        <v>0</v>
      </c>
      <c r="AB68" s="944">
        <f t="shared" si="5"/>
        <v>0</v>
      </c>
      <c r="AC68" s="944">
        <f t="shared" si="6"/>
        <v>0</v>
      </c>
      <c r="AD68" s="943" t="e">
        <f t="shared" si="7"/>
        <v>#VALUE!</v>
      </c>
      <c r="AE68" s="943">
        <f t="shared" si="8"/>
        <v>0</v>
      </c>
      <c r="AF68" s="916">
        <f>IF(H68&gt;8,tab!$D$63,tab!$D$65)</f>
        <v>0.4</v>
      </c>
      <c r="AG68" s="925">
        <f t="shared" si="19"/>
        <v>0</v>
      </c>
      <c r="AH68" s="940">
        <f t="shared" si="20"/>
        <v>0</v>
      </c>
      <c r="AI68" s="924" t="b">
        <f>DATE(YEAR(tab!$E$3),MONTH(G68),DAY(G68))&gt;tab!$E$3</f>
        <v>0</v>
      </c>
      <c r="AJ68" s="925">
        <f t="shared" si="21"/>
        <v>119</v>
      </c>
      <c r="AK68" s="884">
        <f t="shared" si="22"/>
        <v>30</v>
      </c>
      <c r="AL68" s="884">
        <f t="shared" si="13"/>
        <v>30</v>
      </c>
      <c r="AM68" s="925">
        <f t="shared" si="17"/>
        <v>0</v>
      </c>
    </row>
    <row r="69" spans="2:40" ht="12.75" customHeight="1" x14ac:dyDescent="0.2">
      <c r="B69" s="49"/>
      <c r="C69" s="69"/>
      <c r="D69" s="75"/>
      <c r="E69" s="75"/>
      <c r="F69" s="88"/>
      <c r="G69" s="290"/>
      <c r="H69" s="88"/>
      <c r="I69" s="99"/>
      <c r="J69" s="291"/>
      <c r="K69" s="971"/>
      <c r="L69" s="859"/>
      <c r="M69" s="859"/>
      <c r="N69" s="867" t="str">
        <f t="shared" si="14"/>
        <v/>
      </c>
      <c r="O69" s="867" t="str">
        <f t="shared" si="15"/>
        <v/>
      </c>
      <c r="P69" s="953" t="str">
        <f t="shared" si="0"/>
        <v/>
      </c>
      <c r="Q69" s="70"/>
      <c r="R69" s="739" t="str">
        <f t="shared" si="16"/>
        <v/>
      </c>
      <c r="S69" s="739" t="str">
        <f t="shared" si="1"/>
        <v/>
      </c>
      <c r="T69" s="740" t="str">
        <f t="shared" si="2"/>
        <v/>
      </c>
      <c r="U69" s="275"/>
      <c r="V69" s="293"/>
      <c r="W69" s="288"/>
      <c r="X69" s="288"/>
      <c r="Y69" s="908">
        <f t="shared" si="18"/>
        <v>0</v>
      </c>
      <c r="Z69" s="986">
        <f>tab!$D$62</f>
        <v>0.6</v>
      </c>
      <c r="AA69" s="944">
        <f t="shared" si="4"/>
        <v>0</v>
      </c>
      <c r="AB69" s="944">
        <f t="shared" si="5"/>
        <v>0</v>
      </c>
      <c r="AC69" s="944">
        <f t="shared" si="6"/>
        <v>0</v>
      </c>
      <c r="AD69" s="943" t="e">
        <f t="shared" si="7"/>
        <v>#VALUE!</v>
      </c>
      <c r="AE69" s="943">
        <f t="shared" si="8"/>
        <v>0</v>
      </c>
      <c r="AF69" s="916">
        <f>IF(H69&gt;8,tab!$D$63,tab!$D$65)</f>
        <v>0.4</v>
      </c>
      <c r="AG69" s="925">
        <f t="shared" si="19"/>
        <v>0</v>
      </c>
      <c r="AH69" s="940">
        <f t="shared" si="20"/>
        <v>0</v>
      </c>
      <c r="AI69" s="924" t="b">
        <f>DATE(YEAR(tab!$E$3),MONTH(G69),DAY(G69))&gt;tab!$E$3</f>
        <v>0</v>
      </c>
      <c r="AJ69" s="925">
        <f t="shared" si="21"/>
        <v>119</v>
      </c>
      <c r="AK69" s="884">
        <f t="shared" si="22"/>
        <v>30</v>
      </c>
      <c r="AL69" s="884">
        <f t="shared" si="13"/>
        <v>30</v>
      </c>
      <c r="AM69" s="925">
        <f t="shared" si="17"/>
        <v>0</v>
      </c>
    </row>
    <row r="70" spans="2:40" x14ac:dyDescent="0.2">
      <c r="B70" s="49"/>
      <c r="C70" s="69"/>
      <c r="D70" s="75"/>
      <c r="E70" s="75"/>
      <c r="F70" s="88"/>
      <c r="G70" s="290"/>
      <c r="H70" s="88"/>
      <c r="I70" s="99"/>
      <c r="J70" s="291"/>
      <c r="K70" s="971"/>
      <c r="L70" s="859"/>
      <c r="M70" s="859"/>
      <c r="N70" s="867" t="str">
        <f t="shared" si="14"/>
        <v/>
      </c>
      <c r="O70" s="867" t="str">
        <f t="shared" si="15"/>
        <v/>
      </c>
      <c r="P70" s="953" t="str">
        <f t="shared" si="0"/>
        <v/>
      </c>
      <c r="Q70" s="70"/>
      <c r="R70" s="739" t="str">
        <f t="shared" si="16"/>
        <v/>
      </c>
      <c r="S70" s="739" t="str">
        <f t="shared" si="1"/>
        <v/>
      </c>
      <c r="T70" s="740" t="str">
        <f t="shared" si="2"/>
        <v/>
      </c>
      <c r="U70" s="275"/>
      <c r="V70" s="293"/>
      <c r="W70" s="288"/>
      <c r="X70" s="288"/>
      <c r="Y70" s="908">
        <f t="shared" si="18"/>
        <v>0</v>
      </c>
      <c r="Z70" s="986">
        <f>tab!$D$62</f>
        <v>0.6</v>
      </c>
      <c r="AA70" s="944">
        <f t="shared" si="4"/>
        <v>0</v>
      </c>
      <c r="AB70" s="944">
        <f t="shared" si="5"/>
        <v>0</v>
      </c>
      <c r="AC70" s="944">
        <f t="shared" si="6"/>
        <v>0</v>
      </c>
      <c r="AD70" s="943" t="e">
        <f t="shared" si="7"/>
        <v>#VALUE!</v>
      </c>
      <c r="AE70" s="943">
        <f t="shared" si="8"/>
        <v>0</v>
      </c>
      <c r="AF70" s="916">
        <f>IF(H70&gt;8,tab!$D$63,tab!$D$65)</f>
        <v>0.4</v>
      </c>
      <c r="AG70" s="925">
        <f t="shared" si="19"/>
        <v>0</v>
      </c>
      <c r="AH70" s="940">
        <f t="shared" si="20"/>
        <v>0</v>
      </c>
      <c r="AI70" s="924" t="b">
        <f>DATE(YEAR(tab!$E$3),MONTH(G70),DAY(G70))&gt;tab!$E$3</f>
        <v>0</v>
      </c>
      <c r="AJ70" s="925">
        <f t="shared" si="21"/>
        <v>119</v>
      </c>
      <c r="AK70" s="884">
        <f t="shared" si="22"/>
        <v>30</v>
      </c>
      <c r="AL70" s="884">
        <f t="shared" si="13"/>
        <v>30</v>
      </c>
      <c r="AM70" s="925">
        <f t="shared" si="17"/>
        <v>0</v>
      </c>
    </row>
    <row r="71" spans="2:40" x14ac:dyDescent="0.2">
      <c r="B71" s="49"/>
      <c r="C71" s="76"/>
      <c r="D71" s="172"/>
      <c r="E71" s="345"/>
      <c r="F71" s="345"/>
      <c r="G71" s="346"/>
      <c r="H71" s="345"/>
      <c r="I71" s="347"/>
      <c r="J71" s="755">
        <f>SUM(J16:J70)</f>
        <v>0.1</v>
      </c>
      <c r="K71" s="972"/>
      <c r="L71" s="942">
        <f>SUM(L16:L70)</f>
        <v>0</v>
      </c>
      <c r="M71" s="942">
        <f>SUM(M16:M70)</f>
        <v>0</v>
      </c>
      <c r="N71" s="942">
        <f>SUM(N16:N70)</f>
        <v>4</v>
      </c>
      <c r="O71" s="755">
        <f>SUM(O16:O70)</f>
        <v>0</v>
      </c>
      <c r="P71" s="942">
        <f>SUM(P16:P70)</f>
        <v>4</v>
      </c>
      <c r="Q71" s="172"/>
      <c r="R71" s="756">
        <f>SUM(R16:R70)</f>
        <v>7326.1945750452078</v>
      </c>
      <c r="S71" s="756">
        <f>SUM(S16:S70)</f>
        <v>181.00542495479203</v>
      </c>
      <c r="T71" s="756">
        <f>SUM(T16:T70)</f>
        <v>7507.2</v>
      </c>
      <c r="U71" s="81"/>
      <c r="V71" s="53"/>
      <c r="Y71" s="908">
        <f>SUM(Y16:Y70)</f>
        <v>3910</v>
      </c>
      <c r="AA71" s="909">
        <f t="shared" si="4"/>
        <v>28.282097649186255</v>
      </c>
      <c r="AB71" s="909">
        <f>SUM(AB16:AB70)</f>
        <v>45.251356238698008</v>
      </c>
      <c r="AC71" s="909">
        <f t="shared" si="6"/>
        <v>16.969258589511753</v>
      </c>
      <c r="AF71" s="927"/>
      <c r="AG71" s="928">
        <f>SUM(AG16:AG70)</f>
        <v>25</v>
      </c>
      <c r="AH71" s="937">
        <f>SUM(AH16:AH70)</f>
        <v>211.14000000000001</v>
      </c>
      <c r="AI71" s="926"/>
      <c r="AJ71" s="926"/>
    </row>
    <row r="72" spans="2:40" x14ac:dyDescent="0.2">
      <c r="B72" s="49"/>
      <c r="H72" s="127"/>
      <c r="K72" s="973"/>
      <c r="Q72" s="209"/>
      <c r="R72" s="348"/>
      <c r="S72" s="328"/>
      <c r="V72" s="53"/>
      <c r="Y72" s="881"/>
      <c r="AA72" s="909"/>
      <c r="AB72" s="909"/>
      <c r="AC72" s="909"/>
      <c r="AF72" s="927"/>
      <c r="AG72" s="928"/>
      <c r="AH72" s="937"/>
    </row>
    <row r="73" spans="2:40" ht="12.75" customHeight="1" x14ac:dyDescent="0.2">
      <c r="B73" s="124"/>
      <c r="C73" s="125"/>
      <c r="D73" s="317"/>
      <c r="E73" s="317"/>
      <c r="F73" s="318"/>
      <c r="G73" s="319"/>
      <c r="H73" s="318"/>
      <c r="I73" s="320"/>
      <c r="J73" s="322"/>
      <c r="K73" s="974"/>
      <c r="L73" s="861"/>
      <c r="M73" s="861"/>
      <c r="N73" s="861"/>
      <c r="O73" s="861"/>
      <c r="P73" s="113"/>
      <c r="Q73" s="317"/>
      <c r="R73" s="356"/>
      <c r="S73" s="355"/>
      <c r="T73" s="355"/>
      <c r="U73" s="125"/>
      <c r="V73" s="126"/>
      <c r="Y73" s="881"/>
      <c r="AA73" s="909"/>
      <c r="AB73" s="909"/>
      <c r="AC73" s="909"/>
      <c r="AF73" s="927"/>
      <c r="AG73" s="928"/>
      <c r="AH73" s="937"/>
    </row>
    <row r="74" spans="2:40" ht="12.75" customHeight="1" x14ac:dyDescent="0.2">
      <c r="B74" s="43"/>
      <c r="C74" s="44"/>
      <c r="D74" s="218"/>
      <c r="E74" s="218"/>
      <c r="F74" s="128"/>
      <c r="G74" s="219"/>
      <c r="H74" s="128"/>
      <c r="I74" s="220"/>
      <c r="J74" s="221"/>
      <c r="K74" s="1078"/>
      <c r="L74" s="856"/>
      <c r="M74" s="856"/>
      <c r="N74" s="856"/>
      <c r="O74" s="856"/>
      <c r="P74" s="947"/>
      <c r="Q74" s="218"/>
      <c r="R74" s="1079"/>
      <c r="S74" s="622"/>
      <c r="T74" s="622"/>
      <c r="U74" s="44"/>
      <c r="V74" s="47"/>
      <c r="Y74" s="881"/>
      <c r="AA74" s="909"/>
      <c r="AB74" s="909"/>
      <c r="AC74" s="909"/>
      <c r="AF74" s="927"/>
      <c r="AG74" s="928"/>
      <c r="AH74" s="937"/>
    </row>
    <row r="75" spans="2:40" ht="12.75" customHeight="1" x14ac:dyDescent="0.2">
      <c r="B75" s="49"/>
      <c r="C75" s="50"/>
      <c r="D75" s="176"/>
      <c r="E75" s="176"/>
      <c r="F75" s="129"/>
      <c r="G75" s="224"/>
      <c r="H75" s="129"/>
      <c r="I75" s="225"/>
      <c r="J75" s="226"/>
      <c r="K75" s="1068"/>
      <c r="L75" s="463"/>
      <c r="M75" s="463"/>
      <c r="N75" s="463"/>
      <c r="O75" s="463"/>
      <c r="P75" s="110"/>
      <c r="Q75" s="176"/>
      <c r="R75" s="1069"/>
      <c r="S75" s="308"/>
      <c r="T75" s="308"/>
      <c r="U75" s="50"/>
      <c r="V75" s="53"/>
      <c r="Y75" s="881"/>
      <c r="AA75" s="909"/>
      <c r="AB75" s="909"/>
      <c r="AC75" s="909"/>
      <c r="AF75" s="927"/>
      <c r="AG75" s="928"/>
      <c r="AH75" s="937"/>
    </row>
    <row r="76" spans="2:40" ht="12.75" customHeight="1" x14ac:dyDescent="0.2">
      <c r="B76" s="49"/>
      <c r="C76" s="50" t="s">
        <v>165</v>
      </c>
      <c r="D76" s="176"/>
      <c r="E76" s="270" t="str">
        <f>dir!E34</f>
        <v>2020/21</v>
      </c>
      <c r="F76" s="129"/>
      <c r="G76" s="224"/>
      <c r="H76" s="129"/>
      <c r="I76" s="225"/>
      <c r="J76" s="226"/>
      <c r="K76" s="1068"/>
      <c r="L76" s="463"/>
      <c r="M76" s="463"/>
      <c r="N76" s="463"/>
      <c r="O76" s="463"/>
      <c r="P76" s="110"/>
      <c r="Q76" s="176"/>
      <c r="R76" s="1069"/>
      <c r="S76" s="308"/>
      <c r="T76" s="308"/>
      <c r="U76" s="50"/>
      <c r="V76" s="53"/>
      <c r="Y76" s="881"/>
      <c r="AA76" s="909"/>
      <c r="AB76" s="909"/>
      <c r="AC76" s="909"/>
      <c r="AF76" s="927"/>
      <c r="AG76" s="928"/>
      <c r="AH76" s="937"/>
    </row>
    <row r="77" spans="2:40" ht="12.75" customHeight="1" x14ac:dyDescent="0.2">
      <c r="B77" s="49"/>
      <c r="C77" s="50" t="s">
        <v>187</v>
      </c>
      <c r="D77" s="176"/>
      <c r="E77" s="270">
        <f>dir!E35</f>
        <v>44105</v>
      </c>
      <c r="F77" s="129"/>
      <c r="G77" s="224"/>
      <c r="H77" s="129"/>
      <c r="I77" s="225"/>
      <c r="J77" s="226"/>
      <c r="K77" s="1068"/>
      <c r="L77" s="463"/>
      <c r="M77" s="463"/>
      <c r="N77" s="463"/>
      <c r="O77" s="463"/>
      <c r="P77" s="110"/>
      <c r="Q77" s="176"/>
      <c r="R77" s="1069"/>
      <c r="S77" s="308"/>
      <c r="T77" s="308"/>
      <c r="U77" s="50"/>
      <c r="V77" s="53"/>
      <c r="Y77" s="881"/>
      <c r="AA77" s="909"/>
      <c r="AB77" s="909"/>
      <c r="AC77" s="909"/>
      <c r="AF77" s="927"/>
      <c r="AG77" s="928"/>
      <c r="AH77" s="937"/>
    </row>
    <row r="78" spans="2:40" ht="12.75" customHeight="1" x14ac:dyDescent="0.2">
      <c r="B78" s="49"/>
      <c r="C78" s="50"/>
      <c r="D78" s="1070"/>
      <c r="E78" s="1070"/>
      <c r="F78" s="1071"/>
      <c r="G78" s="1072"/>
      <c r="H78" s="1073"/>
      <c r="I78" s="1073"/>
      <c r="J78" s="1074"/>
      <c r="K78" s="1068"/>
      <c r="L78" s="1075"/>
      <c r="M78" s="1075"/>
      <c r="N78" s="1075"/>
      <c r="O78" s="1075"/>
      <c r="P78" s="1075"/>
      <c r="Q78" s="176"/>
      <c r="R78" s="1076"/>
      <c r="S78" s="1077"/>
      <c r="T78" s="1077"/>
      <c r="U78" s="50"/>
      <c r="V78" s="53"/>
      <c r="Y78" s="881"/>
      <c r="Z78" s="962"/>
      <c r="AA78" s="945"/>
      <c r="AB78" s="945"/>
      <c r="AC78" s="945"/>
      <c r="AD78" s="930"/>
      <c r="AE78" s="930"/>
      <c r="AF78" s="931"/>
      <c r="AG78" s="932"/>
      <c r="AH78" s="938"/>
      <c r="AI78" s="926"/>
      <c r="AJ78" s="926"/>
    </row>
    <row r="79" spans="2:40" ht="12.75" customHeight="1" x14ac:dyDescent="0.2">
      <c r="B79" s="49"/>
      <c r="C79" s="341"/>
      <c r="D79" s="724"/>
      <c r="E79" s="723"/>
      <c r="F79" s="704"/>
      <c r="G79" s="725"/>
      <c r="H79" s="726"/>
      <c r="I79" s="726"/>
      <c r="J79" s="727"/>
      <c r="K79" s="967"/>
      <c r="L79" s="816"/>
      <c r="M79" s="816"/>
      <c r="N79" s="816"/>
      <c r="O79" s="816"/>
      <c r="P79" s="950"/>
      <c r="Q79" s="728"/>
      <c r="R79" s="728"/>
      <c r="S79" s="728"/>
      <c r="T79" s="729"/>
      <c r="U79" s="710"/>
      <c r="V79" s="53"/>
    </row>
    <row r="80" spans="2:40" s="81" customFormat="1" ht="12.75" customHeight="1" x14ac:dyDescent="0.2">
      <c r="B80" s="49"/>
      <c r="C80" s="135"/>
      <c r="D80" s="864" t="s">
        <v>298</v>
      </c>
      <c r="E80" s="865"/>
      <c r="F80" s="865"/>
      <c r="G80" s="865"/>
      <c r="H80" s="866"/>
      <c r="I80" s="866"/>
      <c r="J80" s="866"/>
      <c r="K80" s="968"/>
      <c r="L80" s="864" t="s">
        <v>492</v>
      </c>
      <c r="M80" s="858"/>
      <c r="N80" s="864"/>
      <c r="O80" s="864"/>
      <c r="P80" s="951"/>
      <c r="Q80" s="730"/>
      <c r="R80" s="864" t="s">
        <v>494</v>
      </c>
      <c r="S80" s="866"/>
      <c r="T80" s="935"/>
      <c r="U80" s="746"/>
      <c r="V80" s="53"/>
      <c r="W80" s="48"/>
      <c r="X80" s="48"/>
      <c r="Y80" s="882"/>
      <c r="Z80" s="913"/>
      <c r="AA80" s="882"/>
      <c r="AB80" s="882"/>
      <c r="AC80" s="882"/>
      <c r="AD80" s="912"/>
      <c r="AE80" s="912"/>
      <c r="AF80" s="913"/>
      <c r="AG80" s="933"/>
      <c r="AH80" s="941"/>
      <c r="AI80" s="923"/>
      <c r="AJ80" s="923"/>
      <c r="AK80" s="923"/>
      <c r="AL80" s="923"/>
      <c r="AM80" s="923"/>
      <c r="AN80" s="279"/>
    </row>
    <row r="81" spans="2:40" s="81" customFormat="1" ht="12.75" customHeight="1" x14ac:dyDescent="0.2">
      <c r="B81" s="49"/>
      <c r="C81" s="135"/>
      <c r="D81" s="693" t="s">
        <v>480</v>
      </c>
      <c r="E81" s="693" t="s">
        <v>171</v>
      </c>
      <c r="F81" s="732" t="s">
        <v>119</v>
      </c>
      <c r="G81" s="733" t="s">
        <v>289</v>
      </c>
      <c r="H81" s="732" t="s">
        <v>201</v>
      </c>
      <c r="I81" s="732" t="s">
        <v>229</v>
      </c>
      <c r="J81" s="734" t="s">
        <v>122</v>
      </c>
      <c r="K81" s="969"/>
      <c r="L81" s="735" t="s">
        <v>475</v>
      </c>
      <c r="M81" s="735" t="s">
        <v>468</v>
      </c>
      <c r="N81" s="735" t="s">
        <v>482</v>
      </c>
      <c r="O81" s="735" t="s">
        <v>475</v>
      </c>
      <c r="P81" s="952" t="s">
        <v>487</v>
      </c>
      <c r="Q81" s="702"/>
      <c r="R81" s="863" t="s">
        <v>186</v>
      </c>
      <c r="S81" s="737" t="s">
        <v>493</v>
      </c>
      <c r="T81" s="738" t="s">
        <v>186</v>
      </c>
      <c r="U81" s="747"/>
      <c r="V81" s="53"/>
      <c r="W81" s="48"/>
      <c r="X81" s="48"/>
      <c r="Y81" s="914" t="s">
        <v>322</v>
      </c>
      <c r="Z81" s="960" t="s">
        <v>479</v>
      </c>
      <c r="AA81" s="903" t="s">
        <v>488</v>
      </c>
      <c r="AB81" s="903" t="s">
        <v>488</v>
      </c>
      <c r="AC81" s="903" t="s">
        <v>491</v>
      </c>
      <c r="AD81" s="915" t="s">
        <v>473</v>
      </c>
      <c r="AE81" s="915" t="s">
        <v>474</v>
      </c>
      <c r="AF81" s="902" t="s">
        <v>470</v>
      </c>
      <c r="AG81" s="934" t="s">
        <v>306</v>
      </c>
      <c r="AH81" s="941" t="s">
        <v>415</v>
      </c>
      <c r="AI81" s="902" t="s">
        <v>292</v>
      </c>
      <c r="AJ81" s="902" t="s">
        <v>293</v>
      </c>
      <c r="AK81" s="902" t="s">
        <v>121</v>
      </c>
      <c r="AL81" s="902" t="s">
        <v>198</v>
      </c>
      <c r="AM81" s="915" t="s">
        <v>173</v>
      </c>
      <c r="AN81" s="282"/>
    </row>
    <row r="82" spans="2:40" s="81" customFormat="1" ht="12.75" customHeight="1" x14ac:dyDescent="0.2">
      <c r="B82" s="49"/>
      <c r="C82" s="135"/>
      <c r="D82" s="865"/>
      <c r="E82" s="693"/>
      <c r="F82" s="732" t="s">
        <v>120</v>
      </c>
      <c r="G82" s="733" t="s">
        <v>290</v>
      </c>
      <c r="H82" s="732"/>
      <c r="I82" s="732"/>
      <c r="J82" s="734"/>
      <c r="K82" s="969"/>
      <c r="L82" s="735" t="s">
        <v>476</v>
      </c>
      <c r="M82" s="735" t="s">
        <v>478</v>
      </c>
      <c r="N82" s="735" t="s">
        <v>483</v>
      </c>
      <c r="O82" s="735" t="s">
        <v>477</v>
      </c>
      <c r="P82" s="952" t="s">
        <v>284</v>
      </c>
      <c r="Q82" s="702"/>
      <c r="R82" s="706" t="s">
        <v>485</v>
      </c>
      <c r="S82" s="737" t="s">
        <v>469</v>
      </c>
      <c r="T82" s="738" t="s">
        <v>284</v>
      </c>
      <c r="U82" s="710"/>
      <c r="V82" s="53"/>
      <c r="W82" s="48"/>
      <c r="X82" s="48"/>
      <c r="Y82" s="914" t="s">
        <v>193</v>
      </c>
      <c r="Z82" s="961">
        <f>tab!$D$62</f>
        <v>0.6</v>
      </c>
      <c r="AA82" s="903" t="s">
        <v>489</v>
      </c>
      <c r="AB82" s="903" t="s">
        <v>490</v>
      </c>
      <c r="AC82" s="903" t="s">
        <v>486</v>
      </c>
      <c r="AD82" s="915" t="s">
        <v>472</v>
      </c>
      <c r="AE82" s="915" t="s">
        <v>472</v>
      </c>
      <c r="AF82" s="902" t="s">
        <v>471</v>
      </c>
      <c r="AG82" s="934"/>
      <c r="AH82" s="940" t="s">
        <v>228</v>
      </c>
      <c r="AI82" s="915" t="s">
        <v>291</v>
      </c>
      <c r="AJ82" s="915" t="s">
        <v>291</v>
      </c>
      <c r="AK82" s="902"/>
      <c r="AL82" s="902" t="s">
        <v>173</v>
      </c>
      <c r="AM82" s="915"/>
      <c r="AN82" s="343"/>
    </row>
    <row r="83" spans="2:40" ht="12.75" customHeight="1" x14ac:dyDescent="0.2">
      <c r="B83" s="49"/>
      <c r="C83" s="69"/>
      <c r="D83" s="865"/>
      <c r="E83" s="865"/>
      <c r="F83" s="703"/>
      <c r="G83" s="748"/>
      <c r="H83" s="732"/>
      <c r="I83" s="732"/>
      <c r="J83" s="734"/>
      <c r="K83" s="970"/>
      <c r="L83" s="735"/>
      <c r="M83" s="735"/>
      <c r="N83" s="735"/>
      <c r="O83" s="735"/>
      <c r="P83" s="952"/>
      <c r="Q83" s="865"/>
      <c r="R83" s="749"/>
      <c r="S83" s="749"/>
      <c r="T83" s="750"/>
      <c r="U83" s="710"/>
      <c r="V83" s="53"/>
      <c r="Y83" s="914"/>
      <c r="Z83" s="901"/>
      <c r="AA83" s="901"/>
      <c r="AB83" s="901"/>
      <c r="AC83" s="901"/>
      <c r="AD83" s="915"/>
      <c r="AE83" s="915"/>
      <c r="AF83" s="901"/>
      <c r="AG83" s="934"/>
      <c r="AH83" s="940"/>
      <c r="AM83" s="915"/>
      <c r="AN83" s="288"/>
    </row>
    <row r="84" spans="2:40" ht="12.75" customHeight="1" x14ac:dyDescent="0.2">
      <c r="B84" s="49"/>
      <c r="C84" s="69"/>
      <c r="D84" s="75" t="str">
        <f>IF(op!D16="","",op!D16)</f>
        <v/>
      </c>
      <c r="E84" s="75" t="str">
        <f>IF(op!E16=0,"",op!E16)</f>
        <v>nn</v>
      </c>
      <c r="F84" s="88">
        <f>IF(op!F16="","",op!F16+1)</f>
        <v>26</v>
      </c>
      <c r="G84" s="290">
        <f>IF(op!G16="","",op!G16)</f>
        <v>27395</v>
      </c>
      <c r="H84" s="88" t="str">
        <f>IF(op!H16=0,"",op!H16)</f>
        <v>L10</v>
      </c>
      <c r="I84" s="99">
        <f>IF(J84="","",(IF(op!I16+1&gt;LOOKUP(H84,schaal2019,regels2019),op!I16,op!I16+1)))</f>
        <v>15</v>
      </c>
      <c r="J84" s="291">
        <f>IF(op!J16="","",op!J16)</f>
        <v>0.1</v>
      </c>
      <c r="K84" s="971"/>
      <c r="L84" s="859">
        <f t="shared" ref="L84:M103" si="23">IF(L16="",0,L16)</f>
        <v>0</v>
      </c>
      <c r="M84" s="859">
        <f t="shared" si="23"/>
        <v>0</v>
      </c>
      <c r="N84" s="867">
        <f>IF(J84="","",IF((J84*40)&gt;40,40,((J84*40))))</f>
        <v>4</v>
      </c>
      <c r="O84" s="867">
        <f>IF(J84="","",IF(I84&lt;4,(40*J84),0))</f>
        <v>0</v>
      </c>
      <c r="P84" s="953">
        <f t="shared" ref="P84:P138" si="24">IF(J84="","",(SUM(L84:O84)))</f>
        <v>4</v>
      </c>
      <c r="Q84" s="70"/>
      <c r="R84" s="739">
        <f>IF(J84="","",(((1659*J84)-P84)*AB84))</f>
        <v>7326.1945750452078</v>
      </c>
      <c r="S84" s="739">
        <f t="shared" ref="S84:S138" si="25">IF(J84="","",(P84*AC84)+(AA84*AD84)+((AE84*AA84*(1-AF84))))</f>
        <v>181.00542495479203</v>
      </c>
      <c r="T84" s="740">
        <f t="shared" ref="T84:T138" si="26">IF(J84="","",(R84+S84))</f>
        <v>7507.2</v>
      </c>
      <c r="U84" s="275"/>
      <c r="V84" s="293"/>
      <c r="W84" s="288"/>
      <c r="X84" s="288"/>
      <c r="Y84" s="908">
        <f t="shared" ref="Y84:Y115" si="27">IF(H84="",0,5/12*VLOOKUP(H84,salaris2020,I84+1,FALSE)+7/12*VLOOKUP(H84,salaris2020,I84+1,FALSE))</f>
        <v>3910</v>
      </c>
      <c r="Z84" s="986">
        <f>tab!$D$62</f>
        <v>0.6</v>
      </c>
      <c r="AA84" s="944">
        <f t="shared" ref="AA84:AA139" si="28">(Y84*12/1659)</f>
        <v>28.282097649186255</v>
      </c>
      <c r="AB84" s="944">
        <f t="shared" ref="AB84:AB138" si="29">(Y84*12*(1+Z84))/1659</f>
        <v>45.251356238698008</v>
      </c>
      <c r="AC84" s="944">
        <f t="shared" ref="AC84:AC139" si="30">AB84-AA84</f>
        <v>16.969258589511753</v>
      </c>
      <c r="AD84" s="943">
        <f t="shared" ref="AD84:AD138" si="31">(N84+O84)</f>
        <v>4</v>
      </c>
      <c r="AE84" s="943">
        <f t="shared" ref="AE84:AE138" si="32">(L84+M84)</f>
        <v>0</v>
      </c>
      <c r="AF84" s="916">
        <f>IF(H84&gt;8,tab!$D$63,tab!$D$65)</f>
        <v>0.5</v>
      </c>
      <c r="AG84" s="925">
        <f t="shared" ref="AG84:AG115" si="33">IF(F84&lt;25,0,IF(F84=25,25,IF(F84&lt;40,0,IF(F84=40,40,IF(F84&gt;=40,0)))))</f>
        <v>0</v>
      </c>
      <c r="AH84" s="940">
        <f t="shared" ref="AH84:AH115" si="34">IF(AG84=25,(Y84*1.08*(J84)/2),IF(AG84=40,(Y84*1.08*(J84)),IF(AG84=0,0)))</f>
        <v>0</v>
      </c>
      <c r="AI84" s="924" t="b">
        <f>DATE(YEAR(tab!$F$3),MONTH(G84),DAY(G84))&gt;tab!$F$3</f>
        <v>0</v>
      </c>
      <c r="AJ84" s="925">
        <f t="shared" ref="AJ84:AJ115" si="35">YEAR($E$77)-YEAR(G84)-AI84</f>
        <v>45</v>
      </c>
      <c r="AK84" s="884">
        <f t="shared" ref="AK84:AK115" si="36">IF((G84=""),30,AJ84)</f>
        <v>45</v>
      </c>
      <c r="AL84" s="884">
        <f t="shared" ref="AL84:AL115" si="37">IF((AK84)&gt;50,50,(AK84))</f>
        <v>45</v>
      </c>
      <c r="AM84" s="925">
        <f>ROUND(AL84*J84,2)</f>
        <v>4.5</v>
      </c>
    </row>
    <row r="85" spans="2:40" ht="12.75" customHeight="1" x14ac:dyDescent="0.2">
      <c r="B85" s="49"/>
      <c r="C85" s="69"/>
      <c r="D85" s="75" t="str">
        <f>IF(op!D17="","",op!D17)</f>
        <v/>
      </c>
      <c r="E85" s="75" t="str">
        <f>IF(op!E17=0,"",op!E17)</f>
        <v/>
      </c>
      <c r="F85" s="88" t="str">
        <f>IF(op!F17="","",op!F17+1)</f>
        <v/>
      </c>
      <c r="G85" s="290" t="str">
        <f>IF(op!G17="","",op!G17)</f>
        <v/>
      </c>
      <c r="H85" s="88" t="str">
        <f>IF(op!H17=0,"",op!H17)</f>
        <v/>
      </c>
      <c r="I85" s="99" t="str">
        <f>IF(J85="","",(IF(op!I17+1&gt;LOOKUP(H85,schaal2019,regels2019),op!I17,op!I17+1)))</f>
        <v/>
      </c>
      <c r="J85" s="291" t="str">
        <f>IF(op!J17="","",op!J17)</f>
        <v/>
      </c>
      <c r="K85" s="971"/>
      <c r="L85" s="859">
        <f t="shared" si="23"/>
        <v>0</v>
      </c>
      <c r="M85" s="859">
        <f t="shared" si="23"/>
        <v>0</v>
      </c>
      <c r="N85" s="867" t="str">
        <f t="shared" ref="N85:N138" si="38">IF(J85="","",IF((J85*40)&gt;40,40,((J85*40))))</f>
        <v/>
      </c>
      <c r="O85" s="867" t="str">
        <f t="shared" ref="O85:O138" si="39">IF(J85="","",IF(I85&lt;4,(40*J85),0))</f>
        <v/>
      </c>
      <c r="P85" s="953" t="str">
        <f t="shared" si="24"/>
        <v/>
      </c>
      <c r="Q85" s="70"/>
      <c r="R85" s="739" t="str">
        <f t="shared" ref="R85:R138" si="40">IF(J85="","",(((1659*J85)-P85)*AB85))</f>
        <v/>
      </c>
      <c r="S85" s="739" t="str">
        <f t="shared" si="25"/>
        <v/>
      </c>
      <c r="T85" s="740" t="str">
        <f t="shared" si="26"/>
        <v/>
      </c>
      <c r="U85" s="275"/>
      <c r="V85" s="293"/>
      <c r="W85" s="288"/>
      <c r="X85" s="288"/>
      <c r="Y85" s="908">
        <f t="shared" si="27"/>
        <v>0</v>
      </c>
      <c r="Z85" s="986">
        <f>tab!$D$62</f>
        <v>0.6</v>
      </c>
      <c r="AA85" s="944">
        <f t="shared" si="28"/>
        <v>0</v>
      </c>
      <c r="AB85" s="944">
        <f t="shared" si="29"/>
        <v>0</v>
      </c>
      <c r="AC85" s="944">
        <f t="shared" si="30"/>
        <v>0</v>
      </c>
      <c r="AD85" s="943" t="e">
        <f t="shared" si="31"/>
        <v>#VALUE!</v>
      </c>
      <c r="AE85" s="943">
        <f t="shared" si="32"/>
        <v>0</v>
      </c>
      <c r="AF85" s="916">
        <f>IF(H85&gt;8,tab!$D$63,tab!$D$65)</f>
        <v>0.5</v>
      </c>
      <c r="AG85" s="925">
        <f t="shared" si="33"/>
        <v>0</v>
      </c>
      <c r="AH85" s="940">
        <f t="shared" si="34"/>
        <v>0</v>
      </c>
      <c r="AI85" s="924" t="e">
        <f>DATE(YEAR(tab!$F$3),MONTH(G85),DAY(G85))&gt;tab!$F$3</f>
        <v>#VALUE!</v>
      </c>
      <c r="AJ85" s="925" t="e">
        <f t="shared" si="35"/>
        <v>#VALUE!</v>
      </c>
      <c r="AK85" s="884">
        <f t="shared" si="36"/>
        <v>30</v>
      </c>
      <c r="AL85" s="884">
        <f t="shared" si="37"/>
        <v>30</v>
      </c>
      <c r="AM85" s="925">
        <f t="shared" ref="AM85:AM115" si="41">ROUND((AL85*(SUM(J85:J85))),2)</f>
        <v>0</v>
      </c>
    </row>
    <row r="86" spans="2:40" ht="12.75" customHeight="1" x14ac:dyDescent="0.2">
      <c r="B86" s="49"/>
      <c r="C86" s="69"/>
      <c r="D86" s="75" t="str">
        <f>IF(op!D18="","",op!D18)</f>
        <v/>
      </c>
      <c r="E86" s="75" t="str">
        <f>IF(op!E18=0,"",op!E18)</f>
        <v/>
      </c>
      <c r="F86" s="88" t="str">
        <f>IF(op!F18="","",op!F18+1)</f>
        <v/>
      </c>
      <c r="G86" s="290" t="str">
        <f>IF(op!G18="","",op!G18)</f>
        <v/>
      </c>
      <c r="H86" s="88" t="str">
        <f>IF(op!H18=0,"",op!H18)</f>
        <v/>
      </c>
      <c r="I86" s="99" t="str">
        <f>IF(J86="","",(IF(op!I18+1&gt;LOOKUP(H86,schaal2019,regels2019),op!I18,op!I18+1)))</f>
        <v/>
      </c>
      <c r="J86" s="291" t="str">
        <f>IF(op!J18="","",op!J18)</f>
        <v/>
      </c>
      <c r="K86" s="971"/>
      <c r="L86" s="859">
        <f t="shared" si="23"/>
        <v>0</v>
      </c>
      <c r="M86" s="859">
        <f t="shared" si="23"/>
        <v>0</v>
      </c>
      <c r="N86" s="867" t="str">
        <f t="shared" si="38"/>
        <v/>
      </c>
      <c r="O86" s="867" t="str">
        <f t="shared" si="39"/>
        <v/>
      </c>
      <c r="P86" s="953" t="str">
        <f t="shared" si="24"/>
        <v/>
      </c>
      <c r="Q86" s="70"/>
      <c r="R86" s="739" t="str">
        <f t="shared" si="40"/>
        <v/>
      </c>
      <c r="S86" s="739" t="str">
        <f t="shared" si="25"/>
        <v/>
      </c>
      <c r="T86" s="740" t="str">
        <f t="shared" si="26"/>
        <v/>
      </c>
      <c r="U86" s="275"/>
      <c r="V86" s="293"/>
      <c r="W86" s="288"/>
      <c r="X86" s="288"/>
      <c r="Y86" s="908">
        <f t="shared" si="27"/>
        <v>0</v>
      </c>
      <c r="Z86" s="986">
        <f>tab!$D$62</f>
        <v>0.6</v>
      </c>
      <c r="AA86" s="944">
        <f t="shared" si="28"/>
        <v>0</v>
      </c>
      <c r="AB86" s="944">
        <f t="shared" si="29"/>
        <v>0</v>
      </c>
      <c r="AC86" s="944">
        <f t="shared" si="30"/>
        <v>0</v>
      </c>
      <c r="AD86" s="943" t="e">
        <f t="shared" si="31"/>
        <v>#VALUE!</v>
      </c>
      <c r="AE86" s="943">
        <f t="shared" si="32"/>
        <v>0</v>
      </c>
      <c r="AF86" s="916">
        <f>IF(H86&gt;8,tab!$D$63,tab!$D$65)</f>
        <v>0.5</v>
      </c>
      <c r="AG86" s="925">
        <f t="shared" si="33"/>
        <v>0</v>
      </c>
      <c r="AH86" s="940">
        <f t="shared" si="34"/>
        <v>0</v>
      </c>
      <c r="AI86" s="924" t="e">
        <f>DATE(YEAR(tab!$F$3),MONTH(G86),DAY(G86))&gt;tab!$F$3</f>
        <v>#VALUE!</v>
      </c>
      <c r="AJ86" s="925" t="e">
        <f t="shared" si="35"/>
        <v>#VALUE!</v>
      </c>
      <c r="AK86" s="884">
        <f t="shared" si="36"/>
        <v>30</v>
      </c>
      <c r="AL86" s="884">
        <f t="shared" si="37"/>
        <v>30</v>
      </c>
      <c r="AM86" s="925">
        <f t="shared" si="41"/>
        <v>0</v>
      </c>
    </row>
    <row r="87" spans="2:40" ht="12.75" customHeight="1" x14ac:dyDescent="0.2">
      <c r="B87" s="49"/>
      <c r="C87" s="69"/>
      <c r="D87" s="75" t="str">
        <f>IF(op!D19="","",op!D19)</f>
        <v/>
      </c>
      <c r="E87" s="75" t="str">
        <f>IF(op!E19=0,"",op!E19)</f>
        <v/>
      </c>
      <c r="F87" s="88" t="str">
        <f>IF(op!F19="","",op!F19+1)</f>
        <v/>
      </c>
      <c r="G87" s="290" t="str">
        <f>IF(op!G19="","",op!G19)</f>
        <v/>
      </c>
      <c r="H87" s="88" t="str">
        <f>IF(op!H19=0,"",op!H19)</f>
        <v/>
      </c>
      <c r="I87" s="99" t="str">
        <f>IF(J87="","",(IF(op!I19+1&gt;LOOKUP(H87,schaal2019,regels2019),op!I19,op!I19+1)))</f>
        <v/>
      </c>
      <c r="J87" s="291" t="str">
        <f>IF(op!J19="","",op!J19)</f>
        <v/>
      </c>
      <c r="K87" s="971"/>
      <c r="L87" s="859">
        <f t="shared" si="23"/>
        <v>0</v>
      </c>
      <c r="M87" s="859">
        <f t="shared" si="23"/>
        <v>0</v>
      </c>
      <c r="N87" s="867" t="str">
        <f t="shared" si="38"/>
        <v/>
      </c>
      <c r="O87" s="867" t="str">
        <f t="shared" si="39"/>
        <v/>
      </c>
      <c r="P87" s="953" t="str">
        <f t="shared" si="24"/>
        <v/>
      </c>
      <c r="Q87" s="70"/>
      <c r="R87" s="739" t="str">
        <f t="shared" si="40"/>
        <v/>
      </c>
      <c r="S87" s="739" t="str">
        <f t="shared" si="25"/>
        <v/>
      </c>
      <c r="T87" s="740" t="str">
        <f t="shared" si="26"/>
        <v/>
      </c>
      <c r="U87" s="275"/>
      <c r="V87" s="293"/>
      <c r="W87" s="288"/>
      <c r="X87" s="288"/>
      <c r="Y87" s="908">
        <f t="shared" si="27"/>
        <v>0</v>
      </c>
      <c r="Z87" s="986">
        <f>tab!$D$62</f>
        <v>0.6</v>
      </c>
      <c r="AA87" s="944">
        <f t="shared" si="28"/>
        <v>0</v>
      </c>
      <c r="AB87" s="944">
        <f t="shared" si="29"/>
        <v>0</v>
      </c>
      <c r="AC87" s="944">
        <f t="shared" si="30"/>
        <v>0</v>
      </c>
      <c r="AD87" s="943" t="e">
        <f t="shared" si="31"/>
        <v>#VALUE!</v>
      </c>
      <c r="AE87" s="943">
        <f t="shared" si="32"/>
        <v>0</v>
      </c>
      <c r="AF87" s="916">
        <f>IF(H87&gt;8,tab!$D$63,tab!$D$65)</f>
        <v>0.5</v>
      </c>
      <c r="AG87" s="925">
        <f t="shared" si="33"/>
        <v>0</v>
      </c>
      <c r="AH87" s="940">
        <f t="shared" si="34"/>
        <v>0</v>
      </c>
      <c r="AI87" s="924" t="e">
        <f>DATE(YEAR(tab!$F$3),MONTH(G87),DAY(G87))&gt;tab!$F$3</f>
        <v>#VALUE!</v>
      </c>
      <c r="AJ87" s="925" t="e">
        <f t="shared" si="35"/>
        <v>#VALUE!</v>
      </c>
      <c r="AK87" s="884">
        <f t="shared" si="36"/>
        <v>30</v>
      </c>
      <c r="AL87" s="884">
        <f t="shared" si="37"/>
        <v>30</v>
      </c>
      <c r="AM87" s="925">
        <f t="shared" si="41"/>
        <v>0</v>
      </c>
    </row>
    <row r="88" spans="2:40" ht="12.75" customHeight="1" x14ac:dyDescent="0.2">
      <c r="B88" s="49"/>
      <c r="C88" s="69"/>
      <c r="D88" s="75" t="str">
        <f>IF(op!D20="","",op!D20)</f>
        <v/>
      </c>
      <c r="E88" s="75" t="str">
        <f>IF(op!E20=0,"",op!E20)</f>
        <v/>
      </c>
      <c r="F88" s="88" t="str">
        <f>IF(op!F20="","",op!F20+1)</f>
        <v/>
      </c>
      <c r="G88" s="290" t="str">
        <f>IF(op!G20="","",op!G20)</f>
        <v/>
      </c>
      <c r="H88" s="88" t="str">
        <f>IF(op!H20=0,"",op!H20)</f>
        <v/>
      </c>
      <c r="I88" s="99" t="str">
        <f>IF(J88="","",(IF(op!I20+1&gt;LOOKUP(H88,schaal2019,regels2019),op!I20,op!I20+1)))</f>
        <v/>
      </c>
      <c r="J88" s="291" t="str">
        <f>IF(op!J20="","",op!J20)</f>
        <v/>
      </c>
      <c r="K88" s="971"/>
      <c r="L88" s="859">
        <f t="shared" si="23"/>
        <v>0</v>
      </c>
      <c r="M88" s="859">
        <f t="shared" si="23"/>
        <v>0</v>
      </c>
      <c r="N88" s="867" t="str">
        <f t="shared" si="38"/>
        <v/>
      </c>
      <c r="O88" s="867" t="str">
        <f t="shared" si="39"/>
        <v/>
      </c>
      <c r="P88" s="953" t="str">
        <f t="shared" si="24"/>
        <v/>
      </c>
      <c r="Q88" s="70"/>
      <c r="R88" s="739" t="str">
        <f t="shared" si="40"/>
        <v/>
      </c>
      <c r="S88" s="739" t="str">
        <f t="shared" si="25"/>
        <v/>
      </c>
      <c r="T88" s="740" t="str">
        <f t="shared" si="26"/>
        <v/>
      </c>
      <c r="U88" s="275"/>
      <c r="V88" s="293"/>
      <c r="W88" s="288"/>
      <c r="X88" s="288"/>
      <c r="Y88" s="908">
        <f t="shared" si="27"/>
        <v>0</v>
      </c>
      <c r="Z88" s="986">
        <f>tab!$D$62</f>
        <v>0.6</v>
      </c>
      <c r="AA88" s="944">
        <f t="shared" si="28"/>
        <v>0</v>
      </c>
      <c r="AB88" s="944">
        <f t="shared" si="29"/>
        <v>0</v>
      </c>
      <c r="AC88" s="944">
        <f t="shared" si="30"/>
        <v>0</v>
      </c>
      <c r="AD88" s="943" t="e">
        <f t="shared" si="31"/>
        <v>#VALUE!</v>
      </c>
      <c r="AE88" s="943">
        <f t="shared" si="32"/>
        <v>0</v>
      </c>
      <c r="AF88" s="916">
        <f>IF(H88&gt;8,tab!$D$63,tab!$D$65)</f>
        <v>0.5</v>
      </c>
      <c r="AG88" s="925">
        <f t="shared" si="33"/>
        <v>0</v>
      </c>
      <c r="AH88" s="940">
        <f t="shared" si="34"/>
        <v>0</v>
      </c>
      <c r="AI88" s="924" t="e">
        <f>DATE(YEAR(tab!$F$3),MONTH(G88),DAY(G88))&gt;tab!$F$3</f>
        <v>#VALUE!</v>
      </c>
      <c r="AJ88" s="925" t="e">
        <f t="shared" si="35"/>
        <v>#VALUE!</v>
      </c>
      <c r="AK88" s="884">
        <f t="shared" si="36"/>
        <v>30</v>
      </c>
      <c r="AL88" s="884">
        <f t="shared" si="37"/>
        <v>30</v>
      </c>
      <c r="AM88" s="925">
        <f t="shared" si="41"/>
        <v>0</v>
      </c>
    </row>
    <row r="89" spans="2:40" ht="12.75" customHeight="1" x14ac:dyDescent="0.2">
      <c r="B89" s="49"/>
      <c r="C89" s="69"/>
      <c r="D89" s="75" t="str">
        <f>IF(op!D21="","",op!D21)</f>
        <v/>
      </c>
      <c r="E89" s="75" t="str">
        <f>IF(op!E21=0,"",op!E21)</f>
        <v/>
      </c>
      <c r="F89" s="88" t="str">
        <f>IF(op!F21="","",op!F21+1)</f>
        <v/>
      </c>
      <c r="G89" s="290" t="str">
        <f>IF(op!G21="","",op!G21)</f>
        <v/>
      </c>
      <c r="H89" s="88" t="str">
        <f>IF(op!H21=0,"",op!H21)</f>
        <v/>
      </c>
      <c r="I89" s="99" t="str">
        <f>IF(J89="","",(IF(op!I21+1&gt;LOOKUP(H89,schaal2019,regels2019),op!I21,op!I21+1)))</f>
        <v/>
      </c>
      <c r="J89" s="291" t="str">
        <f>IF(op!J21="","",op!J21)</f>
        <v/>
      </c>
      <c r="K89" s="971"/>
      <c r="L89" s="859">
        <f t="shared" si="23"/>
        <v>0</v>
      </c>
      <c r="M89" s="859">
        <f t="shared" si="23"/>
        <v>0</v>
      </c>
      <c r="N89" s="867" t="str">
        <f t="shared" si="38"/>
        <v/>
      </c>
      <c r="O89" s="867" t="str">
        <f t="shared" si="39"/>
        <v/>
      </c>
      <c r="P89" s="953" t="str">
        <f t="shared" si="24"/>
        <v/>
      </c>
      <c r="Q89" s="70"/>
      <c r="R89" s="739" t="str">
        <f t="shared" si="40"/>
        <v/>
      </c>
      <c r="S89" s="739" t="str">
        <f t="shared" si="25"/>
        <v/>
      </c>
      <c r="T89" s="740" t="str">
        <f t="shared" si="26"/>
        <v/>
      </c>
      <c r="U89" s="275"/>
      <c r="V89" s="293"/>
      <c r="W89" s="288"/>
      <c r="X89" s="288"/>
      <c r="Y89" s="908">
        <f t="shared" si="27"/>
        <v>0</v>
      </c>
      <c r="Z89" s="986">
        <f>tab!$D$62</f>
        <v>0.6</v>
      </c>
      <c r="AA89" s="944">
        <f t="shared" si="28"/>
        <v>0</v>
      </c>
      <c r="AB89" s="944">
        <f t="shared" si="29"/>
        <v>0</v>
      </c>
      <c r="AC89" s="944">
        <f t="shared" si="30"/>
        <v>0</v>
      </c>
      <c r="AD89" s="943" t="e">
        <f t="shared" si="31"/>
        <v>#VALUE!</v>
      </c>
      <c r="AE89" s="943">
        <f t="shared" si="32"/>
        <v>0</v>
      </c>
      <c r="AF89" s="916">
        <f>IF(H89&gt;8,tab!$D$63,tab!$D$65)</f>
        <v>0.5</v>
      </c>
      <c r="AG89" s="925">
        <f t="shared" si="33"/>
        <v>0</v>
      </c>
      <c r="AH89" s="940">
        <f t="shared" si="34"/>
        <v>0</v>
      </c>
      <c r="AI89" s="924" t="e">
        <f>DATE(YEAR(tab!$F$3),MONTH(G89),DAY(G89))&gt;tab!$F$3</f>
        <v>#VALUE!</v>
      </c>
      <c r="AJ89" s="925" t="e">
        <f t="shared" si="35"/>
        <v>#VALUE!</v>
      </c>
      <c r="AK89" s="884">
        <f t="shared" si="36"/>
        <v>30</v>
      </c>
      <c r="AL89" s="884">
        <f t="shared" si="37"/>
        <v>30</v>
      </c>
      <c r="AM89" s="925">
        <f t="shared" si="41"/>
        <v>0</v>
      </c>
    </row>
    <row r="90" spans="2:40" ht="12.75" customHeight="1" x14ac:dyDescent="0.2">
      <c r="B90" s="49"/>
      <c r="C90" s="69"/>
      <c r="D90" s="75" t="str">
        <f>IF(op!D22="","",op!D22)</f>
        <v/>
      </c>
      <c r="E90" s="75" t="str">
        <f>IF(op!E22=0,"",op!E22)</f>
        <v/>
      </c>
      <c r="F90" s="88" t="str">
        <f>IF(op!F22="","",op!F22+1)</f>
        <v/>
      </c>
      <c r="G90" s="290" t="str">
        <f>IF(op!G22="","",op!G22)</f>
        <v/>
      </c>
      <c r="H90" s="88" t="str">
        <f>IF(op!H22=0,"",op!H22)</f>
        <v/>
      </c>
      <c r="I90" s="99" t="str">
        <f>IF(J90="","",(IF(op!I22+1&gt;LOOKUP(H90,schaal2019,regels2019),op!I22,op!I22+1)))</f>
        <v/>
      </c>
      <c r="J90" s="291" t="str">
        <f>IF(op!J22="","",op!J22)</f>
        <v/>
      </c>
      <c r="K90" s="971"/>
      <c r="L90" s="859">
        <f t="shared" si="23"/>
        <v>0</v>
      </c>
      <c r="M90" s="859">
        <f t="shared" si="23"/>
        <v>0</v>
      </c>
      <c r="N90" s="867" t="str">
        <f t="shared" si="38"/>
        <v/>
      </c>
      <c r="O90" s="867" t="str">
        <f t="shared" si="39"/>
        <v/>
      </c>
      <c r="P90" s="953" t="str">
        <f t="shared" si="24"/>
        <v/>
      </c>
      <c r="Q90" s="70"/>
      <c r="R90" s="739" t="str">
        <f t="shared" si="40"/>
        <v/>
      </c>
      <c r="S90" s="739" t="str">
        <f t="shared" si="25"/>
        <v/>
      </c>
      <c r="T90" s="740" t="str">
        <f t="shared" si="26"/>
        <v/>
      </c>
      <c r="U90" s="275"/>
      <c r="V90" s="293"/>
      <c r="W90" s="288"/>
      <c r="X90" s="288"/>
      <c r="Y90" s="908">
        <f t="shared" si="27"/>
        <v>0</v>
      </c>
      <c r="Z90" s="986">
        <f>tab!$D$62</f>
        <v>0.6</v>
      </c>
      <c r="AA90" s="944">
        <f t="shared" si="28"/>
        <v>0</v>
      </c>
      <c r="AB90" s="944">
        <f t="shared" si="29"/>
        <v>0</v>
      </c>
      <c r="AC90" s="944">
        <f t="shared" si="30"/>
        <v>0</v>
      </c>
      <c r="AD90" s="943" t="e">
        <f t="shared" si="31"/>
        <v>#VALUE!</v>
      </c>
      <c r="AE90" s="943">
        <f t="shared" si="32"/>
        <v>0</v>
      </c>
      <c r="AF90" s="916">
        <f>IF(H90&gt;8,tab!$D$63,tab!$D$65)</f>
        <v>0.5</v>
      </c>
      <c r="AG90" s="925">
        <f t="shared" si="33"/>
        <v>0</v>
      </c>
      <c r="AH90" s="940">
        <f t="shared" si="34"/>
        <v>0</v>
      </c>
      <c r="AI90" s="924" t="e">
        <f>DATE(YEAR(tab!$F$3),MONTH(G90),DAY(G90))&gt;tab!$F$3</f>
        <v>#VALUE!</v>
      </c>
      <c r="AJ90" s="925" t="e">
        <f t="shared" si="35"/>
        <v>#VALUE!</v>
      </c>
      <c r="AK90" s="884">
        <f t="shared" si="36"/>
        <v>30</v>
      </c>
      <c r="AL90" s="884">
        <f t="shared" si="37"/>
        <v>30</v>
      </c>
      <c r="AM90" s="925">
        <f t="shared" si="41"/>
        <v>0</v>
      </c>
    </row>
    <row r="91" spans="2:40" ht="12.75" customHeight="1" x14ac:dyDescent="0.2">
      <c r="B91" s="49"/>
      <c r="C91" s="69"/>
      <c r="D91" s="75" t="str">
        <f>IF(op!D23="","",op!D23)</f>
        <v/>
      </c>
      <c r="E91" s="75" t="str">
        <f>IF(op!E23=0,"",op!E23)</f>
        <v/>
      </c>
      <c r="F91" s="88" t="str">
        <f>IF(op!F23="","",op!F23+1)</f>
        <v/>
      </c>
      <c r="G91" s="290" t="str">
        <f>IF(op!G23="","",op!G23)</f>
        <v/>
      </c>
      <c r="H91" s="88" t="str">
        <f>IF(op!H23=0,"",op!H23)</f>
        <v/>
      </c>
      <c r="I91" s="99" t="str">
        <f>IF(J91="","",(IF(op!I23+1&gt;LOOKUP(H91,schaal2019,regels2019),op!I23,op!I23+1)))</f>
        <v/>
      </c>
      <c r="J91" s="291" t="str">
        <f>IF(op!J23="","",op!J23)</f>
        <v/>
      </c>
      <c r="K91" s="971"/>
      <c r="L91" s="859">
        <f t="shared" si="23"/>
        <v>0</v>
      </c>
      <c r="M91" s="859">
        <f t="shared" si="23"/>
        <v>0</v>
      </c>
      <c r="N91" s="867" t="str">
        <f t="shared" si="38"/>
        <v/>
      </c>
      <c r="O91" s="867" t="str">
        <f t="shared" si="39"/>
        <v/>
      </c>
      <c r="P91" s="953" t="str">
        <f t="shared" si="24"/>
        <v/>
      </c>
      <c r="Q91" s="70"/>
      <c r="R91" s="739" t="str">
        <f t="shared" si="40"/>
        <v/>
      </c>
      <c r="S91" s="739" t="str">
        <f t="shared" si="25"/>
        <v/>
      </c>
      <c r="T91" s="740" t="str">
        <f t="shared" si="26"/>
        <v/>
      </c>
      <c r="U91" s="275"/>
      <c r="V91" s="293"/>
      <c r="W91" s="288"/>
      <c r="X91" s="288"/>
      <c r="Y91" s="908">
        <f t="shared" si="27"/>
        <v>0</v>
      </c>
      <c r="Z91" s="986">
        <f>tab!$D$62</f>
        <v>0.6</v>
      </c>
      <c r="AA91" s="944">
        <f t="shared" si="28"/>
        <v>0</v>
      </c>
      <c r="AB91" s="944">
        <f t="shared" si="29"/>
        <v>0</v>
      </c>
      <c r="AC91" s="944">
        <f t="shared" si="30"/>
        <v>0</v>
      </c>
      <c r="AD91" s="943" t="e">
        <f t="shared" si="31"/>
        <v>#VALUE!</v>
      </c>
      <c r="AE91" s="943">
        <f t="shared" si="32"/>
        <v>0</v>
      </c>
      <c r="AF91" s="916">
        <f>IF(H91&gt;8,tab!$D$63,tab!$D$65)</f>
        <v>0.5</v>
      </c>
      <c r="AG91" s="925">
        <f t="shared" si="33"/>
        <v>0</v>
      </c>
      <c r="AH91" s="940">
        <f t="shared" si="34"/>
        <v>0</v>
      </c>
      <c r="AI91" s="924" t="e">
        <f>DATE(YEAR(tab!$F$3),MONTH(G91),DAY(G91))&gt;tab!$F$3</f>
        <v>#VALUE!</v>
      </c>
      <c r="AJ91" s="925" t="e">
        <f t="shared" si="35"/>
        <v>#VALUE!</v>
      </c>
      <c r="AK91" s="884">
        <f t="shared" si="36"/>
        <v>30</v>
      </c>
      <c r="AL91" s="884">
        <f t="shared" si="37"/>
        <v>30</v>
      </c>
      <c r="AM91" s="925">
        <f t="shared" si="41"/>
        <v>0</v>
      </c>
    </row>
    <row r="92" spans="2:40" ht="12.75" customHeight="1" x14ac:dyDescent="0.2">
      <c r="B92" s="49"/>
      <c r="C92" s="69"/>
      <c r="D92" s="75" t="str">
        <f>IF(op!D24="","",op!D24)</f>
        <v/>
      </c>
      <c r="E92" s="75" t="str">
        <f>IF(op!E24=0,"",op!E24)</f>
        <v/>
      </c>
      <c r="F92" s="88" t="str">
        <f>IF(op!F24="","",op!F24+1)</f>
        <v/>
      </c>
      <c r="G92" s="290" t="str">
        <f>IF(op!G24="","",op!G24)</f>
        <v/>
      </c>
      <c r="H92" s="88" t="str">
        <f>IF(op!H24=0,"",op!H24)</f>
        <v/>
      </c>
      <c r="I92" s="99" t="str">
        <f>IF(J92="","",(IF(op!I24+1&gt;LOOKUP(H92,schaal2019,regels2019),op!I24,op!I24+1)))</f>
        <v/>
      </c>
      <c r="J92" s="291" t="str">
        <f>IF(op!J24="","",op!J24)</f>
        <v/>
      </c>
      <c r="K92" s="971"/>
      <c r="L92" s="859">
        <f t="shared" si="23"/>
        <v>0</v>
      </c>
      <c r="M92" s="859">
        <f t="shared" si="23"/>
        <v>0</v>
      </c>
      <c r="N92" s="867" t="str">
        <f t="shared" si="38"/>
        <v/>
      </c>
      <c r="O92" s="867" t="str">
        <f t="shared" si="39"/>
        <v/>
      </c>
      <c r="P92" s="953" t="str">
        <f t="shared" si="24"/>
        <v/>
      </c>
      <c r="Q92" s="70"/>
      <c r="R92" s="739" t="str">
        <f t="shared" si="40"/>
        <v/>
      </c>
      <c r="S92" s="739" t="str">
        <f t="shared" si="25"/>
        <v/>
      </c>
      <c r="T92" s="740" t="str">
        <f t="shared" si="26"/>
        <v/>
      </c>
      <c r="U92" s="275"/>
      <c r="V92" s="293"/>
      <c r="W92" s="288"/>
      <c r="X92" s="288"/>
      <c r="Y92" s="908">
        <f t="shared" si="27"/>
        <v>0</v>
      </c>
      <c r="Z92" s="986">
        <f>tab!$D$62</f>
        <v>0.6</v>
      </c>
      <c r="AA92" s="944">
        <f t="shared" si="28"/>
        <v>0</v>
      </c>
      <c r="AB92" s="944">
        <f t="shared" si="29"/>
        <v>0</v>
      </c>
      <c r="AC92" s="944">
        <f t="shared" si="30"/>
        <v>0</v>
      </c>
      <c r="AD92" s="943" t="e">
        <f t="shared" si="31"/>
        <v>#VALUE!</v>
      </c>
      <c r="AE92" s="943">
        <f t="shared" si="32"/>
        <v>0</v>
      </c>
      <c r="AF92" s="916">
        <f>IF(H92&gt;8,tab!$D$63,tab!$D$65)</f>
        <v>0.5</v>
      </c>
      <c r="AG92" s="925">
        <f t="shared" si="33"/>
        <v>0</v>
      </c>
      <c r="AH92" s="940">
        <f t="shared" si="34"/>
        <v>0</v>
      </c>
      <c r="AI92" s="924" t="e">
        <f>DATE(YEAR(tab!$F$3),MONTH(G92),DAY(G92))&gt;tab!$F$3</f>
        <v>#VALUE!</v>
      </c>
      <c r="AJ92" s="925" t="e">
        <f t="shared" si="35"/>
        <v>#VALUE!</v>
      </c>
      <c r="AK92" s="884">
        <f t="shared" si="36"/>
        <v>30</v>
      </c>
      <c r="AL92" s="884">
        <f t="shared" si="37"/>
        <v>30</v>
      </c>
      <c r="AM92" s="925">
        <f t="shared" si="41"/>
        <v>0</v>
      </c>
    </row>
    <row r="93" spans="2:40" ht="12.75" customHeight="1" x14ac:dyDescent="0.2">
      <c r="B93" s="49"/>
      <c r="C93" s="69"/>
      <c r="D93" s="75" t="str">
        <f>IF(op!D25="","",op!D25)</f>
        <v/>
      </c>
      <c r="E93" s="75" t="str">
        <f>IF(op!E25=0,"",op!E25)</f>
        <v/>
      </c>
      <c r="F93" s="88" t="str">
        <f>IF(op!F25="","",op!F25+1)</f>
        <v/>
      </c>
      <c r="G93" s="290" t="str">
        <f>IF(op!G25="","",op!G25)</f>
        <v/>
      </c>
      <c r="H93" s="88" t="str">
        <f>IF(op!H25=0,"",op!H25)</f>
        <v/>
      </c>
      <c r="I93" s="99" t="str">
        <f>IF(J93="","",(IF(op!I25+1&gt;LOOKUP(H93,schaal2019,regels2019),op!I25,op!I25+1)))</f>
        <v/>
      </c>
      <c r="J93" s="291" t="str">
        <f>IF(op!J25="","",op!J25)</f>
        <v/>
      </c>
      <c r="K93" s="971"/>
      <c r="L93" s="859">
        <f t="shared" si="23"/>
        <v>0</v>
      </c>
      <c r="M93" s="859">
        <f t="shared" si="23"/>
        <v>0</v>
      </c>
      <c r="N93" s="867" t="str">
        <f t="shared" si="38"/>
        <v/>
      </c>
      <c r="O93" s="867" t="str">
        <f t="shared" si="39"/>
        <v/>
      </c>
      <c r="P93" s="953" t="str">
        <f t="shared" si="24"/>
        <v/>
      </c>
      <c r="Q93" s="70"/>
      <c r="R93" s="739" t="str">
        <f t="shared" si="40"/>
        <v/>
      </c>
      <c r="S93" s="739" t="str">
        <f t="shared" si="25"/>
        <v/>
      </c>
      <c r="T93" s="740" t="str">
        <f t="shared" si="26"/>
        <v/>
      </c>
      <c r="U93" s="275"/>
      <c r="V93" s="293"/>
      <c r="W93" s="288"/>
      <c r="X93" s="288"/>
      <c r="Y93" s="908">
        <f t="shared" si="27"/>
        <v>0</v>
      </c>
      <c r="Z93" s="986">
        <f>tab!$D$62</f>
        <v>0.6</v>
      </c>
      <c r="AA93" s="944">
        <f t="shared" si="28"/>
        <v>0</v>
      </c>
      <c r="AB93" s="944">
        <f t="shared" si="29"/>
        <v>0</v>
      </c>
      <c r="AC93" s="944">
        <f t="shared" si="30"/>
        <v>0</v>
      </c>
      <c r="AD93" s="943" t="e">
        <f t="shared" si="31"/>
        <v>#VALUE!</v>
      </c>
      <c r="AE93" s="943">
        <f t="shared" si="32"/>
        <v>0</v>
      </c>
      <c r="AF93" s="916">
        <f>IF(H93&gt;8,tab!$D$63,tab!$D$65)</f>
        <v>0.5</v>
      </c>
      <c r="AG93" s="925">
        <f t="shared" si="33"/>
        <v>0</v>
      </c>
      <c r="AH93" s="940">
        <f t="shared" si="34"/>
        <v>0</v>
      </c>
      <c r="AI93" s="924" t="e">
        <f>DATE(YEAR(tab!$F$3),MONTH(G93),DAY(G93))&gt;tab!$F$3</f>
        <v>#VALUE!</v>
      </c>
      <c r="AJ93" s="925" t="e">
        <f t="shared" si="35"/>
        <v>#VALUE!</v>
      </c>
      <c r="AK93" s="884">
        <f t="shared" si="36"/>
        <v>30</v>
      </c>
      <c r="AL93" s="884">
        <f t="shared" si="37"/>
        <v>30</v>
      </c>
      <c r="AM93" s="925">
        <f t="shared" si="41"/>
        <v>0</v>
      </c>
    </row>
    <row r="94" spans="2:40" ht="12.75" customHeight="1" x14ac:dyDescent="0.2">
      <c r="B94" s="49"/>
      <c r="C94" s="69"/>
      <c r="D94" s="75" t="str">
        <f>IF(op!D26="","",op!D26)</f>
        <v/>
      </c>
      <c r="E94" s="75" t="str">
        <f>IF(op!E26=0,"",op!E26)</f>
        <v/>
      </c>
      <c r="F94" s="88" t="str">
        <f>IF(op!F26="","",op!F26+1)</f>
        <v/>
      </c>
      <c r="G94" s="290" t="str">
        <f>IF(op!G26="","",op!G26)</f>
        <v/>
      </c>
      <c r="H94" s="88" t="str">
        <f>IF(op!H26=0,"",op!H26)</f>
        <v/>
      </c>
      <c r="I94" s="99" t="str">
        <f>IF(J94="","",(IF(op!I26+1&gt;LOOKUP(H94,schaal2019,regels2019),op!I26,op!I26+1)))</f>
        <v/>
      </c>
      <c r="J94" s="291" t="str">
        <f>IF(op!J26="","",op!J26)</f>
        <v/>
      </c>
      <c r="K94" s="971"/>
      <c r="L94" s="859">
        <f t="shared" si="23"/>
        <v>0</v>
      </c>
      <c r="M94" s="859">
        <f t="shared" si="23"/>
        <v>0</v>
      </c>
      <c r="N94" s="867" t="str">
        <f t="shared" si="38"/>
        <v/>
      </c>
      <c r="O94" s="867" t="str">
        <f t="shared" si="39"/>
        <v/>
      </c>
      <c r="P94" s="953" t="str">
        <f t="shared" si="24"/>
        <v/>
      </c>
      <c r="Q94" s="70"/>
      <c r="R94" s="739" t="str">
        <f t="shared" si="40"/>
        <v/>
      </c>
      <c r="S94" s="739" t="str">
        <f t="shared" si="25"/>
        <v/>
      </c>
      <c r="T94" s="740" t="str">
        <f t="shared" si="26"/>
        <v/>
      </c>
      <c r="U94" s="275"/>
      <c r="V94" s="293"/>
      <c r="W94" s="288"/>
      <c r="X94" s="288"/>
      <c r="Y94" s="908">
        <f t="shared" si="27"/>
        <v>0</v>
      </c>
      <c r="Z94" s="986">
        <f>tab!$D$62</f>
        <v>0.6</v>
      </c>
      <c r="AA94" s="944">
        <f t="shared" si="28"/>
        <v>0</v>
      </c>
      <c r="AB94" s="944">
        <f t="shared" si="29"/>
        <v>0</v>
      </c>
      <c r="AC94" s="944">
        <f t="shared" si="30"/>
        <v>0</v>
      </c>
      <c r="AD94" s="943" t="e">
        <f t="shared" si="31"/>
        <v>#VALUE!</v>
      </c>
      <c r="AE94" s="943">
        <f t="shared" si="32"/>
        <v>0</v>
      </c>
      <c r="AF94" s="916">
        <f>IF(H94&gt;8,tab!$D$63,tab!$D$65)</f>
        <v>0.5</v>
      </c>
      <c r="AG94" s="925">
        <f t="shared" si="33"/>
        <v>0</v>
      </c>
      <c r="AH94" s="940">
        <f t="shared" si="34"/>
        <v>0</v>
      </c>
      <c r="AI94" s="924" t="e">
        <f>DATE(YEAR(tab!$F$3),MONTH(G94),DAY(G94))&gt;tab!$F$3</f>
        <v>#VALUE!</v>
      </c>
      <c r="AJ94" s="925" t="e">
        <f t="shared" si="35"/>
        <v>#VALUE!</v>
      </c>
      <c r="AK94" s="884">
        <f t="shared" si="36"/>
        <v>30</v>
      </c>
      <c r="AL94" s="884">
        <f t="shared" si="37"/>
        <v>30</v>
      </c>
      <c r="AM94" s="925">
        <f t="shared" si="41"/>
        <v>0</v>
      </c>
    </row>
    <row r="95" spans="2:40" ht="12.75" customHeight="1" x14ac:dyDescent="0.2">
      <c r="B95" s="49"/>
      <c r="C95" s="69"/>
      <c r="D95" s="75" t="str">
        <f>IF(op!D27="","",op!D27)</f>
        <v/>
      </c>
      <c r="E95" s="75" t="str">
        <f>IF(op!E27=0,"",op!E27)</f>
        <v/>
      </c>
      <c r="F95" s="88" t="str">
        <f>IF(op!F27="","",op!F27+1)</f>
        <v/>
      </c>
      <c r="G95" s="290" t="str">
        <f>IF(op!G27="","",op!G27)</f>
        <v/>
      </c>
      <c r="H95" s="88" t="str">
        <f>IF(op!H27=0,"",op!H27)</f>
        <v/>
      </c>
      <c r="I95" s="99" t="str">
        <f>IF(J95="","",(IF(op!I27+1&gt;LOOKUP(H95,schaal2019,regels2019),op!I27,op!I27+1)))</f>
        <v/>
      </c>
      <c r="J95" s="291" t="str">
        <f>IF(op!J27="","",op!J27)</f>
        <v/>
      </c>
      <c r="K95" s="971"/>
      <c r="L95" s="859">
        <f t="shared" si="23"/>
        <v>0</v>
      </c>
      <c r="M95" s="859">
        <f t="shared" si="23"/>
        <v>0</v>
      </c>
      <c r="N95" s="867" t="str">
        <f t="shared" si="38"/>
        <v/>
      </c>
      <c r="O95" s="867" t="str">
        <f t="shared" si="39"/>
        <v/>
      </c>
      <c r="P95" s="953" t="str">
        <f t="shared" si="24"/>
        <v/>
      </c>
      <c r="Q95" s="70"/>
      <c r="R95" s="739" t="str">
        <f t="shared" si="40"/>
        <v/>
      </c>
      <c r="S95" s="739" t="str">
        <f t="shared" si="25"/>
        <v/>
      </c>
      <c r="T95" s="740" t="str">
        <f t="shared" si="26"/>
        <v/>
      </c>
      <c r="U95" s="275"/>
      <c r="V95" s="293"/>
      <c r="W95" s="288"/>
      <c r="X95" s="288"/>
      <c r="Y95" s="908">
        <f t="shared" si="27"/>
        <v>0</v>
      </c>
      <c r="Z95" s="986">
        <f>tab!$D$62</f>
        <v>0.6</v>
      </c>
      <c r="AA95" s="944">
        <f t="shared" si="28"/>
        <v>0</v>
      </c>
      <c r="AB95" s="944">
        <f t="shared" si="29"/>
        <v>0</v>
      </c>
      <c r="AC95" s="944">
        <f t="shared" si="30"/>
        <v>0</v>
      </c>
      <c r="AD95" s="943" t="e">
        <f t="shared" si="31"/>
        <v>#VALUE!</v>
      </c>
      <c r="AE95" s="943">
        <f t="shared" si="32"/>
        <v>0</v>
      </c>
      <c r="AF95" s="916">
        <f>IF(H95&gt;8,tab!$D$63,tab!$D$65)</f>
        <v>0.5</v>
      </c>
      <c r="AG95" s="925">
        <f t="shared" si="33"/>
        <v>0</v>
      </c>
      <c r="AH95" s="940">
        <f t="shared" si="34"/>
        <v>0</v>
      </c>
      <c r="AI95" s="924" t="e">
        <f>DATE(YEAR(tab!$F$3),MONTH(G95),DAY(G95))&gt;tab!$F$3</f>
        <v>#VALUE!</v>
      </c>
      <c r="AJ95" s="925" t="e">
        <f t="shared" si="35"/>
        <v>#VALUE!</v>
      </c>
      <c r="AK95" s="884">
        <f t="shared" si="36"/>
        <v>30</v>
      </c>
      <c r="AL95" s="884">
        <f t="shared" si="37"/>
        <v>30</v>
      </c>
      <c r="AM95" s="925">
        <f t="shared" si="41"/>
        <v>0</v>
      </c>
    </row>
    <row r="96" spans="2:40" ht="12.75" customHeight="1" x14ac:dyDescent="0.2">
      <c r="B96" s="49"/>
      <c r="C96" s="69"/>
      <c r="D96" s="75" t="str">
        <f>IF(op!D28="","",op!D28)</f>
        <v/>
      </c>
      <c r="E96" s="75" t="str">
        <f>IF(op!E28=0,"",op!E28)</f>
        <v/>
      </c>
      <c r="F96" s="88" t="str">
        <f>IF(op!F28="","",op!F28+1)</f>
        <v/>
      </c>
      <c r="G96" s="290" t="str">
        <f>IF(op!G28="","",op!G28)</f>
        <v/>
      </c>
      <c r="H96" s="88" t="str">
        <f>IF(op!H28=0,"",op!H28)</f>
        <v/>
      </c>
      <c r="I96" s="99" t="str">
        <f>IF(J96="","",(IF(op!I28+1&gt;LOOKUP(H96,schaal2019,regels2019),op!I28,op!I28+1)))</f>
        <v/>
      </c>
      <c r="J96" s="291" t="str">
        <f>IF(op!J28="","",op!J28)</f>
        <v/>
      </c>
      <c r="K96" s="971"/>
      <c r="L96" s="859">
        <f t="shared" si="23"/>
        <v>0</v>
      </c>
      <c r="M96" s="859">
        <f t="shared" si="23"/>
        <v>0</v>
      </c>
      <c r="N96" s="867" t="str">
        <f t="shared" si="38"/>
        <v/>
      </c>
      <c r="O96" s="867" t="str">
        <f t="shared" si="39"/>
        <v/>
      </c>
      <c r="P96" s="953" t="str">
        <f t="shared" si="24"/>
        <v/>
      </c>
      <c r="Q96" s="70"/>
      <c r="R96" s="739" t="str">
        <f t="shared" si="40"/>
        <v/>
      </c>
      <c r="S96" s="739" t="str">
        <f t="shared" si="25"/>
        <v/>
      </c>
      <c r="T96" s="740" t="str">
        <f t="shared" si="26"/>
        <v/>
      </c>
      <c r="U96" s="275"/>
      <c r="V96" s="293"/>
      <c r="W96" s="288"/>
      <c r="X96" s="288"/>
      <c r="Y96" s="908">
        <f t="shared" si="27"/>
        <v>0</v>
      </c>
      <c r="Z96" s="986">
        <f>tab!$D$62</f>
        <v>0.6</v>
      </c>
      <c r="AA96" s="944">
        <f t="shared" si="28"/>
        <v>0</v>
      </c>
      <c r="AB96" s="944">
        <f t="shared" si="29"/>
        <v>0</v>
      </c>
      <c r="AC96" s="944">
        <f t="shared" si="30"/>
        <v>0</v>
      </c>
      <c r="AD96" s="943" t="e">
        <f t="shared" si="31"/>
        <v>#VALUE!</v>
      </c>
      <c r="AE96" s="943">
        <f t="shared" si="32"/>
        <v>0</v>
      </c>
      <c r="AF96" s="916">
        <f>IF(H96&gt;8,tab!$D$63,tab!$D$65)</f>
        <v>0.5</v>
      </c>
      <c r="AG96" s="925">
        <f t="shared" si="33"/>
        <v>0</v>
      </c>
      <c r="AH96" s="940">
        <f t="shared" si="34"/>
        <v>0</v>
      </c>
      <c r="AI96" s="924" t="e">
        <f>DATE(YEAR(tab!$F$3),MONTH(G96),DAY(G96))&gt;tab!$F$3</f>
        <v>#VALUE!</v>
      </c>
      <c r="AJ96" s="925" t="e">
        <f t="shared" si="35"/>
        <v>#VALUE!</v>
      </c>
      <c r="AK96" s="884">
        <f t="shared" si="36"/>
        <v>30</v>
      </c>
      <c r="AL96" s="884">
        <f t="shared" si="37"/>
        <v>30</v>
      </c>
      <c r="AM96" s="925">
        <f t="shared" si="41"/>
        <v>0</v>
      </c>
    </row>
    <row r="97" spans="2:39" ht="12.75" customHeight="1" x14ac:dyDescent="0.2">
      <c r="B97" s="49"/>
      <c r="C97" s="69"/>
      <c r="D97" s="75" t="str">
        <f>IF(op!D29="","",op!D29)</f>
        <v/>
      </c>
      <c r="E97" s="75" t="str">
        <f>IF(op!E29=0,"",op!E29)</f>
        <v/>
      </c>
      <c r="F97" s="88" t="str">
        <f>IF(op!F29="","",op!F29+1)</f>
        <v/>
      </c>
      <c r="G97" s="290" t="str">
        <f>IF(op!G29="","",op!G29)</f>
        <v/>
      </c>
      <c r="H97" s="88" t="str">
        <f>IF(op!H29=0,"",op!H29)</f>
        <v/>
      </c>
      <c r="I97" s="99" t="str">
        <f>IF(J97="","",(IF(op!I29+1&gt;LOOKUP(H97,schaal2019,regels2019),op!I29,op!I29+1)))</f>
        <v/>
      </c>
      <c r="J97" s="291" t="str">
        <f>IF(op!J29="","",op!J29)</f>
        <v/>
      </c>
      <c r="K97" s="971"/>
      <c r="L97" s="859">
        <f t="shared" si="23"/>
        <v>0</v>
      </c>
      <c r="M97" s="859">
        <f t="shared" si="23"/>
        <v>0</v>
      </c>
      <c r="N97" s="867" t="str">
        <f t="shared" si="38"/>
        <v/>
      </c>
      <c r="O97" s="867" t="str">
        <f t="shared" si="39"/>
        <v/>
      </c>
      <c r="P97" s="953" t="str">
        <f t="shared" si="24"/>
        <v/>
      </c>
      <c r="Q97" s="70"/>
      <c r="R97" s="739" t="str">
        <f t="shared" si="40"/>
        <v/>
      </c>
      <c r="S97" s="739" t="str">
        <f t="shared" si="25"/>
        <v/>
      </c>
      <c r="T97" s="740" t="str">
        <f t="shared" si="26"/>
        <v/>
      </c>
      <c r="U97" s="275"/>
      <c r="V97" s="293"/>
      <c r="W97" s="288"/>
      <c r="X97" s="288"/>
      <c r="Y97" s="908">
        <f t="shared" si="27"/>
        <v>0</v>
      </c>
      <c r="Z97" s="986">
        <f>tab!$D$62</f>
        <v>0.6</v>
      </c>
      <c r="AA97" s="944">
        <f t="shared" si="28"/>
        <v>0</v>
      </c>
      <c r="AB97" s="944">
        <f t="shared" si="29"/>
        <v>0</v>
      </c>
      <c r="AC97" s="944">
        <f t="shared" si="30"/>
        <v>0</v>
      </c>
      <c r="AD97" s="943" t="e">
        <f t="shared" si="31"/>
        <v>#VALUE!</v>
      </c>
      <c r="AE97" s="943">
        <f t="shared" si="32"/>
        <v>0</v>
      </c>
      <c r="AF97" s="916">
        <f>IF(H97&gt;8,tab!$D$63,tab!$D$65)</f>
        <v>0.5</v>
      </c>
      <c r="AG97" s="925">
        <f t="shared" si="33"/>
        <v>0</v>
      </c>
      <c r="AH97" s="940">
        <f t="shared" si="34"/>
        <v>0</v>
      </c>
      <c r="AI97" s="924" t="e">
        <f>DATE(YEAR(tab!$F$3),MONTH(G97),DAY(G97))&gt;tab!$F$3</f>
        <v>#VALUE!</v>
      </c>
      <c r="AJ97" s="925" t="e">
        <f t="shared" si="35"/>
        <v>#VALUE!</v>
      </c>
      <c r="AK97" s="884">
        <f t="shared" si="36"/>
        <v>30</v>
      </c>
      <c r="AL97" s="884">
        <f t="shared" si="37"/>
        <v>30</v>
      </c>
      <c r="AM97" s="925">
        <f t="shared" si="41"/>
        <v>0</v>
      </c>
    </row>
    <row r="98" spans="2:39" ht="12.75" customHeight="1" x14ac:dyDescent="0.2">
      <c r="B98" s="49"/>
      <c r="C98" s="69"/>
      <c r="D98" s="75" t="str">
        <f>IF(op!D30="","",op!D30)</f>
        <v/>
      </c>
      <c r="E98" s="75" t="str">
        <f>IF(op!E30=0,"",op!E30)</f>
        <v/>
      </c>
      <c r="F98" s="88" t="str">
        <f>IF(op!F30="","",op!F30+1)</f>
        <v/>
      </c>
      <c r="G98" s="290" t="str">
        <f>IF(op!G30="","",op!G30)</f>
        <v/>
      </c>
      <c r="H98" s="88" t="str">
        <f>IF(op!H30=0,"",op!H30)</f>
        <v/>
      </c>
      <c r="I98" s="99" t="str">
        <f>IF(J98="","",(IF(op!I30+1&gt;LOOKUP(H98,schaal2019,regels2019),op!I30,op!I30+1)))</f>
        <v/>
      </c>
      <c r="J98" s="291" t="str">
        <f>IF(op!J30="","",op!J30)</f>
        <v/>
      </c>
      <c r="K98" s="971"/>
      <c r="L98" s="859">
        <f t="shared" si="23"/>
        <v>0</v>
      </c>
      <c r="M98" s="859">
        <f t="shared" si="23"/>
        <v>0</v>
      </c>
      <c r="N98" s="867" t="str">
        <f t="shared" si="38"/>
        <v/>
      </c>
      <c r="O98" s="867" t="str">
        <f t="shared" si="39"/>
        <v/>
      </c>
      <c r="P98" s="953" t="str">
        <f t="shared" si="24"/>
        <v/>
      </c>
      <c r="Q98" s="70"/>
      <c r="R98" s="739" t="str">
        <f t="shared" si="40"/>
        <v/>
      </c>
      <c r="S98" s="739" t="str">
        <f t="shared" si="25"/>
        <v/>
      </c>
      <c r="T98" s="740" t="str">
        <f t="shared" si="26"/>
        <v/>
      </c>
      <c r="U98" s="275"/>
      <c r="V98" s="293"/>
      <c r="W98" s="288"/>
      <c r="X98" s="288"/>
      <c r="Y98" s="908">
        <f t="shared" si="27"/>
        <v>0</v>
      </c>
      <c r="Z98" s="986">
        <f>tab!$D$62</f>
        <v>0.6</v>
      </c>
      <c r="AA98" s="944">
        <f t="shared" si="28"/>
        <v>0</v>
      </c>
      <c r="AB98" s="944">
        <f t="shared" si="29"/>
        <v>0</v>
      </c>
      <c r="AC98" s="944">
        <f t="shared" si="30"/>
        <v>0</v>
      </c>
      <c r="AD98" s="943" t="e">
        <f t="shared" si="31"/>
        <v>#VALUE!</v>
      </c>
      <c r="AE98" s="943">
        <f t="shared" si="32"/>
        <v>0</v>
      </c>
      <c r="AF98" s="916">
        <f>IF(H98&gt;8,tab!$D$63,tab!$D$65)</f>
        <v>0.5</v>
      </c>
      <c r="AG98" s="925">
        <f t="shared" si="33"/>
        <v>0</v>
      </c>
      <c r="AH98" s="940">
        <f t="shared" si="34"/>
        <v>0</v>
      </c>
      <c r="AI98" s="924" t="e">
        <f>DATE(YEAR(tab!$F$3),MONTH(G98),DAY(G98))&gt;tab!$F$3</f>
        <v>#VALUE!</v>
      </c>
      <c r="AJ98" s="925" t="e">
        <f t="shared" si="35"/>
        <v>#VALUE!</v>
      </c>
      <c r="AK98" s="884">
        <f t="shared" si="36"/>
        <v>30</v>
      </c>
      <c r="AL98" s="884">
        <f t="shared" si="37"/>
        <v>30</v>
      </c>
      <c r="AM98" s="925">
        <f t="shared" si="41"/>
        <v>0</v>
      </c>
    </row>
    <row r="99" spans="2:39" ht="12.75" customHeight="1" x14ac:dyDescent="0.2">
      <c r="B99" s="49"/>
      <c r="C99" s="69"/>
      <c r="D99" s="75" t="str">
        <f>IF(op!D31="","",op!D31)</f>
        <v/>
      </c>
      <c r="E99" s="75" t="str">
        <f>IF(op!E31=0,"",op!E31)</f>
        <v/>
      </c>
      <c r="F99" s="88" t="str">
        <f>IF(op!F31="","",op!F31+1)</f>
        <v/>
      </c>
      <c r="G99" s="290" t="str">
        <f>IF(op!G31="","",op!G31)</f>
        <v/>
      </c>
      <c r="H99" s="88" t="str">
        <f>IF(op!H31=0,"",op!H31)</f>
        <v/>
      </c>
      <c r="I99" s="99" t="str">
        <f>IF(J99="","",(IF(op!I31+1&gt;LOOKUP(H99,schaal2019,regels2019),op!I31,op!I31+1)))</f>
        <v/>
      </c>
      <c r="J99" s="291" t="str">
        <f>IF(op!J31="","",op!J31)</f>
        <v/>
      </c>
      <c r="K99" s="971"/>
      <c r="L99" s="859">
        <f t="shared" si="23"/>
        <v>0</v>
      </c>
      <c r="M99" s="859">
        <f t="shared" si="23"/>
        <v>0</v>
      </c>
      <c r="N99" s="867" t="str">
        <f t="shared" si="38"/>
        <v/>
      </c>
      <c r="O99" s="867" t="str">
        <f t="shared" si="39"/>
        <v/>
      </c>
      <c r="P99" s="953" t="str">
        <f t="shared" si="24"/>
        <v/>
      </c>
      <c r="Q99" s="70"/>
      <c r="R99" s="739" t="str">
        <f t="shared" si="40"/>
        <v/>
      </c>
      <c r="S99" s="739" t="str">
        <f t="shared" si="25"/>
        <v/>
      </c>
      <c r="T99" s="740" t="str">
        <f t="shared" si="26"/>
        <v/>
      </c>
      <c r="U99" s="275"/>
      <c r="V99" s="293"/>
      <c r="W99" s="288"/>
      <c r="X99" s="288"/>
      <c r="Y99" s="908">
        <f t="shared" si="27"/>
        <v>0</v>
      </c>
      <c r="Z99" s="986">
        <f>tab!$D$62</f>
        <v>0.6</v>
      </c>
      <c r="AA99" s="944">
        <f t="shared" si="28"/>
        <v>0</v>
      </c>
      <c r="AB99" s="944">
        <f t="shared" si="29"/>
        <v>0</v>
      </c>
      <c r="AC99" s="944">
        <f t="shared" si="30"/>
        <v>0</v>
      </c>
      <c r="AD99" s="943" t="e">
        <f t="shared" si="31"/>
        <v>#VALUE!</v>
      </c>
      <c r="AE99" s="943">
        <f t="shared" si="32"/>
        <v>0</v>
      </c>
      <c r="AF99" s="916">
        <f>IF(H99&gt;8,tab!$D$63,tab!$D$65)</f>
        <v>0.5</v>
      </c>
      <c r="AG99" s="925">
        <f t="shared" si="33"/>
        <v>0</v>
      </c>
      <c r="AH99" s="940">
        <f t="shared" si="34"/>
        <v>0</v>
      </c>
      <c r="AI99" s="924" t="e">
        <f>DATE(YEAR(tab!$F$3),MONTH(G99),DAY(G99))&gt;tab!$F$3</f>
        <v>#VALUE!</v>
      </c>
      <c r="AJ99" s="925" t="e">
        <f t="shared" si="35"/>
        <v>#VALUE!</v>
      </c>
      <c r="AK99" s="884">
        <f t="shared" si="36"/>
        <v>30</v>
      </c>
      <c r="AL99" s="884">
        <f t="shared" si="37"/>
        <v>30</v>
      </c>
      <c r="AM99" s="925">
        <f t="shared" si="41"/>
        <v>0</v>
      </c>
    </row>
    <row r="100" spans="2:39" ht="12.75" customHeight="1" x14ac:dyDescent="0.2">
      <c r="B100" s="49"/>
      <c r="C100" s="69"/>
      <c r="D100" s="75" t="str">
        <f>IF(op!D32="","",op!D32)</f>
        <v/>
      </c>
      <c r="E100" s="75" t="str">
        <f>IF(op!E32=0,"",op!E32)</f>
        <v/>
      </c>
      <c r="F100" s="88" t="str">
        <f>IF(op!F32="","",op!F32+1)</f>
        <v/>
      </c>
      <c r="G100" s="290" t="str">
        <f>IF(op!G32="","",op!G32)</f>
        <v/>
      </c>
      <c r="H100" s="88" t="str">
        <f>IF(op!H32=0,"",op!H32)</f>
        <v/>
      </c>
      <c r="I100" s="99" t="str">
        <f>IF(J100="","",(IF(op!I32+1&gt;LOOKUP(H100,schaal2019,regels2019),op!I32,op!I32+1)))</f>
        <v/>
      </c>
      <c r="J100" s="291" t="str">
        <f>IF(op!J32="","",op!J32)</f>
        <v/>
      </c>
      <c r="K100" s="971"/>
      <c r="L100" s="859">
        <f t="shared" si="23"/>
        <v>0</v>
      </c>
      <c r="M100" s="859">
        <f t="shared" si="23"/>
        <v>0</v>
      </c>
      <c r="N100" s="867" t="str">
        <f t="shared" si="38"/>
        <v/>
      </c>
      <c r="O100" s="867" t="str">
        <f t="shared" si="39"/>
        <v/>
      </c>
      <c r="P100" s="953" t="str">
        <f t="shared" si="24"/>
        <v/>
      </c>
      <c r="Q100" s="70"/>
      <c r="R100" s="739" t="str">
        <f t="shared" si="40"/>
        <v/>
      </c>
      <c r="S100" s="739" t="str">
        <f t="shared" si="25"/>
        <v/>
      </c>
      <c r="T100" s="740" t="str">
        <f t="shared" si="26"/>
        <v/>
      </c>
      <c r="U100" s="275"/>
      <c r="V100" s="293"/>
      <c r="W100" s="288"/>
      <c r="X100" s="288"/>
      <c r="Y100" s="908">
        <f t="shared" si="27"/>
        <v>0</v>
      </c>
      <c r="Z100" s="986">
        <f>tab!$D$62</f>
        <v>0.6</v>
      </c>
      <c r="AA100" s="944">
        <f t="shared" si="28"/>
        <v>0</v>
      </c>
      <c r="AB100" s="944">
        <f t="shared" si="29"/>
        <v>0</v>
      </c>
      <c r="AC100" s="944">
        <f t="shared" si="30"/>
        <v>0</v>
      </c>
      <c r="AD100" s="943" t="e">
        <f t="shared" si="31"/>
        <v>#VALUE!</v>
      </c>
      <c r="AE100" s="943">
        <f t="shared" si="32"/>
        <v>0</v>
      </c>
      <c r="AF100" s="916">
        <f>IF(H100&gt;8,tab!$D$63,tab!$D$65)</f>
        <v>0.5</v>
      </c>
      <c r="AG100" s="925">
        <f t="shared" si="33"/>
        <v>0</v>
      </c>
      <c r="AH100" s="940">
        <f t="shared" si="34"/>
        <v>0</v>
      </c>
      <c r="AI100" s="924" t="e">
        <f>DATE(YEAR(tab!$F$3),MONTH(G100),DAY(G100))&gt;tab!$F$3</f>
        <v>#VALUE!</v>
      </c>
      <c r="AJ100" s="925" t="e">
        <f t="shared" si="35"/>
        <v>#VALUE!</v>
      </c>
      <c r="AK100" s="884">
        <f t="shared" si="36"/>
        <v>30</v>
      </c>
      <c r="AL100" s="884">
        <f t="shared" si="37"/>
        <v>30</v>
      </c>
      <c r="AM100" s="925">
        <f t="shared" si="41"/>
        <v>0</v>
      </c>
    </row>
    <row r="101" spans="2:39" ht="12.75" customHeight="1" x14ac:dyDescent="0.2">
      <c r="B101" s="49"/>
      <c r="C101" s="69"/>
      <c r="D101" s="75" t="str">
        <f>IF(op!D33="","",op!D33)</f>
        <v/>
      </c>
      <c r="E101" s="75" t="str">
        <f>IF(op!E33=0,"",op!E33)</f>
        <v/>
      </c>
      <c r="F101" s="88" t="str">
        <f>IF(op!F33="","",op!F33+1)</f>
        <v/>
      </c>
      <c r="G101" s="290" t="str">
        <f>IF(op!G33="","",op!G33)</f>
        <v/>
      </c>
      <c r="H101" s="88" t="str">
        <f>IF(op!H33=0,"",op!H33)</f>
        <v/>
      </c>
      <c r="I101" s="99" t="str">
        <f>IF(J101="","",(IF(op!I33+1&gt;LOOKUP(H101,schaal2019,regels2019),op!I33,op!I33+1)))</f>
        <v/>
      </c>
      <c r="J101" s="291" t="str">
        <f>IF(op!J33="","",op!J33)</f>
        <v/>
      </c>
      <c r="K101" s="971"/>
      <c r="L101" s="859">
        <f t="shared" si="23"/>
        <v>0</v>
      </c>
      <c r="M101" s="859">
        <f t="shared" si="23"/>
        <v>0</v>
      </c>
      <c r="N101" s="867" t="str">
        <f t="shared" si="38"/>
        <v/>
      </c>
      <c r="O101" s="867" t="str">
        <f t="shared" si="39"/>
        <v/>
      </c>
      <c r="P101" s="953" t="str">
        <f t="shared" si="24"/>
        <v/>
      </c>
      <c r="Q101" s="70"/>
      <c r="R101" s="739" t="str">
        <f t="shared" si="40"/>
        <v/>
      </c>
      <c r="S101" s="739" t="str">
        <f t="shared" si="25"/>
        <v/>
      </c>
      <c r="T101" s="740" t="str">
        <f t="shared" si="26"/>
        <v/>
      </c>
      <c r="U101" s="275"/>
      <c r="V101" s="293"/>
      <c r="W101" s="288"/>
      <c r="X101" s="288"/>
      <c r="Y101" s="908">
        <f t="shared" si="27"/>
        <v>0</v>
      </c>
      <c r="Z101" s="986">
        <f>tab!$D$62</f>
        <v>0.6</v>
      </c>
      <c r="AA101" s="944">
        <f t="shared" si="28"/>
        <v>0</v>
      </c>
      <c r="AB101" s="944">
        <f t="shared" si="29"/>
        <v>0</v>
      </c>
      <c r="AC101" s="944">
        <f t="shared" si="30"/>
        <v>0</v>
      </c>
      <c r="AD101" s="943" t="e">
        <f t="shared" si="31"/>
        <v>#VALUE!</v>
      </c>
      <c r="AE101" s="943">
        <f t="shared" si="32"/>
        <v>0</v>
      </c>
      <c r="AF101" s="916">
        <f>IF(H101&gt;8,tab!$D$63,tab!$D$65)</f>
        <v>0.5</v>
      </c>
      <c r="AG101" s="925">
        <f t="shared" si="33"/>
        <v>0</v>
      </c>
      <c r="AH101" s="940">
        <f t="shared" si="34"/>
        <v>0</v>
      </c>
      <c r="AI101" s="924" t="e">
        <f>DATE(YEAR(tab!$F$3),MONTH(G101),DAY(G101))&gt;tab!$F$3</f>
        <v>#VALUE!</v>
      </c>
      <c r="AJ101" s="925" t="e">
        <f t="shared" si="35"/>
        <v>#VALUE!</v>
      </c>
      <c r="AK101" s="884">
        <f t="shared" si="36"/>
        <v>30</v>
      </c>
      <c r="AL101" s="884">
        <f t="shared" si="37"/>
        <v>30</v>
      </c>
      <c r="AM101" s="925">
        <f t="shared" si="41"/>
        <v>0</v>
      </c>
    </row>
    <row r="102" spans="2:39" ht="12.75" customHeight="1" x14ac:dyDescent="0.2">
      <c r="B102" s="49"/>
      <c r="C102" s="69"/>
      <c r="D102" s="75" t="str">
        <f>IF(op!D34="","",op!D34)</f>
        <v/>
      </c>
      <c r="E102" s="75" t="str">
        <f>IF(op!E34=0,"",op!E34)</f>
        <v/>
      </c>
      <c r="F102" s="88" t="str">
        <f>IF(op!F34="","",op!F34+1)</f>
        <v/>
      </c>
      <c r="G102" s="290" t="str">
        <f>IF(op!G34="","",op!G34)</f>
        <v/>
      </c>
      <c r="H102" s="88" t="str">
        <f>IF(op!H34=0,"",op!H34)</f>
        <v/>
      </c>
      <c r="I102" s="99" t="str">
        <f>IF(J102="","",(IF(op!I34+1&gt;LOOKUP(H102,schaal2019,regels2019),op!I34,op!I34+1)))</f>
        <v/>
      </c>
      <c r="J102" s="291" t="str">
        <f>IF(op!J34="","",op!J34)</f>
        <v/>
      </c>
      <c r="K102" s="971"/>
      <c r="L102" s="859">
        <f t="shared" si="23"/>
        <v>0</v>
      </c>
      <c r="M102" s="859">
        <f t="shared" si="23"/>
        <v>0</v>
      </c>
      <c r="N102" s="867" t="str">
        <f t="shared" si="38"/>
        <v/>
      </c>
      <c r="O102" s="867" t="str">
        <f t="shared" si="39"/>
        <v/>
      </c>
      <c r="P102" s="953" t="str">
        <f t="shared" si="24"/>
        <v/>
      </c>
      <c r="Q102" s="70"/>
      <c r="R102" s="739" t="str">
        <f t="shared" si="40"/>
        <v/>
      </c>
      <c r="S102" s="739" t="str">
        <f t="shared" si="25"/>
        <v/>
      </c>
      <c r="T102" s="740" t="str">
        <f t="shared" si="26"/>
        <v/>
      </c>
      <c r="U102" s="275"/>
      <c r="V102" s="293"/>
      <c r="W102" s="288"/>
      <c r="X102" s="288"/>
      <c r="Y102" s="908">
        <f t="shared" si="27"/>
        <v>0</v>
      </c>
      <c r="Z102" s="986">
        <f>tab!$D$62</f>
        <v>0.6</v>
      </c>
      <c r="AA102" s="944">
        <f t="shared" si="28"/>
        <v>0</v>
      </c>
      <c r="AB102" s="944">
        <f t="shared" si="29"/>
        <v>0</v>
      </c>
      <c r="AC102" s="944">
        <f t="shared" si="30"/>
        <v>0</v>
      </c>
      <c r="AD102" s="943" t="e">
        <f t="shared" si="31"/>
        <v>#VALUE!</v>
      </c>
      <c r="AE102" s="943">
        <f t="shared" si="32"/>
        <v>0</v>
      </c>
      <c r="AF102" s="916">
        <f>IF(H102&gt;8,tab!$D$63,tab!$D$65)</f>
        <v>0.5</v>
      </c>
      <c r="AG102" s="925">
        <f t="shared" si="33"/>
        <v>0</v>
      </c>
      <c r="AH102" s="940">
        <f t="shared" si="34"/>
        <v>0</v>
      </c>
      <c r="AI102" s="924" t="e">
        <f>DATE(YEAR(tab!$F$3),MONTH(G102),DAY(G102))&gt;tab!$F$3</f>
        <v>#VALUE!</v>
      </c>
      <c r="AJ102" s="925" t="e">
        <f t="shared" si="35"/>
        <v>#VALUE!</v>
      </c>
      <c r="AK102" s="884">
        <f t="shared" si="36"/>
        <v>30</v>
      </c>
      <c r="AL102" s="884">
        <f t="shared" si="37"/>
        <v>30</v>
      </c>
      <c r="AM102" s="925">
        <f t="shared" si="41"/>
        <v>0</v>
      </c>
    </row>
    <row r="103" spans="2:39" ht="12.75" customHeight="1" x14ac:dyDescent="0.2">
      <c r="B103" s="49"/>
      <c r="C103" s="69"/>
      <c r="D103" s="75" t="str">
        <f>IF(op!D35="","",op!D35)</f>
        <v/>
      </c>
      <c r="E103" s="75" t="str">
        <f>IF(op!E35=0,"",op!E35)</f>
        <v/>
      </c>
      <c r="F103" s="88" t="str">
        <f>IF(op!F35="","",op!F35+1)</f>
        <v/>
      </c>
      <c r="G103" s="290" t="str">
        <f>IF(op!G35="","",op!G35)</f>
        <v/>
      </c>
      <c r="H103" s="88" t="str">
        <f>IF(op!H35=0,"",op!H35)</f>
        <v/>
      </c>
      <c r="I103" s="99" t="str">
        <f>IF(J103="","",(IF(op!I35+1&gt;LOOKUP(H103,schaal2019,regels2019),op!I35,op!I35+1)))</f>
        <v/>
      </c>
      <c r="J103" s="291" t="str">
        <f>IF(op!J35="","",op!J35)</f>
        <v/>
      </c>
      <c r="K103" s="971"/>
      <c r="L103" s="859">
        <f t="shared" si="23"/>
        <v>0</v>
      </c>
      <c r="M103" s="859">
        <f t="shared" si="23"/>
        <v>0</v>
      </c>
      <c r="N103" s="867" t="str">
        <f t="shared" si="38"/>
        <v/>
      </c>
      <c r="O103" s="867" t="str">
        <f t="shared" si="39"/>
        <v/>
      </c>
      <c r="P103" s="953" t="str">
        <f t="shared" si="24"/>
        <v/>
      </c>
      <c r="Q103" s="70"/>
      <c r="R103" s="739" t="str">
        <f t="shared" si="40"/>
        <v/>
      </c>
      <c r="S103" s="739" t="str">
        <f t="shared" si="25"/>
        <v/>
      </c>
      <c r="T103" s="740" t="str">
        <f t="shared" si="26"/>
        <v/>
      </c>
      <c r="U103" s="275"/>
      <c r="V103" s="293"/>
      <c r="W103" s="288"/>
      <c r="X103" s="288"/>
      <c r="Y103" s="908">
        <f t="shared" si="27"/>
        <v>0</v>
      </c>
      <c r="Z103" s="986">
        <f>tab!$D$62</f>
        <v>0.6</v>
      </c>
      <c r="AA103" s="944">
        <f t="shared" si="28"/>
        <v>0</v>
      </c>
      <c r="AB103" s="944">
        <f t="shared" si="29"/>
        <v>0</v>
      </c>
      <c r="AC103" s="944">
        <f t="shared" si="30"/>
        <v>0</v>
      </c>
      <c r="AD103" s="943" t="e">
        <f t="shared" si="31"/>
        <v>#VALUE!</v>
      </c>
      <c r="AE103" s="943">
        <f t="shared" si="32"/>
        <v>0</v>
      </c>
      <c r="AF103" s="916">
        <f>IF(H103&gt;8,tab!$D$63,tab!$D$65)</f>
        <v>0.5</v>
      </c>
      <c r="AG103" s="925">
        <f t="shared" si="33"/>
        <v>0</v>
      </c>
      <c r="AH103" s="940">
        <f t="shared" si="34"/>
        <v>0</v>
      </c>
      <c r="AI103" s="924" t="e">
        <f>DATE(YEAR(tab!$F$3),MONTH(G103),DAY(G103))&gt;tab!$F$3</f>
        <v>#VALUE!</v>
      </c>
      <c r="AJ103" s="925" t="e">
        <f t="shared" si="35"/>
        <v>#VALUE!</v>
      </c>
      <c r="AK103" s="884">
        <f t="shared" si="36"/>
        <v>30</v>
      </c>
      <c r="AL103" s="884">
        <f t="shared" si="37"/>
        <v>30</v>
      </c>
      <c r="AM103" s="925">
        <f t="shared" si="41"/>
        <v>0</v>
      </c>
    </row>
    <row r="104" spans="2:39" ht="12.75" customHeight="1" x14ac:dyDescent="0.2">
      <c r="B104" s="49"/>
      <c r="C104" s="69"/>
      <c r="D104" s="75" t="str">
        <f>IF(op!D36="","",op!D36)</f>
        <v/>
      </c>
      <c r="E104" s="75" t="str">
        <f>IF(op!E36=0,"",op!E36)</f>
        <v/>
      </c>
      <c r="F104" s="88" t="str">
        <f>IF(op!F36="","",op!F36+1)</f>
        <v/>
      </c>
      <c r="G104" s="290" t="str">
        <f>IF(op!G36="","",op!G36)</f>
        <v/>
      </c>
      <c r="H104" s="88" t="str">
        <f>IF(op!H36=0,"",op!H36)</f>
        <v/>
      </c>
      <c r="I104" s="99" t="str">
        <f>IF(J104="","",(IF(op!I36+1&gt;LOOKUP(H104,schaal2019,regels2019),op!I36,op!I36+1)))</f>
        <v/>
      </c>
      <c r="J104" s="291" t="str">
        <f>IF(op!J36="","",op!J36)</f>
        <v/>
      </c>
      <c r="K104" s="971"/>
      <c r="L104" s="859">
        <f t="shared" ref="L104:M123" si="42">IF(L36="",0,L36)</f>
        <v>0</v>
      </c>
      <c r="M104" s="859">
        <f t="shared" si="42"/>
        <v>0</v>
      </c>
      <c r="N104" s="867" t="str">
        <f t="shared" si="38"/>
        <v/>
      </c>
      <c r="O104" s="867" t="str">
        <f t="shared" si="39"/>
        <v/>
      </c>
      <c r="P104" s="953" t="str">
        <f t="shared" si="24"/>
        <v/>
      </c>
      <c r="Q104" s="70"/>
      <c r="R104" s="739" t="str">
        <f t="shared" si="40"/>
        <v/>
      </c>
      <c r="S104" s="739" t="str">
        <f t="shared" si="25"/>
        <v/>
      </c>
      <c r="T104" s="740" t="str">
        <f t="shared" si="26"/>
        <v/>
      </c>
      <c r="U104" s="275"/>
      <c r="V104" s="293"/>
      <c r="W104" s="288"/>
      <c r="X104" s="288"/>
      <c r="Y104" s="908">
        <f t="shared" si="27"/>
        <v>0</v>
      </c>
      <c r="Z104" s="986">
        <f>tab!$D$62</f>
        <v>0.6</v>
      </c>
      <c r="AA104" s="944">
        <f t="shared" si="28"/>
        <v>0</v>
      </c>
      <c r="AB104" s="944">
        <f t="shared" si="29"/>
        <v>0</v>
      </c>
      <c r="AC104" s="944">
        <f t="shared" si="30"/>
        <v>0</v>
      </c>
      <c r="AD104" s="943" t="e">
        <f t="shared" si="31"/>
        <v>#VALUE!</v>
      </c>
      <c r="AE104" s="943">
        <f t="shared" si="32"/>
        <v>0</v>
      </c>
      <c r="AF104" s="916">
        <f>IF(H104&gt;8,tab!$D$63,tab!$D$65)</f>
        <v>0.5</v>
      </c>
      <c r="AG104" s="925">
        <f t="shared" si="33"/>
        <v>0</v>
      </c>
      <c r="AH104" s="940">
        <f t="shared" si="34"/>
        <v>0</v>
      </c>
      <c r="AI104" s="924" t="e">
        <f>DATE(YEAR(tab!$F$3),MONTH(G104),DAY(G104))&gt;tab!$F$3</f>
        <v>#VALUE!</v>
      </c>
      <c r="AJ104" s="925" t="e">
        <f t="shared" si="35"/>
        <v>#VALUE!</v>
      </c>
      <c r="AK104" s="884">
        <f t="shared" si="36"/>
        <v>30</v>
      </c>
      <c r="AL104" s="884">
        <f t="shared" si="37"/>
        <v>30</v>
      </c>
      <c r="AM104" s="925">
        <f t="shared" si="41"/>
        <v>0</v>
      </c>
    </row>
    <row r="105" spans="2:39" ht="12.75" customHeight="1" x14ac:dyDescent="0.2">
      <c r="B105" s="49"/>
      <c r="C105" s="69"/>
      <c r="D105" s="75" t="str">
        <f>IF(op!D37="","",op!D37)</f>
        <v/>
      </c>
      <c r="E105" s="75" t="str">
        <f>IF(op!E37=0,"",op!E37)</f>
        <v/>
      </c>
      <c r="F105" s="88" t="str">
        <f>IF(op!F37="","",op!F37+1)</f>
        <v/>
      </c>
      <c r="G105" s="290" t="str">
        <f>IF(op!G37="","",op!G37)</f>
        <v/>
      </c>
      <c r="H105" s="88" t="str">
        <f>IF(op!H37=0,"",op!H37)</f>
        <v/>
      </c>
      <c r="I105" s="99" t="str">
        <f>IF(J105="","",(IF(op!I37+1&gt;LOOKUP(H105,schaal2019,regels2019),op!I37,op!I37+1)))</f>
        <v/>
      </c>
      <c r="J105" s="291" t="str">
        <f>IF(op!J37="","",op!J37)</f>
        <v/>
      </c>
      <c r="K105" s="971"/>
      <c r="L105" s="859">
        <f t="shared" si="42"/>
        <v>0</v>
      </c>
      <c r="M105" s="859">
        <f t="shared" si="42"/>
        <v>0</v>
      </c>
      <c r="N105" s="867" t="str">
        <f t="shared" si="38"/>
        <v/>
      </c>
      <c r="O105" s="867" t="str">
        <f t="shared" si="39"/>
        <v/>
      </c>
      <c r="P105" s="953" t="str">
        <f t="shared" si="24"/>
        <v/>
      </c>
      <c r="Q105" s="70"/>
      <c r="R105" s="739" t="str">
        <f t="shared" si="40"/>
        <v/>
      </c>
      <c r="S105" s="739" t="str">
        <f t="shared" si="25"/>
        <v/>
      </c>
      <c r="T105" s="740" t="str">
        <f t="shared" si="26"/>
        <v/>
      </c>
      <c r="U105" s="275"/>
      <c r="V105" s="293"/>
      <c r="W105" s="288"/>
      <c r="X105" s="288"/>
      <c r="Y105" s="908">
        <f t="shared" si="27"/>
        <v>0</v>
      </c>
      <c r="Z105" s="986">
        <f>tab!$D$62</f>
        <v>0.6</v>
      </c>
      <c r="AA105" s="944">
        <f t="shared" si="28"/>
        <v>0</v>
      </c>
      <c r="AB105" s="944">
        <f t="shared" si="29"/>
        <v>0</v>
      </c>
      <c r="AC105" s="944">
        <f t="shared" si="30"/>
        <v>0</v>
      </c>
      <c r="AD105" s="943" t="e">
        <f t="shared" si="31"/>
        <v>#VALUE!</v>
      </c>
      <c r="AE105" s="943">
        <f t="shared" si="32"/>
        <v>0</v>
      </c>
      <c r="AF105" s="916">
        <f>IF(H105&gt;8,tab!$D$63,tab!$D$65)</f>
        <v>0.5</v>
      </c>
      <c r="AG105" s="925">
        <f t="shared" si="33"/>
        <v>0</v>
      </c>
      <c r="AH105" s="940">
        <f t="shared" si="34"/>
        <v>0</v>
      </c>
      <c r="AI105" s="924" t="e">
        <f>DATE(YEAR(tab!$F$3),MONTH(G105),DAY(G105))&gt;tab!$F$3</f>
        <v>#VALUE!</v>
      </c>
      <c r="AJ105" s="925" t="e">
        <f t="shared" si="35"/>
        <v>#VALUE!</v>
      </c>
      <c r="AK105" s="884">
        <f t="shared" si="36"/>
        <v>30</v>
      </c>
      <c r="AL105" s="884">
        <f t="shared" si="37"/>
        <v>30</v>
      </c>
      <c r="AM105" s="925">
        <f t="shared" si="41"/>
        <v>0</v>
      </c>
    </row>
    <row r="106" spans="2:39" ht="12.75" customHeight="1" x14ac:dyDescent="0.2">
      <c r="B106" s="49"/>
      <c r="C106" s="69"/>
      <c r="D106" s="75" t="str">
        <f>IF(op!D38="","",op!D38)</f>
        <v/>
      </c>
      <c r="E106" s="75" t="str">
        <f>IF(op!E38=0,"",op!E38)</f>
        <v/>
      </c>
      <c r="F106" s="88" t="str">
        <f>IF(op!F38="","",op!F38+1)</f>
        <v/>
      </c>
      <c r="G106" s="290" t="str">
        <f>IF(op!G38="","",op!G38)</f>
        <v/>
      </c>
      <c r="H106" s="88" t="str">
        <f>IF(op!H38=0,"",op!H38)</f>
        <v/>
      </c>
      <c r="I106" s="99" t="str">
        <f>IF(J106="","",(IF(op!I38+1&gt;LOOKUP(H106,schaal2019,regels2019),op!I38,op!I38+1)))</f>
        <v/>
      </c>
      <c r="J106" s="291" t="str">
        <f>IF(op!J38="","",op!J38)</f>
        <v/>
      </c>
      <c r="K106" s="971"/>
      <c r="L106" s="859">
        <f t="shared" si="42"/>
        <v>0</v>
      </c>
      <c r="M106" s="859">
        <f t="shared" si="42"/>
        <v>0</v>
      </c>
      <c r="N106" s="867" t="str">
        <f t="shared" si="38"/>
        <v/>
      </c>
      <c r="O106" s="867" t="str">
        <f t="shared" si="39"/>
        <v/>
      </c>
      <c r="P106" s="953" t="str">
        <f t="shared" si="24"/>
        <v/>
      </c>
      <c r="Q106" s="70"/>
      <c r="R106" s="739" t="str">
        <f t="shared" si="40"/>
        <v/>
      </c>
      <c r="S106" s="739" t="str">
        <f t="shared" si="25"/>
        <v/>
      </c>
      <c r="T106" s="740" t="str">
        <f t="shared" si="26"/>
        <v/>
      </c>
      <c r="U106" s="275"/>
      <c r="V106" s="293"/>
      <c r="W106" s="288"/>
      <c r="X106" s="288"/>
      <c r="Y106" s="908">
        <f t="shared" si="27"/>
        <v>0</v>
      </c>
      <c r="Z106" s="986">
        <f>tab!$D$62</f>
        <v>0.6</v>
      </c>
      <c r="AA106" s="944">
        <f t="shared" si="28"/>
        <v>0</v>
      </c>
      <c r="AB106" s="944">
        <f t="shared" si="29"/>
        <v>0</v>
      </c>
      <c r="AC106" s="944">
        <f t="shared" si="30"/>
        <v>0</v>
      </c>
      <c r="AD106" s="943" t="e">
        <f t="shared" si="31"/>
        <v>#VALUE!</v>
      </c>
      <c r="AE106" s="943">
        <f t="shared" si="32"/>
        <v>0</v>
      </c>
      <c r="AF106" s="916">
        <f>IF(H106&gt;8,tab!$D$63,tab!$D$65)</f>
        <v>0.5</v>
      </c>
      <c r="AG106" s="925">
        <f t="shared" si="33"/>
        <v>0</v>
      </c>
      <c r="AH106" s="940">
        <f t="shared" si="34"/>
        <v>0</v>
      </c>
      <c r="AI106" s="924" t="e">
        <f>DATE(YEAR(tab!$F$3),MONTH(G106),DAY(G106))&gt;tab!$F$3</f>
        <v>#VALUE!</v>
      </c>
      <c r="AJ106" s="925" t="e">
        <f t="shared" si="35"/>
        <v>#VALUE!</v>
      </c>
      <c r="AK106" s="884">
        <f t="shared" si="36"/>
        <v>30</v>
      </c>
      <c r="AL106" s="884">
        <f t="shared" si="37"/>
        <v>30</v>
      </c>
      <c r="AM106" s="925">
        <f t="shared" si="41"/>
        <v>0</v>
      </c>
    </row>
    <row r="107" spans="2:39" ht="12.75" customHeight="1" x14ac:dyDescent="0.2">
      <c r="B107" s="49"/>
      <c r="C107" s="69"/>
      <c r="D107" s="75" t="str">
        <f>IF(op!D39="","",op!D39)</f>
        <v/>
      </c>
      <c r="E107" s="75" t="str">
        <f>IF(op!E39=0,"",op!E39)</f>
        <v/>
      </c>
      <c r="F107" s="88" t="str">
        <f>IF(op!F39="","",op!F39+1)</f>
        <v/>
      </c>
      <c r="G107" s="290" t="str">
        <f>IF(op!G39="","",op!G39)</f>
        <v/>
      </c>
      <c r="H107" s="88" t="str">
        <f>IF(op!H39=0,"",op!H39)</f>
        <v/>
      </c>
      <c r="I107" s="99" t="str">
        <f>IF(J107="","",(IF(op!I39+1&gt;LOOKUP(H107,schaal2019,regels2019),op!I39,op!I39+1)))</f>
        <v/>
      </c>
      <c r="J107" s="291" t="str">
        <f>IF(op!J39="","",op!J39)</f>
        <v/>
      </c>
      <c r="K107" s="971"/>
      <c r="L107" s="859">
        <f t="shared" si="42"/>
        <v>0</v>
      </c>
      <c r="M107" s="859">
        <f t="shared" si="42"/>
        <v>0</v>
      </c>
      <c r="N107" s="867" t="str">
        <f t="shared" si="38"/>
        <v/>
      </c>
      <c r="O107" s="867" t="str">
        <f t="shared" si="39"/>
        <v/>
      </c>
      <c r="P107" s="953" t="str">
        <f t="shared" si="24"/>
        <v/>
      </c>
      <c r="Q107" s="70"/>
      <c r="R107" s="739" t="str">
        <f t="shared" si="40"/>
        <v/>
      </c>
      <c r="S107" s="739" t="str">
        <f t="shared" si="25"/>
        <v/>
      </c>
      <c r="T107" s="740" t="str">
        <f t="shared" si="26"/>
        <v/>
      </c>
      <c r="U107" s="275"/>
      <c r="V107" s="293"/>
      <c r="W107" s="288"/>
      <c r="X107" s="288"/>
      <c r="Y107" s="908">
        <f t="shared" si="27"/>
        <v>0</v>
      </c>
      <c r="Z107" s="986">
        <f>tab!$D$62</f>
        <v>0.6</v>
      </c>
      <c r="AA107" s="944">
        <f t="shared" si="28"/>
        <v>0</v>
      </c>
      <c r="AB107" s="944">
        <f t="shared" si="29"/>
        <v>0</v>
      </c>
      <c r="AC107" s="944">
        <f t="shared" si="30"/>
        <v>0</v>
      </c>
      <c r="AD107" s="943" t="e">
        <f t="shared" si="31"/>
        <v>#VALUE!</v>
      </c>
      <c r="AE107" s="943">
        <f t="shared" si="32"/>
        <v>0</v>
      </c>
      <c r="AF107" s="916">
        <f>IF(H107&gt;8,tab!$D$63,tab!$D$65)</f>
        <v>0.5</v>
      </c>
      <c r="AG107" s="925">
        <f t="shared" si="33"/>
        <v>0</v>
      </c>
      <c r="AH107" s="940">
        <f t="shared" si="34"/>
        <v>0</v>
      </c>
      <c r="AI107" s="924" t="e">
        <f>DATE(YEAR(tab!$F$3),MONTH(G107),DAY(G107))&gt;tab!$F$3</f>
        <v>#VALUE!</v>
      </c>
      <c r="AJ107" s="925" t="e">
        <f t="shared" si="35"/>
        <v>#VALUE!</v>
      </c>
      <c r="AK107" s="884">
        <f t="shared" si="36"/>
        <v>30</v>
      </c>
      <c r="AL107" s="884">
        <f t="shared" si="37"/>
        <v>30</v>
      </c>
      <c r="AM107" s="925">
        <f t="shared" si="41"/>
        <v>0</v>
      </c>
    </row>
    <row r="108" spans="2:39" ht="12.75" customHeight="1" x14ac:dyDescent="0.2">
      <c r="B108" s="49"/>
      <c r="C108" s="69"/>
      <c r="D108" s="75" t="str">
        <f>IF(op!D40="","",op!D40)</f>
        <v/>
      </c>
      <c r="E108" s="75" t="str">
        <f>IF(op!E40=0,"",op!E40)</f>
        <v/>
      </c>
      <c r="F108" s="88" t="str">
        <f>IF(op!F40="","",op!F40+1)</f>
        <v/>
      </c>
      <c r="G108" s="290" t="str">
        <f>IF(op!G40="","",op!G40)</f>
        <v/>
      </c>
      <c r="H108" s="88" t="str">
        <f>IF(op!H40=0,"",op!H40)</f>
        <v/>
      </c>
      <c r="I108" s="99" t="str">
        <f>IF(J108="","",(IF(op!I40+1&gt;LOOKUP(H108,schaal2019,regels2019),op!I40,op!I40+1)))</f>
        <v/>
      </c>
      <c r="J108" s="291" t="str">
        <f>IF(op!J40="","",op!J40)</f>
        <v/>
      </c>
      <c r="K108" s="971"/>
      <c r="L108" s="859">
        <f t="shared" si="42"/>
        <v>0</v>
      </c>
      <c r="M108" s="859">
        <f t="shared" si="42"/>
        <v>0</v>
      </c>
      <c r="N108" s="867" t="str">
        <f t="shared" si="38"/>
        <v/>
      </c>
      <c r="O108" s="867" t="str">
        <f t="shared" si="39"/>
        <v/>
      </c>
      <c r="P108" s="953" t="str">
        <f t="shared" si="24"/>
        <v/>
      </c>
      <c r="Q108" s="70"/>
      <c r="R108" s="739" t="str">
        <f t="shared" si="40"/>
        <v/>
      </c>
      <c r="S108" s="739" t="str">
        <f t="shared" si="25"/>
        <v/>
      </c>
      <c r="T108" s="740" t="str">
        <f t="shared" si="26"/>
        <v/>
      </c>
      <c r="U108" s="275"/>
      <c r="V108" s="293"/>
      <c r="W108" s="288"/>
      <c r="X108" s="288"/>
      <c r="Y108" s="908">
        <f t="shared" si="27"/>
        <v>0</v>
      </c>
      <c r="Z108" s="986">
        <f>tab!$D$62</f>
        <v>0.6</v>
      </c>
      <c r="AA108" s="944">
        <f t="shared" si="28"/>
        <v>0</v>
      </c>
      <c r="AB108" s="944">
        <f t="shared" si="29"/>
        <v>0</v>
      </c>
      <c r="AC108" s="944">
        <f t="shared" si="30"/>
        <v>0</v>
      </c>
      <c r="AD108" s="943" t="e">
        <f t="shared" si="31"/>
        <v>#VALUE!</v>
      </c>
      <c r="AE108" s="943">
        <f t="shared" si="32"/>
        <v>0</v>
      </c>
      <c r="AF108" s="916">
        <f>IF(H108&gt;8,tab!$D$63,tab!$D$65)</f>
        <v>0.5</v>
      </c>
      <c r="AG108" s="925">
        <f t="shared" si="33"/>
        <v>0</v>
      </c>
      <c r="AH108" s="940">
        <f t="shared" si="34"/>
        <v>0</v>
      </c>
      <c r="AI108" s="924" t="e">
        <f>DATE(YEAR(tab!$F$3),MONTH(G108),DAY(G108))&gt;tab!$F$3</f>
        <v>#VALUE!</v>
      </c>
      <c r="AJ108" s="925" t="e">
        <f t="shared" si="35"/>
        <v>#VALUE!</v>
      </c>
      <c r="AK108" s="884">
        <f t="shared" si="36"/>
        <v>30</v>
      </c>
      <c r="AL108" s="884">
        <f t="shared" si="37"/>
        <v>30</v>
      </c>
      <c r="AM108" s="925">
        <f t="shared" si="41"/>
        <v>0</v>
      </c>
    </row>
    <row r="109" spans="2:39" ht="12.75" customHeight="1" x14ac:dyDescent="0.2">
      <c r="B109" s="49"/>
      <c r="C109" s="69"/>
      <c r="D109" s="75" t="str">
        <f>IF(op!D41="","",op!D41)</f>
        <v/>
      </c>
      <c r="E109" s="75" t="str">
        <f>IF(op!E41=0,"",op!E41)</f>
        <v/>
      </c>
      <c r="F109" s="88" t="str">
        <f>IF(op!F41="","",op!F41+1)</f>
        <v/>
      </c>
      <c r="G109" s="290" t="str">
        <f>IF(op!G41="","",op!G41)</f>
        <v/>
      </c>
      <c r="H109" s="88" t="str">
        <f>IF(op!H41=0,"",op!H41)</f>
        <v/>
      </c>
      <c r="I109" s="99" t="str">
        <f>IF(J109="","",(IF(op!I41+1&gt;LOOKUP(H109,schaal2019,regels2019),op!I41,op!I41+1)))</f>
        <v/>
      </c>
      <c r="J109" s="291" t="str">
        <f>IF(op!J41="","",op!J41)</f>
        <v/>
      </c>
      <c r="K109" s="971"/>
      <c r="L109" s="859">
        <f t="shared" si="42"/>
        <v>0</v>
      </c>
      <c r="M109" s="859">
        <f t="shared" si="42"/>
        <v>0</v>
      </c>
      <c r="N109" s="867" t="str">
        <f t="shared" si="38"/>
        <v/>
      </c>
      <c r="O109" s="867" t="str">
        <f t="shared" si="39"/>
        <v/>
      </c>
      <c r="P109" s="953" t="str">
        <f t="shared" si="24"/>
        <v/>
      </c>
      <c r="Q109" s="70"/>
      <c r="R109" s="739" t="str">
        <f t="shared" si="40"/>
        <v/>
      </c>
      <c r="S109" s="739" t="str">
        <f t="shared" si="25"/>
        <v/>
      </c>
      <c r="T109" s="740" t="str">
        <f t="shared" si="26"/>
        <v/>
      </c>
      <c r="U109" s="275"/>
      <c r="V109" s="293"/>
      <c r="W109" s="288"/>
      <c r="X109" s="288"/>
      <c r="Y109" s="908">
        <f t="shared" si="27"/>
        <v>0</v>
      </c>
      <c r="Z109" s="986">
        <f>tab!$D$62</f>
        <v>0.6</v>
      </c>
      <c r="AA109" s="944">
        <f t="shared" si="28"/>
        <v>0</v>
      </c>
      <c r="AB109" s="944">
        <f t="shared" si="29"/>
        <v>0</v>
      </c>
      <c r="AC109" s="944">
        <f t="shared" si="30"/>
        <v>0</v>
      </c>
      <c r="AD109" s="943" t="e">
        <f t="shared" si="31"/>
        <v>#VALUE!</v>
      </c>
      <c r="AE109" s="943">
        <f t="shared" si="32"/>
        <v>0</v>
      </c>
      <c r="AF109" s="916">
        <f>IF(H109&gt;8,tab!$D$63,tab!$D$65)</f>
        <v>0.5</v>
      </c>
      <c r="AG109" s="925">
        <f t="shared" si="33"/>
        <v>0</v>
      </c>
      <c r="AH109" s="940">
        <f t="shared" si="34"/>
        <v>0</v>
      </c>
      <c r="AI109" s="924" t="e">
        <f>DATE(YEAR(tab!$F$3),MONTH(G109),DAY(G109))&gt;tab!$F$3</f>
        <v>#VALUE!</v>
      </c>
      <c r="AJ109" s="925" t="e">
        <f t="shared" si="35"/>
        <v>#VALUE!</v>
      </c>
      <c r="AK109" s="884">
        <f t="shared" si="36"/>
        <v>30</v>
      </c>
      <c r="AL109" s="884">
        <f t="shared" si="37"/>
        <v>30</v>
      </c>
      <c r="AM109" s="925">
        <f t="shared" si="41"/>
        <v>0</v>
      </c>
    </row>
    <row r="110" spans="2:39" ht="12.75" customHeight="1" x14ac:dyDescent="0.2">
      <c r="B110" s="49"/>
      <c r="C110" s="69"/>
      <c r="D110" s="75" t="str">
        <f>IF(op!D42="","",op!D42)</f>
        <v/>
      </c>
      <c r="E110" s="75" t="str">
        <f>IF(op!E42=0,"",op!E42)</f>
        <v/>
      </c>
      <c r="F110" s="88" t="str">
        <f>IF(op!F42="","",op!F42+1)</f>
        <v/>
      </c>
      <c r="G110" s="290" t="str">
        <f>IF(op!G42="","",op!G42)</f>
        <v/>
      </c>
      <c r="H110" s="88" t="str">
        <f>IF(op!H42=0,"",op!H42)</f>
        <v/>
      </c>
      <c r="I110" s="99" t="str">
        <f>IF(J110="","",(IF(op!I42+1&gt;LOOKUP(H110,schaal2019,regels2019),op!I42,op!I42+1)))</f>
        <v/>
      </c>
      <c r="J110" s="291" t="str">
        <f>IF(op!J42="","",op!J42)</f>
        <v/>
      </c>
      <c r="K110" s="971"/>
      <c r="L110" s="859">
        <f t="shared" si="42"/>
        <v>0</v>
      </c>
      <c r="M110" s="859">
        <f t="shared" si="42"/>
        <v>0</v>
      </c>
      <c r="N110" s="867" t="str">
        <f t="shared" si="38"/>
        <v/>
      </c>
      <c r="O110" s="867" t="str">
        <f t="shared" si="39"/>
        <v/>
      </c>
      <c r="P110" s="953" t="str">
        <f t="shared" si="24"/>
        <v/>
      </c>
      <c r="Q110" s="70"/>
      <c r="R110" s="739" t="str">
        <f t="shared" si="40"/>
        <v/>
      </c>
      <c r="S110" s="739" t="str">
        <f t="shared" si="25"/>
        <v/>
      </c>
      <c r="T110" s="740" t="str">
        <f t="shared" si="26"/>
        <v/>
      </c>
      <c r="U110" s="275"/>
      <c r="V110" s="293"/>
      <c r="W110" s="288"/>
      <c r="X110" s="288"/>
      <c r="Y110" s="908">
        <f t="shared" si="27"/>
        <v>0</v>
      </c>
      <c r="Z110" s="986">
        <f>tab!$D$62</f>
        <v>0.6</v>
      </c>
      <c r="AA110" s="944">
        <f t="shared" si="28"/>
        <v>0</v>
      </c>
      <c r="AB110" s="944">
        <f t="shared" si="29"/>
        <v>0</v>
      </c>
      <c r="AC110" s="944">
        <f t="shared" si="30"/>
        <v>0</v>
      </c>
      <c r="AD110" s="943" t="e">
        <f t="shared" si="31"/>
        <v>#VALUE!</v>
      </c>
      <c r="AE110" s="943">
        <f t="shared" si="32"/>
        <v>0</v>
      </c>
      <c r="AF110" s="916">
        <f>IF(H110&gt;8,tab!$D$63,tab!$D$65)</f>
        <v>0.5</v>
      </c>
      <c r="AG110" s="925">
        <f t="shared" si="33"/>
        <v>0</v>
      </c>
      <c r="AH110" s="940">
        <f t="shared" si="34"/>
        <v>0</v>
      </c>
      <c r="AI110" s="924" t="e">
        <f>DATE(YEAR(tab!$F$3),MONTH(G110),DAY(G110))&gt;tab!$F$3</f>
        <v>#VALUE!</v>
      </c>
      <c r="AJ110" s="925" t="e">
        <f t="shared" si="35"/>
        <v>#VALUE!</v>
      </c>
      <c r="AK110" s="884">
        <f t="shared" si="36"/>
        <v>30</v>
      </c>
      <c r="AL110" s="884">
        <f t="shared" si="37"/>
        <v>30</v>
      </c>
      <c r="AM110" s="925">
        <f t="shared" si="41"/>
        <v>0</v>
      </c>
    </row>
    <row r="111" spans="2:39" ht="12.75" customHeight="1" x14ac:dyDescent="0.2">
      <c r="B111" s="49"/>
      <c r="C111" s="69"/>
      <c r="D111" s="75" t="str">
        <f>IF(op!D43="","",op!D43)</f>
        <v/>
      </c>
      <c r="E111" s="75" t="str">
        <f>IF(op!E43=0,"",op!E43)</f>
        <v/>
      </c>
      <c r="F111" s="88" t="str">
        <f>IF(op!F43="","",op!F43+1)</f>
        <v/>
      </c>
      <c r="G111" s="290" t="str">
        <f>IF(op!G43="","",op!G43)</f>
        <v/>
      </c>
      <c r="H111" s="88" t="str">
        <f>IF(op!H43=0,"",op!H43)</f>
        <v/>
      </c>
      <c r="I111" s="99" t="str">
        <f>IF(J111="","",(IF(op!I43+1&gt;LOOKUP(H111,schaal2019,regels2019),op!I43,op!I43+1)))</f>
        <v/>
      </c>
      <c r="J111" s="291" t="str">
        <f>IF(op!J43="","",op!J43)</f>
        <v/>
      </c>
      <c r="K111" s="971"/>
      <c r="L111" s="859">
        <f t="shared" si="42"/>
        <v>0</v>
      </c>
      <c r="M111" s="859">
        <f t="shared" si="42"/>
        <v>0</v>
      </c>
      <c r="N111" s="867" t="str">
        <f t="shared" si="38"/>
        <v/>
      </c>
      <c r="O111" s="867" t="str">
        <f t="shared" si="39"/>
        <v/>
      </c>
      <c r="P111" s="953" t="str">
        <f t="shared" si="24"/>
        <v/>
      </c>
      <c r="Q111" s="70"/>
      <c r="R111" s="739" t="str">
        <f t="shared" si="40"/>
        <v/>
      </c>
      <c r="S111" s="739" t="str">
        <f t="shared" si="25"/>
        <v/>
      </c>
      <c r="T111" s="740" t="str">
        <f t="shared" si="26"/>
        <v/>
      </c>
      <c r="U111" s="275"/>
      <c r="V111" s="293"/>
      <c r="W111" s="288"/>
      <c r="X111" s="288"/>
      <c r="Y111" s="908">
        <f t="shared" si="27"/>
        <v>0</v>
      </c>
      <c r="Z111" s="986">
        <f>tab!$D$62</f>
        <v>0.6</v>
      </c>
      <c r="AA111" s="944">
        <f t="shared" si="28"/>
        <v>0</v>
      </c>
      <c r="AB111" s="944">
        <f t="shared" si="29"/>
        <v>0</v>
      </c>
      <c r="AC111" s="944">
        <f t="shared" si="30"/>
        <v>0</v>
      </c>
      <c r="AD111" s="943" t="e">
        <f t="shared" si="31"/>
        <v>#VALUE!</v>
      </c>
      <c r="AE111" s="943">
        <f t="shared" si="32"/>
        <v>0</v>
      </c>
      <c r="AF111" s="916">
        <f>IF(H111&gt;8,tab!$D$63,tab!$D$65)</f>
        <v>0.5</v>
      </c>
      <c r="AG111" s="925">
        <f t="shared" si="33"/>
        <v>0</v>
      </c>
      <c r="AH111" s="940">
        <f t="shared" si="34"/>
        <v>0</v>
      </c>
      <c r="AI111" s="924" t="e">
        <f>DATE(YEAR(tab!$F$3),MONTH(G111),DAY(G111))&gt;tab!$F$3</f>
        <v>#VALUE!</v>
      </c>
      <c r="AJ111" s="925" t="e">
        <f t="shared" si="35"/>
        <v>#VALUE!</v>
      </c>
      <c r="AK111" s="884">
        <f t="shared" si="36"/>
        <v>30</v>
      </c>
      <c r="AL111" s="884">
        <f t="shared" si="37"/>
        <v>30</v>
      </c>
      <c r="AM111" s="925">
        <f t="shared" si="41"/>
        <v>0</v>
      </c>
    </row>
    <row r="112" spans="2:39" ht="12.75" customHeight="1" x14ac:dyDescent="0.2">
      <c r="B112" s="49"/>
      <c r="C112" s="69"/>
      <c r="D112" s="75" t="str">
        <f>IF(op!D44="","",op!D44)</f>
        <v/>
      </c>
      <c r="E112" s="75" t="str">
        <f>IF(op!E44=0,"",op!E44)</f>
        <v/>
      </c>
      <c r="F112" s="88" t="str">
        <f>IF(op!F44="","",op!F44+1)</f>
        <v/>
      </c>
      <c r="G112" s="290" t="str">
        <f>IF(op!G44="","",op!G44)</f>
        <v/>
      </c>
      <c r="H112" s="88" t="str">
        <f>IF(op!H44=0,"",op!H44)</f>
        <v/>
      </c>
      <c r="I112" s="99" t="str">
        <f>IF(J112="","",(IF(op!I44+1&gt;LOOKUP(H112,schaal2019,regels2019),op!I44,op!I44+1)))</f>
        <v/>
      </c>
      <c r="J112" s="291" t="str">
        <f>IF(op!J44="","",op!J44)</f>
        <v/>
      </c>
      <c r="K112" s="971"/>
      <c r="L112" s="859">
        <f t="shared" si="42"/>
        <v>0</v>
      </c>
      <c r="M112" s="859">
        <f t="shared" si="42"/>
        <v>0</v>
      </c>
      <c r="N112" s="867" t="str">
        <f t="shared" si="38"/>
        <v/>
      </c>
      <c r="O112" s="867" t="str">
        <f t="shared" si="39"/>
        <v/>
      </c>
      <c r="P112" s="953" t="str">
        <f t="shared" si="24"/>
        <v/>
      </c>
      <c r="Q112" s="70"/>
      <c r="R112" s="739" t="str">
        <f t="shared" si="40"/>
        <v/>
      </c>
      <c r="S112" s="739" t="str">
        <f t="shared" si="25"/>
        <v/>
      </c>
      <c r="T112" s="740" t="str">
        <f t="shared" si="26"/>
        <v/>
      </c>
      <c r="U112" s="275"/>
      <c r="V112" s="293"/>
      <c r="W112" s="288"/>
      <c r="X112" s="288"/>
      <c r="Y112" s="908">
        <f t="shared" si="27"/>
        <v>0</v>
      </c>
      <c r="Z112" s="986">
        <f>tab!$D$62</f>
        <v>0.6</v>
      </c>
      <c r="AA112" s="944">
        <f t="shared" si="28"/>
        <v>0</v>
      </c>
      <c r="AB112" s="944">
        <f t="shared" si="29"/>
        <v>0</v>
      </c>
      <c r="AC112" s="944">
        <f t="shared" si="30"/>
        <v>0</v>
      </c>
      <c r="AD112" s="943" t="e">
        <f t="shared" si="31"/>
        <v>#VALUE!</v>
      </c>
      <c r="AE112" s="943">
        <f t="shared" si="32"/>
        <v>0</v>
      </c>
      <c r="AF112" s="916">
        <f>IF(H112&gt;8,tab!$D$63,tab!$D$65)</f>
        <v>0.5</v>
      </c>
      <c r="AG112" s="925">
        <f t="shared" si="33"/>
        <v>0</v>
      </c>
      <c r="AH112" s="940">
        <f t="shared" si="34"/>
        <v>0</v>
      </c>
      <c r="AI112" s="924" t="e">
        <f>DATE(YEAR(tab!$F$3),MONTH(G112),DAY(G112))&gt;tab!$F$3</f>
        <v>#VALUE!</v>
      </c>
      <c r="AJ112" s="925" t="e">
        <f t="shared" si="35"/>
        <v>#VALUE!</v>
      </c>
      <c r="AK112" s="884">
        <f t="shared" si="36"/>
        <v>30</v>
      </c>
      <c r="AL112" s="884">
        <f t="shared" si="37"/>
        <v>30</v>
      </c>
      <c r="AM112" s="925">
        <f t="shared" si="41"/>
        <v>0</v>
      </c>
    </row>
    <row r="113" spans="2:39" ht="12.75" customHeight="1" x14ac:dyDescent="0.2">
      <c r="B113" s="49"/>
      <c r="C113" s="69"/>
      <c r="D113" s="75" t="str">
        <f>IF(op!D45="","",op!D45)</f>
        <v/>
      </c>
      <c r="E113" s="75" t="str">
        <f>IF(op!E45=0,"",op!E45)</f>
        <v/>
      </c>
      <c r="F113" s="88" t="str">
        <f>IF(op!F45="","",op!F45+1)</f>
        <v/>
      </c>
      <c r="G113" s="290" t="str">
        <f>IF(op!G45="","",op!G45)</f>
        <v/>
      </c>
      <c r="H113" s="88" t="str">
        <f>IF(op!H45=0,"",op!H45)</f>
        <v/>
      </c>
      <c r="I113" s="99" t="str">
        <f>IF(J113="","",(IF(op!I45+1&gt;LOOKUP(H113,schaal2019,regels2019),op!I45,op!I45+1)))</f>
        <v/>
      </c>
      <c r="J113" s="291" t="str">
        <f>IF(op!J45="","",op!J45)</f>
        <v/>
      </c>
      <c r="K113" s="971"/>
      <c r="L113" s="859">
        <f t="shared" si="42"/>
        <v>0</v>
      </c>
      <c r="M113" s="859">
        <f t="shared" si="42"/>
        <v>0</v>
      </c>
      <c r="N113" s="867" t="str">
        <f t="shared" si="38"/>
        <v/>
      </c>
      <c r="O113" s="867" t="str">
        <f t="shared" si="39"/>
        <v/>
      </c>
      <c r="P113" s="953" t="str">
        <f t="shared" si="24"/>
        <v/>
      </c>
      <c r="Q113" s="70"/>
      <c r="R113" s="739" t="str">
        <f t="shared" si="40"/>
        <v/>
      </c>
      <c r="S113" s="739" t="str">
        <f t="shared" si="25"/>
        <v/>
      </c>
      <c r="T113" s="740" t="str">
        <f t="shared" si="26"/>
        <v/>
      </c>
      <c r="U113" s="275"/>
      <c r="V113" s="293"/>
      <c r="W113" s="288"/>
      <c r="X113" s="288"/>
      <c r="Y113" s="908">
        <f t="shared" si="27"/>
        <v>0</v>
      </c>
      <c r="Z113" s="986">
        <f>tab!$D$62</f>
        <v>0.6</v>
      </c>
      <c r="AA113" s="944">
        <f t="shared" si="28"/>
        <v>0</v>
      </c>
      <c r="AB113" s="944">
        <f t="shared" si="29"/>
        <v>0</v>
      </c>
      <c r="AC113" s="944">
        <f t="shared" si="30"/>
        <v>0</v>
      </c>
      <c r="AD113" s="943" t="e">
        <f t="shared" si="31"/>
        <v>#VALUE!</v>
      </c>
      <c r="AE113" s="943">
        <f t="shared" si="32"/>
        <v>0</v>
      </c>
      <c r="AF113" s="916">
        <f>IF(H113&gt;8,tab!$D$63,tab!$D$65)</f>
        <v>0.5</v>
      </c>
      <c r="AG113" s="925">
        <f t="shared" si="33"/>
        <v>0</v>
      </c>
      <c r="AH113" s="940">
        <f t="shared" si="34"/>
        <v>0</v>
      </c>
      <c r="AI113" s="924" t="e">
        <f>DATE(YEAR(tab!$F$3),MONTH(G113),DAY(G113))&gt;tab!$F$3</f>
        <v>#VALUE!</v>
      </c>
      <c r="AJ113" s="925" t="e">
        <f t="shared" si="35"/>
        <v>#VALUE!</v>
      </c>
      <c r="AK113" s="884">
        <f t="shared" si="36"/>
        <v>30</v>
      </c>
      <c r="AL113" s="884">
        <f t="shared" si="37"/>
        <v>30</v>
      </c>
      <c r="AM113" s="925">
        <f t="shared" si="41"/>
        <v>0</v>
      </c>
    </row>
    <row r="114" spans="2:39" ht="12.75" customHeight="1" x14ac:dyDescent="0.2">
      <c r="B114" s="49"/>
      <c r="C114" s="69"/>
      <c r="D114" s="75" t="str">
        <f>IF(op!D46="","",op!D46)</f>
        <v/>
      </c>
      <c r="E114" s="75" t="str">
        <f>IF(op!E46=0,"",op!E46)</f>
        <v/>
      </c>
      <c r="F114" s="88" t="str">
        <f>IF(op!F46="","",op!F46+1)</f>
        <v/>
      </c>
      <c r="G114" s="290" t="str">
        <f>IF(op!G46="","",op!G46)</f>
        <v/>
      </c>
      <c r="H114" s="88" t="str">
        <f>IF(op!H46=0,"",op!H46)</f>
        <v/>
      </c>
      <c r="I114" s="99" t="str">
        <f>IF(J114="","",(IF(op!I46+1&gt;LOOKUP(H114,schaal2019,regels2019),op!I46,op!I46+1)))</f>
        <v/>
      </c>
      <c r="J114" s="291" t="str">
        <f>IF(op!J46="","",op!J46)</f>
        <v/>
      </c>
      <c r="K114" s="971"/>
      <c r="L114" s="859">
        <f t="shared" si="42"/>
        <v>0</v>
      </c>
      <c r="M114" s="859">
        <f t="shared" si="42"/>
        <v>0</v>
      </c>
      <c r="N114" s="867" t="str">
        <f t="shared" si="38"/>
        <v/>
      </c>
      <c r="O114" s="867" t="str">
        <f t="shared" si="39"/>
        <v/>
      </c>
      <c r="P114" s="953" t="str">
        <f t="shared" si="24"/>
        <v/>
      </c>
      <c r="Q114" s="70"/>
      <c r="R114" s="739" t="str">
        <f t="shared" si="40"/>
        <v/>
      </c>
      <c r="S114" s="739" t="str">
        <f t="shared" si="25"/>
        <v/>
      </c>
      <c r="T114" s="740" t="str">
        <f t="shared" si="26"/>
        <v/>
      </c>
      <c r="U114" s="275"/>
      <c r="V114" s="293"/>
      <c r="W114" s="288"/>
      <c r="X114" s="288"/>
      <c r="Y114" s="908">
        <f t="shared" si="27"/>
        <v>0</v>
      </c>
      <c r="Z114" s="986">
        <f>tab!$D$62</f>
        <v>0.6</v>
      </c>
      <c r="AA114" s="944">
        <f t="shared" si="28"/>
        <v>0</v>
      </c>
      <c r="AB114" s="944">
        <f t="shared" si="29"/>
        <v>0</v>
      </c>
      <c r="AC114" s="944">
        <f t="shared" si="30"/>
        <v>0</v>
      </c>
      <c r="AD114" s="943" t="e">
        <f t="shared" si="31"/>
        <v>#VALUE!</v>
      </c>
      <c r="AE114" s="943">
        <f t="shared" si="32"/>
        <v>0</v>
      </c>
      <c r="AF114" s="916">
        <f>IF(H114&gt;8,tab!$D$63,tab!$D$65)</f>
        <v>0.5</v>
      </c>
      <c r="AG114" s="925">
        <f t="shared" si="33"/>
        <v>0</v>
      </c>
      <c r="AH114" s="940">
        <f t="shared" si="34"/>
        <v>0</v>
      </c>
      <c r="AI114" s="924" t="e">
        <f>DATE(YEAR(tab!$F$3),MONTH(G114),DAY(G114))&gt;tab!$F$3</f>
        <v>#VALUE!</v>
      </c>
      <c r="AJ114" s="925" t="e">
        <f t="shared" si="35"/>
        <v>#VALUE!</v>
      </c>
      <c r="AK114" s="884">
        <f t="shared" si="36"/>
        <v>30</v>
      </c>
      <c r="AL114" s="884">
        <f t="shared" si="37"/>
        <v>30</v>
      </c>
      <c r="AM114" s="925">
        <f t="shared" si="41"/>
        <v>0</v>
      </c>
    </row>
    <row r="115" spans="2:39" ht="12.75" customHeight="1" x14ac:dyDescent="0.2">
      <c r="B115" s="49"/>
      <c r="C115" s="69"/>
      <c r="D115" s="75" t="str">
        <f>IF(op!D47="","",op!D47)</f>
        <v/>
      </c>
      <c r="E115" s="75" t="str">
        <f>IF(op!E47=0,"",op!E47)</f>
        <v/>
      </c>
      <c r="F115" s="88" t="str">
        <f>IF(op!F47="","",op!F47+1)</f>
        <v/>
      </c>
      <c r="G115" s="290" t="str">
        <f>IF(op!G47="","",op!G47)</f>
        <v/>
      </c>
      <c r="H115" s="88" t="str">
        <f>IF(op!H47=0,"",op!H47)</f>
        <v/>
      </c>
      <c r="I115" s="99" t="str">
        <f>IF(J115="","",(IF(op!I47+1&gt;LOOKUP(H115,schaal2019,regels2019),op!I47,op!I47+1)))</f>
        <v/>
      </c>
      <c r="J115" s="291" t="str">
        <f>IF(op!J47="","",op!J47)</f>
        <v/>
      </c>
      <c r="K115" s="971"/>
      <c r="L115" s="859">
        <f t="shared" si="42"/>
        <v>0</v>
      </c>
      <c r="M115" s="859">
        <f t="shared" si="42"/>
        <v>0</v>
      </c>
      <c r="N115" s="867" t="str">
        <f t="shared" si="38"/>
        <v/>
      </c>
      <c r="O115" s="867" t="str">
        <f t="shared" si="39"/>
        <v/>
      </c>
      <c r="P115" s="953" t="str">
        <f t="shared" si="24"/>
        <v/>
      </c>
      <c r="Q115" s="70"/>
      <c r="R115" s="739" t="str">
        <f t="shared" si="40"/>
        <v/>
      </c>
      <c r="S115" s="739" t="str">
        <f t="shared" si="25"/>
        <v/>
      </c>
      <c r="T115" s="740" t="str">
        <f t="shared" si="26"/>
        <v/>
      </c>
      <c r="U115" s="275"/>
      <c r="V115" s="293"/>
      <c r="W115" s="288"/>
      <c r="X115" s="288"/>
      <c r="Y115" s="908">
        <f t="shared" si="27"/>
        <v>0</v>
      </c>
      <c r="Z115" s="986">
        <f>tab!$D$62</f>
        <v>0.6</v>
      </c>
      <c r="AA115" s="944">
        <f t="shared" si="28"/>
        <v>0</v>
      </c>
      <c r="AB115" s="944">
        <f t="shared" si="29"/>
        <v>0</v>
      </c>
      <c r="AC115" s="944">
        <f t="shared" si="30"/>
        <v>0</v>
      </c>
      <c r="AD115" s="943" t="e">
        <f t="shared" si="31"/>
        <v>#VALUE!</v>
      </c>
      <c r="AE115" s="943">
        <f t="shared" si="32"/>
        <v>0</v>
      </c>
      <c r="AF115" s="916">
        <f>IF(H115&gt;8,tab!$D$63,tab!$D$65)</f>
        <v>0.5</v>
      </c>
      <c r="AG115" s="925">
        <f t="shared" si="33"/>
        <v>0</v>
      </c>
      <c r="AH115" s="940">
        <f t="shared" si="34"/>
        <v>0</v>
      </c>
      <c r="AI115" s="924" t="e">
        <f>DATE(YEAR(tab!$F$3),MONTH(G115),DAY(G115))&gt;tab!$F$3</f>
        <v>#VALUE!</v>
      </c>
      <c r="AJ115" s="925" t="e">
        <f t="shared" si="35"/>
        <v>#VALUE!</v>
      </c>
      <c r="AK115" s="884">
        <f t="shared" si="36"/>
        <v>30</v>
      </c>
      <c r="AL115" s="884">
        <f t="shared" si="37"/>
        <v>30</v>
      </c>
      <c r="AM115" s="925">
        <f t="shared" si="41"/>
        <v>0</v>
      </c>
    </row>
    <row r="116" spans="2:39" ht="12.75" customHeight="1" x14ac:dyDescent="0.2">
      <c r="B116" s="49"/>
      <c r="C116" s="69"/>
      <c r="D116" s="75" t="str">
        <f>IF(op!D48="","",op!D48)</f>
        <v/>
      </c>
      <c r="E116" s="75" t="str">
        <f>IF(op!E48=0,"",op!E48)</f>
        <v/>
      </c>
      <c r="F116" s="88" t="str">
        <f>IF(op!F48="","",op!F48+1)</f>
        <v/>
      </c>
      <c r="G116" s="290" t="str">
        <f>IF(op!G48="","",op!G48)</f>
        <v/>
      </c>
      <c r="H116" s="88" t="str">
        <f>IF(op!H48=0,"",op!H48)</f>
        <v/>
      </c>
      <c r="I116" s="99" t="str">
        <f>IF(J116="","",(IF(op!I48+1&gt;LOOKUP(H116,schaal2019,regels2019),op!I48,op!I48+1)))</f>
        <v/>
      </c>
      <c r="J116" s="291" t="str">
        <f>IF(op!J48="","",op!J48)</f>
        <v/>
      </c>
      <c r="K116" s="971"/>
      <c r="L116" s="859">
        <f t="shared" si="42"/>
        <v>0</v>
      </c>
      <c r="M116" s="859">
        <f t="shared" si="42"/>
        <v>0</v>
      </c>
      <c r="N116" s="867" t="str">
        <f t="shared" si="38"/>
        <v/>
      </c>
      <c r="O116" s="867" t="str">
        <f t="shared" si="39"/>
        <v/>
      </c>
      <c r="P116" s="953" t="str">
        <f t="shared" si="24"/>
        <v/>
      </c>
      <c r="Q116" s="70"/>
      <c r="R116" s="739" t="str">
        <f t="shared" si="40"/>
        <v/>
      </c>
      <c r="S116" s="739" t="str">
        <f t="shared" si="25"/>
        <v/>
      </c>
      <c r="T116" s="740" t="str">
        <f t="shared" si="26"/>
        <v/>
      </c>
      <c r="U116" s="275"/>
      <c r="V116" s="293"/>
      <c r="W116" s="288"/>
      <c r="X116" s="288"/>
      <c r="Y116" s="908">
        <f t="shared" ref="Y116:Y138" si="43">IF(H116="",0,5/12*VLOOKUP(H116,salaris2020,I116+1,FALSE)+7/12*VLOOKUP(H116,salaris2020,I116+1,FALSE))</f>
        <v>0</v>
      </c>
      <c r="Z116" s="986">
        <f>tab!$D$62</f>
        <v>0.6</v>
      </c>
      <c r="AA116" s="944">
        <f t="shared" si="28"/>
        <v>0</v>
      </c>
      <c r="AB116" s="944">
        <f t="shared" si="29"/>
        <v>0</v>
      </c>
      <c r="AC116" s="944">
        <f t="shared" si="30"/>
        <v>0</v>
      </c>
      <c r="AD116" s="943" t="e">
        <f t="shared" si="31"/>
        <v>#VALUE!</v>
      </c>
      <c r="AE116" s="943">
        <f t="shared" si="32"/>
        <v>0</v>
      </c>
      <c r="AF116" s="916">
        <f>IF(H116&gt;8,tab!$D$63,tab!$D$65)</f>
        <v>0.5</v>
      </c>
      <c r="AG116" s="925">
        <f t="shared" ref="AG116:AG138" si="44">IF(F116&lt;25,0,IF(F116=25,25,IF(F116&lt;40,0,IF(F116=40,40,IF(F116&gt;=40,0)))))</f>
        <v>0</v>
      </c>
      <c r="AH116" s="940">
        <f t="shared" ref="AH116:AH138" si="45">IF(AG116=25,(Y116*1.08*(J116)/2),IF(AG116=40,(Y116*1.08*(J116)),IF(AG116=0,0)))</f>
        <v>0</v>
      </c>
      <c r="AI116" s="924" t="e">
        <f>DATE(YEAR(tab!$F$3),MONTH(G116),DAY(G116))&gt;tab!$F$3</f>
        <v>#VALUE!</v>
      </c>
      <c r="AJ116" s="925" t="e">
        <f t="shared" ref="AJ116:AJ138" si="46">YEAR($E$77)-YEAR(G116)-AI116</f>
        <v>#VALUE!</v>
      </c>
      <c r="AK116" s="884">
        <f t="shared" ref="AK116:AK138" si="47">IF((G116=""),30,AJ116)</f>
        <v>30</v>
      </c>
      <c r="AL116" s="884">
        <f t="shared" ref="AL116:AL138" si="48">IF((AK116)&gt;50,50,(AK116))</f>
        <v>30</v>
      </c>
      <c r="AM116" s="925">
        <f t="shared" ref="AM116:AM138" si="49">ROUND((AL116*(SUM(J116:J116))),2)</f>
        <v>0</v>
      </c>
    </row>
    <row r="117" spans="2:39" ht="12.75" customHeight="1" x14ac:dyDescent="0.2">
      <c r="B117" s="49"/>
      <c r="C117" s="69"/>
      <c r="D117" s="75" t="str">
        <f>IF(op!D49="","",op!D49)</f>
        <v/>
      </c>
      <c r="E117" s="75" t="str">
        <f>IF(op!E49=0,"",op!E49)</f>
        <v/>
      </c>
      <c r="F117" s="88" t="str">
        <f>IF(op!F49="","",op!F49+1)</f>
        <v/>
      </c>
      <c r="G117" s="290" t="str">
        <f>IF(op!G49="","",op!G49)</f>
        <v/>
      </c>
      <c r="H117" s="88" t="str">
        <f>IF(op!H49=0,"",op!H49)</f>
        <v/>
      </c>
      <c r="I117" s="99" t="str">
        <f>IF(J117="","",(IF(op!I49+1&gt;LOOKUP(H117,schaal2019,regels2019),op!I49,op!I49+1)))</f>
        <v/>
      </c>
      <c r="J117" s="291" t="str">
        <f>IF(op!J49="","",op!J49)</f>
        <v/>
      </c>
      <c r="K117" s="971"/>
      <c r="L117" s="859">
        <f t="shared" si="42"/>
        <v>0</v>
      </c>
      <c r="M117" s="859">
        <f t="shared" si="42"/>
        <v>0</v>
      </c>
      <c r="N117" s="867" t="str">
        <f t="shared" si="38"/>
        <v/>
      </c>
      <c r="O117" s="867" t="str">
        <f t="shared" si="39"/>
        <v/>
      </c>
      <c r="P117" s="953" t="str">
        <f t="shared" si="24"/>
        <v/>
      </c>
      <c r="Q117" s="70"/>
      <c r="R117" s="739" t="str">
        <f t="shared" si="40"/>
        <v/>
      </c>
      <c r="S117" s="739" t="str">
        <f t="shared" si="25"/>
        <v/>
      </c>
      <c r="T117" s="740" t="str">
        <f t="shared" si="26"/>
        <v/>
      </c>
      <c r="U117" s="275"/>
      <c r="V117" s="293"/>
      <c r="W117" s="288"/>
      <c r="X117" s="288"/>
      <c r="Y117" s="908">
        <f t="shared" si="43"/>
        <v>0</v>
      </c>
      <c r="Z117" s="986">
        <f>tab!$D$62</f>
        <v>0.6</v>
      </c>
      <c r="AA117" s="944">
        <f t="shared" si="28"/>
        <v>0</v>
      </c>
      <c r="AB117" s="944">
        <f t="shared" si="29"/>
        <v>0</v>
      </c>
      <c r="AC117" s="944">
        <f t="shared" si="30"/>
        <v>0</v>
      </c>
      <c r="AD117" s="943" t="e">
        <f t="shared" si="31"/>
        <v>#VALUE!</v>
      </c>
      <c r="AE117" s="943">
        <f t="shared" si="32"/>
        <v>0</v>
      </c>
      <c r="AF117" s="916">
        <f>IF(H117&gt;8,tab!$D$63,tab!$D$65)</f>
        <v>0.5</v>
      </c>
      <c r="AG117" s="925">
        <f t="shared" si="44"/>
        <v>0</v>
      </c>
      <c r="AH117" s="940">
        <f t="shared" si="45"/>
        <v>0</v>
      </c>
      <c r="AI117" s="924" t="e">
        <f>DATE(YEAR(tab!$F$3),MONTH(G117),DAY(G117))&gt;tab!$F$3</f>
        <v>#VALUE!</v>
      </c>
      <c r="AJ117" s="925" t="e">
        <f t="shared" si="46"/>
        <v>#VALUE!</v>
      </c>
      <c r="AK117" s="884">
        <f t="shared" si="47"/>
        <v>30</v>
      </c>
      <c r="AL117" s="884">
        <f t="shared" si="48"/>
        <v>30</v>
      </c>
      <c r="AM117" s="925">
        <f t="shared" si="49"/>
        <v>0</v>
      </c>
    </row>
    <row r="118" spans="2:39" ht="12.75" customHeight="1" x14ac:dyDescent="0.2">
      <c r="B118" s="49"/>
      <c r="C118" s="69"/>
      <c r="D118" s="75" t="str">
        <f>IF(op!D50="","",op!D50)</f>
        <v/>
      </c>
      <c r="E118" s="75" t="str">
        <f>IF(op!E50=0,"",op!E50)</f>
        <v/>
      </c>
      <c r="F118" s="88" t="str">
        <f>IF(op!F50="","",op!F50+1)</f>
        <v/>
      </c>
      <c r="G118" s="290" t="str">
        <f>IF(op!G50="","",op!G50)</f>
        <v/>
      </c>
      <c r="H118" s="88" t="str">
        <f>IF(op!H50=0,"",op!H50)</f>
        <v/>
      </c>
      <c r="I118" s="99" t="str">
        <f>IF(J118="","",(IF(op!I50+1&gt;LOOKUP(H118,schaal2019,regels2019),op!I50,op!I50+1)))</f>
        <v/>
      </c>
      <c r="J118" s="291" t="str">
        <f>IF(op!J50="","",op!J50)</f>
        <v/>
      </c>
      <c r="K118" s="971"/>
      <c r="L118" s="859">
        <f t="shared" si="42"/>
        <v>0</v>
      </c>
      <c r="M118" s="859">
        <f t="shared" si="42"/>
        <v>0</v>
      </c>
      <c r="N118" s="867" t="str">
        <f t="shared" si="38"/>
        <v/>
      </c>
      <c r="O118" s="867" t="str">
        <f t="shared" si="39"/>
        <v/>
      </c>
      <c r="P118" s="953" t="str">
        <f t="shared" si="24"/>
        <v/>
      </c>
      <c r="Q118" s="70"/>
      <c r="R118" s="739" t="str">
        <f t="shared" si="40"/>
        <v/>
      </c>
      <c r="S118" s="739" t="str">
        <f t="shared" si="25"/>
        <v/>
      </c>
      <c r="T118" s="740" t="str">
        <f t="shared" si="26"/>
        <v/>
      </c>
      <c r="U118" s="275"/>
      <c r="V118" s="293"/>
      <c r="W118" s="288"/>
      <c r="X118" s="288"/>
      <c r="Y118" s="908">
        <f t="shared" si="43"/>
        <v>0</v>
      </c>
      <c r="Z118" s="986">
        <f>tab!$D$62</f>
        <v>0.6</v>
      </c>
      <c r="AA118" s="944">
        <f t="shared" si="28"/>
        <v>0</v>
      </c>
      <c r="AB118" s="944">
        <f t="shared" si="29"/>
        <v>0</v>
      </c>
      <c r="AC118" s="944">
        <f t="shared" si="30"/>
        <v>0</v>
      </c>
      <c r="AD118" s="943" t="e">
        <f t="shared" si="31"/>
        <v>#VALUE!</v>
      </c>
      <c r="AE118" s="943">
        <f t="shared" si="32"/>
        <v>0</v>
      </c>
      <c r="AF118" s="916">
        <f>IF(H118&gt;8,tab!$D$63,tab!$D$65)</f>
        <v>0.5</v>
      </c>
      <c r="AG118" s="925">
        <f t="shared" si="44"/>
        <v>0</v>
      </c>
      <c r="AH118" s="940">
        <f t="shared" si="45"/>
        <v>0</v>
      </c>
      <c r="AI118" s="924" t="e">
        <f>DATE(YEAR(tab!$F$3),MONTH(G118),DAY(G118))&gt;tab!$F$3</f>
        <v>#VALUE!</v>
      </c>
      <c r="AJ118" s="925" t="e">
        <f t="shared" si="46"/>
        <v>#VALUE!</v>
      </c>
      <c r="AK118" s="884">
        <f t="shared" si="47"/>
        <v>30</v>
      </c>
      <c r="AL118" s="884">
        <f t="shared" si="48"/>
        <v>30</v>
      </c>
      <c r="AM118" s="925">
        <f t="shared" si="49"/>
        <v>0</v>
      </c>
    </row>
    <row r="119" spans="2:39" ht="12.75" customHeight="1" x14ac:dyDescent="0.2">
      <c r="B119" s="49"/>
      <c r="C119" s="69"/>
      <c r="D119" s="75" t="str">
        <f>IF(op!D51="","",op!D51)</f>
        <v/>
      </c>
      <c r="E119" s="75" t="str">
        <f>IF(op!E51=0,"",op!E51)</f>
        <v/>
      </c>
      <c r="F119" s="88" t="str">
        <f>IF(op!F51="","",op!F51+1)</f>
        <v/>
      </c>
      <c r="G119" s="290" t="str">
        <f>IF(op!G51="","",op!G51)</f>
        <v/>
      </c>
      <c r="H119" s="88" t="str">
        <f>IF(op!H51=0,"",op!H51)</f>
        <v/>
      </c>
      <c r="I119" s="99" t="str">
        <f>IF(J119="","",(IF(op!I51+1&gt;LOOKUP(H119,schaal2019,regels2019),op!I51,op!I51+1)))</f>
        <v/>
      </c>
      <c r="J119" s="291" t="str">
        <f>IF(op!J51="","",op!J51)</f>
        <v/>
      </c>
      <c r="K119" s="971"/>
      <c r="L119" s="859">
        <f t="shared" si="42"/>
        <v>0</v>
      </c>
      <c r="M119" s="859">
        <f t="shared" si="42"/>
        <v>0</v>
      </c>
      <c r="N119" s="867" t="str">
        <f t="shared" si="38"/>
        <v/>
      </c>
      <c r="O119" s="867" t="str">
        <f t="shared" si="39"/>
        <v/>
      </c>
      <c r="P119" s="953" t="str">
        <f t="shared" si="24"/>
        <v/>
      </c>
      <c r="Q119" s="70"/>
      <c r="R119" s="739" t="str">
        <f t="shared" si="40"/>
        <v/>
      </c>
      <c r="S119" s="739" t="str">
        <f t="shared" si="25"/>
        <v/>
      </c>
      <c r="T119" s="740" t="str">
        <f t="shared" si="26"/>
        <v/>
      </c>
      <c r="U119" s="275"/>
      <c r="V119" s="293"/>
      <c r="W119" s="288"/>
      <c r="X119" s="288"/>
      <c r="Y119" s="908">
        <f t="shared" si="43"/>
        <v>0</v>
      </c>
      <c r="Z119" s="986">
        <f>tab!$D$62</f>
        <v>0.6</v>
      </c>
      <c r="AA119" s="944">
        <f t="shared" si="28"/>
        <v>0</v>
      </c>
      <c r="AB119" s="944">
        <f t="shared" si="29"/>
        <v>0</v>
      </c>
      <c r="AC119" s="944">
        <f t="shared" si="30"/>
        <v>0</v>
      </c>
      <c r="AD119" s="943" t="e">
        <f t="shared" si="31"/>
        <v>#VALUE!</v>
      </c>
      <c r="AE119" s="943">
        <f t="shared" si="32"/>
        <v>0</v>
      </c>
      <c r="AF119" s="916">
        <f>IF(H119&gt;8,tab!$D$63,tab!$D$65)</f>
        <v>0.5</v>
      </c>
      <c r="AG119" s="925">
        <f t="shared" si="44"/>
        <v>0</v>
      </c>
      <c r="AH119" s="940">
        <f t="shared" si="45"/>
        <v>0</v>
      </c>
      <c r="AI119" s="924" t="e">
        <f>DATE(YEAR(tab!$F$3),MONTH(G119),DAY(G119))&gt;tab!$F$3</f>
        <v>#VALUE!</v>
      </c>
      <c r="AJ119" s="925" t="e">
        <f t="shared" si="46"/>
        <v>#VALUE!</v>
      </c>
      <c r="AK119" s="884">
        <f t="shared" si="47"/>
        <v>30</v>
      </c>
      <c r="AL119" s="884">
        <f t="shared" si="48"/>
        <v>30</v>
      </c>
      <c r="AM119" s="925">
        <f t="shared" si="49"/>
        <v>0</v>
      </c>
    </row>
    <row r="120" spans="2:39" ht="12.75" customHeight="1" x14ac:dyDescent="0.2">
      <c r="B120" s="49"/>
      <c r="C120" s="69"/>
      <c r="D120" s="75" t="str">
        <f>IF(op!D52="","",op!D52)</f>
        <v/>
      </c>
      <c r="E120" s="75" t="str">
        <f>IF(op!E52=0,"",op!E52)</f>
        <v/>
      </c>
      <c r="F120" s="88" t="str">
        <f>IF(op!F52="","",op!F52+1)</f>
        <v/>
      </c>
      <c r="G120" s="290" t="str">
        <f>IF(op!G52="","",op!G52)</f>
        <v/>
      </c>
      <c r="H120" s="88" t="str">
        <f>IF(op!H52=0,"",op!H52)</f>
        <v/>
      </c>
      <c r="I120" s="99" t="str">
        <f>IF(J120="","",(IF(op!I52+1&gt;LOOKUP(H120,schaal2019,regels2019),op!I52,op!I52+1)))</f>
        <v/>
      </c>
      <c r="J120" s="291" t="str">
        <f>IF(op!J52="","",op!J52)</f>
        <v/>
      </c>
      <c r="K120" s="971"/>
      <c r="L120" s="859">
        <f t="shared" si="42"/>
        <v>0</v>
      </c>
      <c r="M120" s="859">
        <f t="shared" si="42"/>
        <v>0</v>
      </c>
      <c r="N120" s="867" t="str">
        <f t="shared" si="38"/>
        <v/>
      </c>
      <c r="O120" s="867" t="str">
        <f t="shared" si="39"/>
        <v/>
      </c>
      <c r="P120" s="953" t="str">
        <f t="shared" si="24"/>
        <v/>
      </c>
      <c r="Q120" s="70"/>
      <c r="R120" s="739" t="str">
        <f t="shared" si="40"/>
        <v/>
      </c>
      <c r="S120" s="739" t="str">
        <f t="shared" si="25"/>
        <v/>
      </c>
      <c r="T120" s="740" t="str">
        <f t="shared" si="26"/>
        <v/>
      </c>
      <c r="U120" s="275"/>
      <c r="V120" s="293"/>
      <c r="W120" s="288"/>
      <c r="X120" s="288"/>
      <c r="Y120" s="908">
        <f t="shared" si="43"/>
        <v>0</v>
      </c>
      <c r="Z120" s="986">
        <f>tab!$D$62</f>
        <v>0.6</v>
      </c>
      <c r="AA120" s="944">
        <f t="shared" si="28"/>
        <v>0</v>
      </c>
      <c r="AB120" s="944">
        <f t="shared" si="29"/>
        <v>0</v>
      </c>
      <c r="AC120" s="944">
        <f t="shared" si="30"/>
        <v>0</v>
      </c>
      <c r="AD120" s="943" t="e">
        <f t="shared" si="31"/>
        <v>#VALUE!</v>
      </c>
      <c r="AE120" s="943">
        <f t="shared" si="32"/>
        <v>0</v>
      </c>
      <c r="AF120" s="916">
        <f>IF(H120&gt;8,tab!$D$63,tab!$D$65)</f>
        <v>0.5</v>
      </c>
      <c r="AG120" s="925">
        <f t="shared" si="44"/>
        <v>0</v>
      </c>
      <c r="AH120" s="940">
        <f t="shared" si="45"/>
        <v>0</v>
      </c>
      <c r="AI120" s="924" t="e">
        <f>DATE(YEAR(tab!$F$3),MONTH(G120),DAY(G120))&gt;tab!$F$3</f>
        <v>#VALUE!</v>
      </c>
      <c r="AJ120" s="925" t="e">
        <f t="shared" si="46"/>
        <v>#VALUE!</v>
      </c>
      <c r="AK120" s="884">
        <f t="shared" si="47"/>
        <v>30</v>
      </c>
      <c r="AL120" s="884">
        <f t="shared" si="48"/>
        <v>30</v>
      </c>
      <c r="AM120" s="925">
        <f t="shared" si="49"/>
        <v>0</v>
      </c>
    </row>
    <row r="121" spans="2:39" ht="12.75" customHeight="1" x14ac:dyDescent="0.2">
      <c r="B121" s="49"/>
      <c r="C121" s="69"/>
      <c r="D121" s="75" t="str">
        <f>IF(op!D53="","",op!D53)</f>
        <v/>
      </c>
      <c r="E121" s="75" t="str">
        <f>IF(op!E53=0,"",op!E53)</f>
        <v/>
      </c>
      <c r="F121" s="88" t="str">
        <f>IF(op!F53="","",op!F53+1)</f>
        <v/>
      </c>
      <c r="G121" s="290" t="str">
        <f>IF(op!G53="","",op!G53)</f>
        <v/>
      </c>
      <c r="H121" s="88" t="str">
        <f>IF(op!H53=0,"",op!H53)</f>
        <v/>
      </c>
      <c r="I121" s="99" t="str">
        <f>IF(J121="","",(IF(op!I53+1&gt;LOOKUP(H121,schaal2019,regels2019),op!I53,op!I53+1)))</f>
        <v/>
      </c>
      <c r="J121" s="291" t="str">
        <f>IF(op!J53="","",op!J53)</f>
        <v/>
      </c>
      <c r="K121" s="971"/>
      <c r="L121" s="859">
        <f t="shared" si="42"/>
        <v>0</v>
      </c>
      <c r="M121" s="859">
        <f t="shared" si="42"/>
        <v>0</v>
      </c>
      <c r="N121" s="867" t="str">
        <f t="shared" si="38"/>
        <v/>
      </c>
      <c r="O121" s="867" t="str">
        <f t="shared" si="39"/>
        <v/>
      </c>
      <c r="P121" s="953" t="str">
        <f t="shared" si="24"/>
        <v/>
      </c>
      <c r="Q121" s="70"/>
      <c r="R121" s="739" t="str">
        <f t="shared" si="40"/>
        <v/>
      </c>
      <c r="S121" s="739" t="str">
        <f t="shared" si="25"/>
        <v/>
      </c>
      <c r="T121" s="740" t="str">
        <f t="shared" si="26"/>
        <v/>
      </c>
      <c r="U121" s="275"/>
      <c r="V121" s="293"/>
      <c r="W121" s="288"/>
      <c r="X121" s="288"/>
      <c r="Y121" s="908">
        <f t="shared" si="43"/>
        <v>0</v>
      </c>
      <c r="Z121" s="986">
        <f>tab!$D$62</f>
        <v>0.6</v>
      </c>
      <c r="AA121" s="944">
        <f t="shared" si="28"/>
        <v>0</v>
      </c>
      <c r="AB121" s="944">
        <f t="shared" si="29"/>
        <v>0</v>
      </c>
      <c r="AC121" s="944">
        <f t="shared" si="30"/>
        <v>0</v>
      </c>
      <c r="AD121" s="943" t="e">
        <f t="shared" si="31"/>
        <v>#VALUE!</v>
      </c>
      <c r="AE121" s="943">
        <f t="shared" si="32"/>
        <v>0</v>
      </c>
      <c r="AF121" s="916">
        <f>IF(H121&gt;8,tab!$D$63,tab!$D$65)</f>
        <v>0.5</v>
      </c>
      <c r="AG121" s="925">
        <f t="shared" si="44"/>
        <v>0</v>
      </c>
      <c r="AH121" s="940">
        <f t="shared" si="45"/>
        <v>0</v>
      </c>
      <c r="AI121" s="924" t="e">
        <f>DATE(YEAR(tab!$F$3),MONTH(G121),DAY(G121))&gt;tab!$F$3</f>
        <v>#VALUE!</v>
      </c>
      <c r="AJ121" s="925" t="e">
        <f t="shared" si="46"/>
        <v>#VALUE!</v>
      </c>
      <c r="AK121" s="884">
        <f t="shared" si="47"/>
        <v>30</v>
      </c>
      <c r="AL121" s="884">
        <f t="shared" si="48"/>
        <v>30</v>
      </c>
      <c r="AM121" s="925">
        <f t="shared" si="49"/>
        <v>0</v>
      </c>
    </row>
    <row r="122" spans="2:39" ht="12.75" customHeight="1" x14ac:dyDescent="0.2">
      <c r="B122" s="49"/>
      <c r="C122" s="69"/>
      <c r="D122" s="75" t="str">
        <f>IF(op!D54="","",op!D54)</f>
        <v/>
      </c>
      <c r="E122" s="75" t="str">
        <f>IF(op!E54=0,"",op!E54)</f>
        <v/>
      </c>
      <c r="F122" s="88" t="str">
        <f>IF(op!F54="","",op!F54+1)</f>
        <v/>
      </c>
      <c r="G122" s="290" t="str">
        <f>IF(op!G54="","",op!G54)</f>
        <v/>
      </c>
      <c r="H122" s="88" t="str">
        <f>IF(op!H54=0,"",op!H54)</f>
        <v/>
      </c>
      <c r="I122" s="99" t="str">
        <f>IF(J122="","",(IF(op!I54+1&gt;LOOKUP(H122,schaal2019,regels2019),op!I54,op!I54+1)))</f>
        <v/>
      </c>
      <c r="J122" s="291" t="str">
        <f>IF(op!J54="","",op!J54)</f>
        <v/>
      </c>
      <c r="K122" s="971"/>
      <c r="L122" s="859">
        <f t="shared" si="42"/>
        <v>0</v>
      </c>
      <c r="M122" s="859">
        <f t="shared" si="42"/>
        <v>0</v>
      </c>
      <c r="N122" s="867" t="str">
        <f t="shared" si="38"/>
        <v/>
      </c>
      <c r="O122" s="867" t="str">
        <f t="shared" si="39"/>
        <v/>
      </c>
      <c r="P122" s="953" t="str">
        <f t="shared" si="24"/>
        <v/>
      </c>
      <c r="Q122" s="70"/>
      <c r="R122" s="739" t="str">
        <f t="shared" si="40"/>
        <v/>
      </c>
      <c r="S122" s="739" t="str">
        <f t="shared" si="25"/>
        <v/>
      </c>
      <c r="T122" s="740" t="str">
        <f t="shared" si="26"/>
        <v/>
      </c>
      <c r="U122" s="275"/>
      <c r="V122" s="293"/>
      <c r="W122" s="288"/>
      <c r="X122" s="288"/>
      <c r="Y122" s="908">
        <f t="shared" si="43"/>
        <v>0</v>
      </c>
      <c r="Z122" s="986">
        <f>tab!$D$62</f>
        <v>0.6</v>
      </c>
      <c r="AA122" s="944">
        <f t="shared" si="28"/>
        <v>0</v>
      </c>
      <c r="AB122" s="944">
        <f t="shared" si="29"/>
        <v>0</v>
      </c>
      <c r="AC122" s="944">
        <f t="shared" si="30"/>
        <v>0</v>
      </c>
      <c r="AD122" s="943" t="e">
        <f t="shared" si="31"/>
        <v>#VALUE!</v>
      </c>
      <c r="AE122" s="943">
        <f t="shared" si="32"/>
        <v>0</v>
      </c>
      <c r="AF122" s="916">
        <f>IF(H122&gt;8,tab!$D$63,tab!$D$65)</f>
        <v>0.5</v>
      </c>
      <c r="AG122" s="925">
        <f t="shared" si="44"/>
        <v>0</v>
      </c>
      <c r="AH122" s="940">
        <f t="shared" si="45"/>
        <v>0</v>
      </c>
      <c r="AI122" s="924" t="e">
        <f>DATE(YEAR(tab!$F$3),MONTH(G122),DAY(G122))&gt;tab!$F$3</f>
        <v>#VALUE!</v>
      </c>
      <c r="AJ122" s="925" t="e">
        <f t="shared" si="46"/>
        <v>#VALUE!</v>
      </c>
      <c r="AK122" s="884">
        <f t="shared" si="47"/>
        <v>30</v>
      </c>
      <c r="AL122" s="884">
        <f t="shared" si="48"/>
        <v>30</v>
      </c>
      <c r="AM122" s="925">
        <f t="shared" si="49"/>
        <v>0</v>
      </c>
    </row>
    <row r="123" spans="2:39" ht="12.75" customHeight="1" x14ac:dyDescent="0.2">
      <c r="B123" s="49"/>
      <c r="C123" s="69"/>
      <c r="D123" s="75" t="str">
        <f>IF(op!D55="","",op!D55)</f>
        <v/>
      </c>
      <c r="E123" s="75" t="str">
        <f>IF(op!E55=0,"",op!E55)</f>
        <v/>
      </c>
      <c r="F123" s="88" t="str">
        <f>IF(op!F55="","",op!F55+1)</f>
        <v/>
      </c>
      <c r="G123" s="290" t="str">
        <f>IF(op!G55="","",op!G55)</f>
        <v/>
      </c>
      <c r="H123" s="88" t="str">
        <f>IF(op!H55=0,"",op!H55)</f>
        <v/>
      </c>
      <c r="I123" s="99" t="str">
        <f>IF(J123="","",(IF(op!I55+1&gt;LOOKUP(H123,schaal2019,regels2019),op!I55,op!I55+1)))</f>
        <v/>
      </c>
      <c r="J123" s="291" t="str">
        <f>IF(op!J55="","",op!J55)</f>
        <v/>
      </c>
      <c r="K123" s="971"/>
      <c r="L123" s="859">
        <f t="shared" si="42"/>
        <v>0</v>
      </c>
      <c r="M123" s="859">
        <f t="shared" si="42"/>
        <v>0</v>
      </c>
      <c r="N123" s="867" t="str">
        <f t="shared" si="38"/>
        <v/>
      </c>
      <c r="O123" s="867" t="str">
        <f t="shared" si="39"/>
        <v/>
      </c>
      <c r="P123" s="953" t="str">
        <f t="shared" si="24"/>
        <v/>
      </c>
      <c r="Q123" s="70"/>
      <c r="R123" s="739" t="str">
        <f t="shared" si="40"/>
        <v/>
      </c>
      <c r="S123" s="739" t="str">
        <f t="shared" si="25"/>
        <v/>
      </c>
      <c r="T123" s="740" t="str">
        <f t="shared" si="26"/>
        <v/>
      </c>
      <c r="U123" s="275"/>
      <c r="V123" s="293"/>
      <c r="W123" s="288"/>
      <c r="X123" s="288"/>
      <c r="Y123" s="908">
        <f t="shared" si="43"/>
        <v>0</v>
      </c>
      <c r="Z123" s="986">
        <f>tab!$D$62</f>
        <v>0.6</v>
      </c>
      <c r="AA123" s="944">
        <f t="shared" si="28"/>
        <v>0</v>
      </c>
      <c r="AB123" s="944">
        <f t="shared" si="29"/>
        <v>0</v>
      </c>
      <c r="AC123" s="944">
        <f t="shared" si="30"/>
        <v>0</v>
      </c>
      <c r="AD123" s="943" t="e">
        <f t="shared" si="31"/>
        <v>#VALUE!</v>
      </c>
      <c r="AE123" s="943">
        <f t="shared" si="32"/>
        <v>0</v>
      </c>
      <c r="AF123" s="916">
        <f>IF(H123&gt;8,tab!$D$63,tab!$D$65)</f>
        <v>0.5</v>
      </c>
      <c r="AG123" s="925">
        <f t="shared" si="44"/>
        <v>0</v>
      </c>
      <c r="AH123" s="940">
        <f t="shared" si="45"/>
        <v>0</v>
      </c>
      <c r="AI123" s="924" t="e">
        <f>DATE(YEAR(tab!$F$3),MONTH(G123),DAY(G123))&gt;tab!$F$3</f>
        <v>#VALUE!</v>
      </c>
      <c r="AJ123" s="925" t="e">
        <f t="shared" si="46"/>
        <v>#VALUE!</v>
      </c>
      <c r="AK123" s="884">
        <f t="shared" si="47"/>
        <v>30</v>
      </c>
      <c r="AL123" s="884">
        <f t="shared" si="48"/>
        <v>30</v>
      </c>
      <c r="AM123" s="925">
        <f t="shared" si="49"/>
        <v>0</v>
      </c>
    </row>
    <row r="124" spans="2:39" ht="12.75" customHeight="1" x14ac:dyDescent="0.2">
      <c r="B124" s="49"/>
      <c r="C124" s="69"/>
      <c r="D124" s="75" t="str">
        <f>IF(op!D56="","",op!D56)</f>
        <v/>
      </c>
      <c r="E124" s="75" t="str">
        <f>IF(op!E56=0,"",op!E56)</f>
        <v/>
      </c>
      <c r="F124" s="88" t="str">
        <f>IF(op!F56="","",op!F56+1)</f>
        <v/>
      </c>
      <c r="G124" s="290" t="str">
        <f>IF(op!G56="","",op!G56)</f>
        <v/>
      </c>
      <c r="H124" s="88" t="str">
        <f>IF(op!H56=0,"",op!H56)</f>
        <v/>
      </c>
      <c r="I124" s="99" t="str">
        <f>IF(J124="","",(IF(op!I56+1&gt;LOOKUP(H124,schaal2019,regels2019),op!I56,op!I56+1)))</f>
        <v/>
      </c>
      <c r="J124" s="291" t="str">
        <f>IF(op!J56="","",op!J56)</f>
        <v/>
      </c>
      <c r="K124" s="971"/>
      <c r="L124" s="859">
        <f t="shared" ref="L124:M138" si="50">IF(L56="",0,L56)</f>
        <v>0</v>
      </c>
      <c r="M124" s="859">
        <f t="shared" si="50"/>
        <v>0</v>
      </c>
      <c r="N124" s="867" t="str">
        <f t="shared" si="38"/>
        <v/>
      </c>
      <c r="O124" s="867" t="str">
        <f t="shared" si="39"/>
        <v/>
      </c>
      <c r="P124" s="953" t="str">
        <f t="shared" si="24"/>
        <v/>
      </c>
      <c r="Q124" s="70"/>
      <c r="R124" s="739" t="str">
        <f t="shared" si="40"/>
        <v/>
      </c>
      <c r="S124" s="739" t="str">
        <f t="shared" si="25"/>
        <v/>
      </c>
      <c r="T124" s="740" t="str">
        <f t="shared" si="26"/>
        <v/>
      </c>
      <c r="U124" s="275"/>
      <c r="V124" s="293"/>
      <c r="W124" s="288"/>
      <c r="X124" s="288"/>
      <c r="Y124" s="908">
        <f t="shared" si="43"/>
        <v>0</v>
      </c>
      <c r="Z124" s="986">
        <f>tab!$D$62</f>
        <v>0.6</v>
      </c>
      <c r="AA124" s="944">
        <f t="shared" si="28"/>
        <v>0</v>
      </c>
      <c r="AB124" s="944">
        <f t="shared" si="29"/>
        <v>0</v>
      </c>
      <c r="AC124" s="944">
        <f t="shared" si="30"/>
        <v>0</v>
      </c>
      <c r="AD124" s="943" t="e">
        <f t="shared" si="31"/>
        <v>#VALUE!</v>
      </c>
      <c r="AE124" s="943">
        <f t="shared" si="32"/>
        <v>0</v>
      </c>
      <c r="AF124" s="916">
        <f>IF(H124&gt;8,tab!$D$63,tab!$D$65)</f>
        <v>0.5</v>
      </c>
      <c r="AG124" s="925">
        <f t="shared" si="44"/>
        <v>0</v>
      </c>
      <c r="AH124" s="940">
        <f t="shared" si="45"/>
        <v>0</v>
      </c>
      <c r="AI124" s="924" t="e">
        <f>DATE(YEAR(tab!$F$3),MONTH(G124),DAY(G124))&gt;tab!$F$3</f>
        <v>#VALUE!</v>
      </c>
      <c r="AJ124" s="925" t="e">
        <f t="shared" si="46"/>
        <v>#VALUE!</v>
      </c>
      <c r="AK124" s="884">
        <f t="shared" si="47"/>
        <v>30</v>
      </c>
      <c r="AL124" s="884">
        <f t="shared" si="48"/>
        <v>30</v>
      </c>
      <c r="AM124" s="925">
        <f t="shared" si="49"/>
        <v>0</v>
      </c>
    </row>
    <row r="125" spans="2:39" ht="12.75" customHeight="1" x14ac:dyDescent="0.2">
      <c r="B125" s="49"/>
      <c r="C125" s="69"/>
      <c r="D125" s="75" t="str">
        <f>IF(op!D57="","",op!D57)</f>
        <v/>
      </c>
      <c r="E125" s="75" t="str">
        <f>IF(op!E57=0,"",op!E57)</f>
        <v/>
      </c>
      <c r="F125" s="88" t="str">
        <f>IF(op!F57="","",op!F57+1)</f>
        <v/>
      </c>
      <c r="G125" s="290" t="str">
        <f>IF(op!G57="","",op!G57)</f>
        <v/>
      </c>
      <c r="H125" s="88" t="str">
        <f>IF(op!H57=0,"",op!H57)</f>
        <v/>
      </c>
      <c r="I125" s="99" t="str">
        <f>IF(J125="","",(IF(op!I57+1&gt;LOOKUP(H125,schaal2019,regels2019),op!I57,op!I57+1)))</f>
        <v/>
      </c>
      <c r="J125" s="291" t="str">
        <f>IF(op!J57="","",op!J57)</f>
        <v/>
      </c>
      <c r="K125" s="971"/>
      <c r="L125" s="859">
        <f t="shared" si="50"/>
        <v>0</v>
      </c>
      <c r="M125" s="859">
        <f t="shared" si="50"/>
        <v>0</v>
      </c>
      <c r="N125" s="867" t="str">
        <f t="shared" si="38"/>
        <v/>
      </c>
      <c r="O125" s="867" t="str">
        <f t="shared" si="39"/>
        <v/>
      </c>
      <c r="P125" s="953" t="str">
        <f t="shared" si="24"/>
        <v/>
      </c>
      <c r="Q125" s="70"/>
      <c r="R125" s="739" t="str">
        <f t="shared" si="40"/>
        <v/>
      </c>
      <c r="S125" s="739" t="str">
        <f t="shared" si="25"/>
        <v/>
      </c>
      <c r="T125" s="740" t="str">
        <f t="shared" si="26"/>
        <v/>
      </c>
      <c r="U125" s="275"/>
      <c r="V125" s="293"/>
      <c r="W125" s="288"/>
      <c r="X125" s="288"/>
      <c r="Y125" s="908">
        <f t="shared" si="43"/>
        <v>0</v>
      </c>
      <c r="Z125" s="986">
        <f>tab!$D$62</f>
        <v>0.6</v>
      </c>
      <c r="AA125" s="944">
        <f t="shared" si="28"/>
        <v>0</v>
      </c>
      <c r="AB125" s="944">
        <f t="shared" si="29"/>
        <v>0</v>
      </c>
      <c r="AC125" s="944">
        <f t="shared" si="30"/>
        <v>0</v>
      </c>
      <c r="AD125" s="943" t="e">
        <f t="shared" si="31"/>
        <v>#VALUE!</v>
      </c>
      <c r="AE125" s="943">
        <f t="shared" si="32"/>
        <v>0</v>
      </c>
      <c r="AF125" s="916">
        <f>IF(H125&gt;8,tab!$D$63,tab!$D$65)</f>
        <v>0.5</v>
      </c>
      <c r="AG125" s="925">
        <f t="shared" si="44"/>
        <v>0</v>
      </c>
      <c r="AH125" s="940">
        <f t="shared" si="45"/>
        <v>0</v>
      </c>
      <c r="AI125" s="924" t="e">
        <f>DATE(YEAR(tab!$F$3),MONTH(G125),DAY(G125))&gt;tab!$F$3</f>
        <v>#VALUE!</v>
      </c>
      <c r="AJ125" s="925" t="e">
        <f t="shared" si="46"/>
        <v>#VALUE!</v>
      </c>
      <c r="AK125" s="884">
        <f t="shared" si="47"/>
        <v>30</v>
      </c>
      <c r="AL125" s="884">
        <f t="shared" si="48"/>
        <v>30</v>
      </c>
      <c r="AM125" s="925">
        <f t="shared" si="49"/>
        <v>0</v>
      </c>
    </row>
    <row r="126" spans="2:39" ht="12.75" customHeight="1" x14ac:dyDescent="0.2">
      <c r="B126" s="49"/>
      <c r="C126" s="69"/>
      <c r="D126" s="75" t="str">
        <f>IF(op!D58="","",op!D58)</f>
        <v/>
      </c>
      <c r="E126" s="75" t="str">
        <f>IF(op!E58=0,"",op!E58)</f>
        <v/>
      </c>
      <c r="F126" s="88" t="str">
        <f>IF(op!F58="","",op!F58+1)</f>
        <v/>
      </c>
      <c r="G126" s="290" t="str">
        <f>IF(op!G58="","",op!G58)</f>
        <v/>
      </c>
      <c r="H126" s="88" t="str">
        <f>IF(op!H58=0,"",op!H58)</f>
        <v/>
      </c>
      <c r="I126" s="99" t="str">
        <f>IF(J126="","",(IF(op!I58+1&gt;LOOKUP(H126,schaal2019,regels2019),op!I58,op!I58+1)))</f>
        <v/>
      </c>
      <c r="J126" s="291" t="str">
        <f>IF(op!J58="","",op!J58)</f>
        <v/>
      </c>
      <c r="K126" s="971"/>
      <c r="L126" s="859">
        <f t="shared" si="50"/>
        <v>0</v>
      </c>
      <c r="M126" s="859">
        <f t="shared" si="50"/>
        <v>0</v>
      </c>
      <c r="N126" s="867" t="str">
        <f t="shared" si="38"/>
        <v/>
      </c>
      <c r="O126" s="867" t="str">
        <f t="shared" si="39"/>
        <v/>
      </c>
      <c r="P126" s="953" t="str">
        <f t="shared" si="24"/>
        <v/>
      </c>
      <c r="Q126" s="70"/>
      <c r="R126" s="739" t="str">
        <f t="shared" si="40"/>
        <v/>
      </c>
      <c r="S126" s="739" t="str">
        <f t="shared" si="25"/>
        <v/>
      </c>
      <c r="T126" s="740" t="str">
        <f t="shared" si="26"/>
        <v/>
      </c>
      <c r="U126" s="275"/>
      <c r="V126" s="293"/>
      <c r="W126" s="288"/>
      <c r="X126" s="288"/>
      <c r="Y126" s="908">
        <f t="shared" si="43"/>
        <v>0</v>
      </c>
      <c r="Z126" s="986">
        <f>tab!$D$62</f>
        <v>0.6</v>
      </c>
      <c r="AA126" s="944">
        <f t="shared" si="28"/>
        <v>0</v>
      </c>
      <c r="AB126" s="944">
        <f t="shared" si="29"/>
        <v>0</v>
      </c>
      <c r="AC126" s="944">
        <f t="shared" si="30"/>
        <v>0</v>
      </c>
      <c r="AD126" s="943" t="e">
        <f t="shared" si="31"/>
        <v>#VALUE!</v>
      </c>
      <c r="AE126" s="943">
        <f t="shared" si="32"/>
        <v>0</v>
      </c>
      <c r="AF126" s="916">
        <f>IF(H126&gt;8,tab!$D$63,tab!$D$65)</f>
        <v>0.5</v>
      </c>
      <c r="AG126" s="925">
        <f t="shared" si="44"/>
        <v>0</v>
      </c>
      <c r="AH126" s="940">
        <f t="shared" si="45"/>
        <v>0</v>
      </c>
      <c r="AI126" s="924" t="e">
        <f>DATE(YEAR(tab!$F$3),MONTH(G126),DAY(G126))&gt;tab!$F$3</f>
        <v>#VALUE!</v>
      </c>
      <c r="AJ126" s="925" t="e">
        <f t="shared" si="46"/>
        <v>#VALUE!</v>
      </c>
      <c r="AK126" s="884">
        <f t="shared" si="47"/>
        <v>30</v>
      </c>
      <c r="AL126" s="884">
        <f t="shared" si="48"/>
        <v>30</v>
      </c>
      <c r="AM126" s="925">
        <f t="shared" si="49"/>
        <v>0</v>
      </c>
    </row>
    <row r="127" spans="2:39" ht="12.75" customHeight="1" x14ac:dyDescent="0.2">
      <c r="B127" s="49"/>
      <c r="C127" s="69"/>
      <c r="D127" s="75" t="str">
        <f>IF(op!D59="","",op!D59)</f>
        <v/>
      </c>
      <c r="E127" s="75" t="str">
        <f>IF(op!E59=0,"",op!E59)</f>
        <v/>
      </c>
      <c r="F127" s="88" t="str">
        <f>IF(op!F59="","",op!F59+1)</f>
        <v/>
      </c>
      <c r="G127" s="290" t="str">
        <f>IF(op!G59="","",op!G59)</f>
        <v/>
      </c>
      <c r="H127" s="88" t="str">
        <f>IF(op!H59=0,"",op!H59)</f>
        <v/>
      </c>
      <c r="I127" s="99" t="str">
        <f>IF(J127="","",(IF(op!I59+1&gt;LOOKUP(H127,schaal2019,regels2019),op!I59,op!I59+1)))</f>
        <v/>
      </c>
      <c r="J127" s="291" t="str">
        <f>IF(op!J59="","",op!J59)</f>
        <v/>
      </c>
      <c r="K127" s="971"/>
      <c r="L127" s="859">
        <f t="shared" si="50"/>
        <v>0</v>
      </c>
      <c r="M127" s="859">
        <f t="shared" si="50"/>
        <v>0</v>
      </c>
      <c r="N127" s="867" t="str">
        <f t="shared" si="38"/>
        <v/>
      </c>
      <c r="O127" s="867" t="str">
        <f t="shared" si="39"/>
        <v/>
      </c>
      <c r="P127" s="953" t="str">
        <f t="shared" si="24"/>
        <v/>
      </c>
      <c r="Q127" s="70"/>
      <c r="R127" s="739" t="str">
        <f t="shared" si="40"/>
        <v/>
      </c>
      <c r="S127" s="739" t="str">
        <f t="shared" si="25"/>
        <v/>
      </c>
      <c r="T127" s="740" t="str">
        <f t="shared" si="26"/>
        <v/>
      </c>
      <c r="U127" s="275"/>
      <c r="V127" s="293"/>
      <c r="W127" s="288"/>
      <c r="X127" s="288"/>
      <c r="Y127" s="908">
        <f t="shared" si="43"/>
        <v>0</v>
      </c>
      <c r="Z127" s="986">
        <f>tab!$D$62</f>
        <v>0.6</v>
      </c>
      <c r="AA127" s="944">
        <f t="shared" si="28"/>
        <v>0</v>
      </c>
      <c r="AB127" s="944">
        <f t="shared" si="29"/>
        <v>0</v>
      </c>
      <c r="AC127" s="944">
        <f t="shared" si="30"/>
        <v>0</v>
      </c>
      <c r="AD127" s="943" t="e">
        <f t="shared" si="31"/>
        <v>#VALUE!</v>
      </c>
      <c r="AE127" s="943">
        <f t="shared" si="32"/>
        <v>0</v>
      </c>
      <c r="AF127" s="916">
        <f>IF(H127&gt;8,tab!$D$63,tab!$D$65)</f>
        <v>0.5</v>
      </c>
      <c r="AG127" s="925">
        <f t="shared" si="44"/>
        <v>0</v>
      </c>
      <c r="AH127" s="940">
        <f t="shared" si="45"/>
        <v>0</v>
      </c>
      <c r="AI127" s="924" t="e">
        <f>DATE(YEAR(tab!$F$3),MONTH(G127),DAY(G127))&gt;tab!$F$3</f>
        <v>#VALUE!</v>
      </c>
      <c r="AJ127" s="925" t="e">
        <f t="shared" si="46"/>
        <v>#VALUE!</v>
      </c>
      <c r="AK127" s="884">
        <f t="shared" si="47"/>
        <v>30</v>
      </c>
      <c r="AL127" s="884">
        <f t="shared" si="48"/>
        <v>30</v>
      </c>
      <c r="AM127" s="925">
        <f t="shared" si="49"/>
        <v>0</v>
      </c>
    </row>
    <row r="128" spans="2:39" ht="12.75" customHeight="1" x14ac:dyDescent="0.2">
      <c r="B128" s="49"/>
      <c r="C128" s="69"/>
      <c r="D128" s="75" t="str">
        <f>IF(op!D60="","",op!D60)</f>
        <v/>
      </c>
      <c r="E128" s="75" t="str">
        <f>IF(op!E60=0,"",op!E60)</f>
        <v/>
      </c>
      <c r="F128" s="88" t="str">
        <f>IF(op!F60="","",op!F60+1)</f>
        <v/>
      </c>
      <c r="G128" s="290" t="str">
        <f>IF(op!G60="","",op!G60)</f>
        <v/>
      </c>
      <c r="H128" s="88" t="str">
        <f>IF(op!H60=0,"",op!H60)</f>
        <v/>
      </c>
      <c r="I128" s="99" t="str">
        <f>IF(J128="","",(IF(op!I60+1&gt;LOOKUP(H128,schaal2019,regels2019),op!I60,op!I60+1)))</f>
        <v/>
      </c>
      <c r="J128" s="291" t="str">
        <f>IF(op!J60="","",op!J60)</f>
        <v/>
      </c>
      <c r="K128" s="971"/>
      <c r="L128" s="859">
        <f t="shared" si="50"/>
        <v>0</v>
      </c>
      <c r="M128" s="859">
        <f t="shared" si="50"/>
        <v>0</v>
      </c>
      <c r="N128" s="867" t="str">
        <f t="shared" si="38"/>
        <v/>
      </c>
      <c r="O128" s="867" t="str">
        <f t="shared" si="39"/>
        <v/>
      </c>
      <c r="P128" s="953" t="str">
        <f t="shared" si="24"/>
        <v/>
      </c>
      <c r="Q128" s="70"/>
      <c r="R128" s="739" t="str">
        <f t="shared" si="40"/>
        <v/>
      </c>
      <c r="S128" s="739" t="str">
        <f t="shared" si="25"/>
        <v/>
      </c>
      <c r="T128" s="740" t="str">
        <f t="shared" si="26"/>
        <v/>
      </c>
      <c r="U128" s="275"/>
      <c r="V128" s="293"/>
      <c r="W128" s="288"/>
      <c r="X128" s="288"/>
      <c r="Y128" s="908">
        <f t="shared" si="43"/>
        <v>0</v>
      </c>
      <c r="Z128" s="986">
        <f>tab!$D$62</f>
        <v>0.6</v>
      </c>
      <c r="AA128" s="944">
        <f t="shared" si="28"/>
        <v>0</v>
      </c>
      <c r="AB128" s="944">
        <f t="shared" si="29"/>
        <v>0</v>
      </c>
      <c r="AC128" s="944">
        <f t="shared" si="30"/>
        <v>0</v>
      </c>
      <c r="AD128" s="943" t="e">
        <f t="shared" si="31"/>
        <v>#VALUE!</v>
      </c>
      <c r="AE128" s="943">
        <f t="shared" si="32"/>
        <v>0</v>
      </c>
      <c r="AF128" s="916">
        <f>IF(H128&gt;8,tab!$D$63,tab!$D$65)</f>
        <v>0.5</v>
      </c>
      <c r="AG128" s="925">
        <f t="shared" si="44"/>
        <v>0</v>
      </c>
      <c r="AH128" s="940">
        <f t="shared" si="45"/>
        <v>0</v>
      </c>
      <c r="AI128" s="924" t="e">
        <f>DATE(YEAR(tab!$F$3),MONTH(G128),DAY(G128))&gt;tab!$F$3</f>
        <v>#VALUE!</v>
      </c>
      <c r="AJ128" s="925" t="e">
        <f t="shared" si="46"/>
        <v>#VALUE!</v>
      </c>
      <c r="AK128" s="884">
        <f t="shared" si="47"/>
        <v>30</v>
      </c>
      <c r="AL128" s="884">
        <f t="shared" si="48"/>
        <v>30</v>
      </c>
      <c r="AM128" s="925">
        <f t="shared" si="49"/>
        <v>0</v>
      </c>
    </row>
    <row r="129" spans="2:39" ht="12.75" customHeight="1" x14ac:dyDescent="0.2">
      <c r="B129" s="49"/>
      <c r="C129" s="69"/>
      <c r="D129" s="75" t="str">
        <f>IF(op!D61="","",op!D61)</f>
        <v/>
      </c>
      <c r="E129" s="75" t="str">
        <f>IF(op!E61=0,"",op!E61)</f>
        <v/>
      </c>
      <c r="F129" s="88" t="str">
        <f>IF(op!F61="","",op!F61+1)</f>
        <v/>
      </c>
      <c r="G129" s="290" t="str">
        <f>IF(op!G61="","",op!G61)</f>
        <v/>
      </c>
      <c r="H129" s="88" t="str">
        <f>IF(op!H61=0,"",op!H61)</f>
        <v/>
      </c>
      <c r="I129" s="99" t="str">
        <f>IF(J129="","",(IF(op!I61+1&gt;LOOKUP(H129,schaal2019,regels2019),op!I61,op!I61+1)))</f>
        <v/>
      </c>
      <c r="J129" s="291" t="str">
        <f>IF(op!J61="","",op!J61)</f>
        <v/>
      </c>
      <c r="K129" s="971"/>
      <c r="L129" s="859">
        <f t="shared" si="50"/>
        <v>0</v>
      </c>
      <c r="M129" s="859">
        <f t="shared" si="50"/>
        <v>0</v>
      </c>
      <c r="N129" s="867" t="str">
        <f t="shared" si="38"/>
        <v/>
      </c>
      <c r="O129" s="867" t="str">
        <f t="shared" si="39"/>
        <v/>
      </c>
      <c r="P129" s="953" t="str">
        <f t="shared" si="24"/>
        <v/>
      </c>
      <c r="Q129" s="70"/>
      <c r="R129" s="739" t="str">
        <f t="shared" si="40"/>
        <v/>
      </c>
      <c r="S129" s="739" t="str">
        <f t="shared" si="25"/>
        <v/>
      </c>
      <c r="T129" s="740" t="str">
        <f t="shared" si="26"/>
        <v/>
      </c>
      <c r="U129" s="275"/>
      <c r="V129" s="293"/>
      <c r="W129" s="288"/>
      <c r="X129" s="288"/>
      <c r="Y129" s="908">
        <f t="shared" si="43"/>
        <v>0</v>
      </c>
      <c r="Z129" s="986">
        <f>tab!$D$62</f>
        <v>0.6</v>
      </c>
      <c r="AA129" s="944">
        <f t="shared" si="28"/>
        <v>0</v>
      </c>
      <c r="AB129" s="944">
        <f t="shared" si="29"/>
        <v>0</v>
      </c>
      <c r="AC129" s="944">
        <f t="shared" si="30"/>
        <v>0</v>
      </c>
      <c r="AD129" s="943" t="e">
        <f t="shared" si="31"/>
        <v>#VALUE!</v>
      </c>
      <c r="AE129" s="943">
        <f t="shared" si="32"/>
        <v>0</v>
      </c>
      <c r="AF129" s="916">
        <f>IF(H129&gt;8,tab!$D$63,tab!$D$65)</f>
        <v>0.5</v>
      </c>
      <c r="AG129" s="925">
        <f t="shared" si="44"/>
        <v>0</v>
      </c>
      <c r="AH129" s="940">
        <f t="shared" si="45"/>
        <v>0</v>
      </c>
      <c r="AI129" s="924" t="e">
        <f>DATE(YEAR(tab!$F$3),MONTH(G129),DAY(G129))&gt;tab!$F$3</f>
        <v>#VALUE!</v>
      </c>
      <c r="AJ129" s="925" t="e">
        <f t="shared" si="46"/>
        <v>#VALUE!</v>
      </c>
      <c r="AK129" s="884">
        <f t="shared" si="47"/>
        <v>30</v>
      </c>
      <c r="AL129" s="884">
        <f t="shared" si="48"/>
        <v>30</v>
      </c>
      <c r="AM129" s="925">
        <f t="shared" si="49"/>
        <v>0</v>
      </c>
    </row>
    <row r="130" spans="2:39" ht="12.75" customHeight="1" x14ac:dyDescent="0.2">
      <c r="B130" s="49"/>
      <c r="C130" s="69"/>
      <c r="D130" s="75" t="str">
        <f>IF(op!D62="","",op!D62)</f>
        <v/>
      </c>
      <c r="E130" s="75" t="str">
        <f>IF(op!E62=0,"",op!E62)</f>
        <v/>
      </c>
      <c r="F130" s="88" t="str">
        <f>IF(op!F62="","",op!F62+1)</f>
        <v/>
      </c>
      <c r="G130" s="290" t="str">
        <f>IF(op!G62="","",op!G62)</f>
        <v/>
      </c>
      <c r="H130" s="88" t="str">
        <f>IF(op!H62=0,"",op!H62)</f>
        <v/>
      </c>
      <c r="I130" s="99" t="str">
        <f>IF(J130="","",(IF(op!I62+1&gt;LOOKUP(H130,schaal2019,regels2019),op!I62,op!I62+1)))</f>
        <v/>
      </c>
      <c r="J130" s="291" t="str">
        <f>IF(op!J62="","",op!J62)</f>
        <v/>
      </c>
      <c r="K130" s="971"/>
      <c r="L130" s="859">
        <f t="shared" si="50"/>
        <v>0</v>
      </c>
      <c r="M130" s="859">
        <f t="shared" si="50"/>
        <v>0</v>
      </c>
      <c r="N130" s="867" t="str">
        <f t="shared" si="38"/>
        <v/>
      </c>
      <c r="O130" s="867" t="str">
        <f t="shared" si="39"/>
        <v/>
      </c>
      <c r="P130" s="953" t="str">
        <f t="shared" si="24"/>
        <v/>
      </c>
      <c r="Q130" s="70"/>
      <c r="R130" s="739" t="str">
        <f t="shared" si="40"/>
        <v/>
      </c>
      <c r="S130" s="739" t="str">
        <f t="shared" si="25"/>
        <v/>
      </c>
      <c r="T130" s="740" t="str">
        <f t="shared" si="26"/>
        <v/>
      </c>
      <c r="U130" s="275"/>
      <c r="V130" s="293"/>
      <c r="W130" s="288"/>
      <c r="X130" s="288"/>
      <c r="Y130" s="908">
        <f t="shared" si="43"/>
        <v>0</v>
      </c>
      <c r="Z130" s="986">
        <f>tab!$D$62</f>
        <v>0.6</v>
      </c>
      <c r="AA130" s="944">
        <f t="shared" si="28"/>
        <v>0</v>
      </c>
      <c r="AB130" s="944">
        <f t="shared" si="29"/>
        <v>0</v>
      </c>
      <c r="AC130" s="944">
        <f t="shared" si="30"/>
        <v>0</v>
      </c>
      <c r="AD130" s="943" t="e">
        <f t="shared" si="31"/>
        <v>#VALUE!</v>
      </c>
      <c r="AE130" s="943">
        <f t="shared" si="32"/>
        <v>0</v>
      </c>
      <c r="AF130" s="916">
        <f>IF(H130&gt;8,tab!$D$63,tab!$D$65)</f>
        <v>0.5</v>
      </c>
      <c r="AG130" s="925">
        <f t="shared" si="44"/>
        <v>0</v>
      </c>
      <c r="AH130" s="940">
        <f t="shared" si="45"/>
        <v>0</v>
      </c>
      <c r="AI130" s="924" t="e">
        <f>DATE(YEAR(tab!$F$3),MONTH(G130),DAY(G130))&gt;tab!$F$3</f>
        <v>#VALUE!</v>
      </c>
      <c r="AJ130" s="925" t="e">
        <f t="shared" si="46"/>
        <v>#VALUE!</v>
      </c>
      <c r="AK130" s="884">
        <f t="shared" si="47"/>
        <v>30</v>
      </c>
      <c r="AL130" s="884">
        <f t="shared" si="48"/>
        <v>30</v>
      </c>
      <c r="AM130" s="925">
        <f t="shared" si="49"/>
        <v>0</v>
      </c>
    </row>
    <row r="131" spans="2:39" ht="12.75" customHeight="1" x14ac:dyDescent="0.2">
      <c r="B131" s="49"/>
      <c r="C131" s="69"/>
      <c r="D131" s="75" t="str">
        <f>IF(op!D63="","",op!D63)</f>
        <v/>
      </c>
      <c r="E131" s="75" t="str">
        <f>IF(op!E63=0,"",op!E63)</f>
        <v/>
      </c>
      <c r="F131" s="88" t="str">
        <f>IF(op!F63="","",op!F63+1)</f>
        <v/>
      </c>
      <c r="G131" s="290" t="str">
        <f>IF(op!G63="","",op!G63)</f>
        <v/>
      </c>
      <c r="H131" s="88" t="str">
        <f>IF(op!H63=0,"",op!H63)</f>
        <v/>
      </c>
      <c r="I131" s="99" t="str">
        <f>IF(J131="","",(IF(op!I63+1&gt;LOOKUP(H131,schaal2019,regels2019),op!I63,op!I63+1)))</f>
        <v/>
      </c>
      <c r="J131" s="291" t="str">
        <f>IF(op!J63="","",op!J63)</f>
        <v/>
      </c>
      <c r="K131" s="971"/>
      <c r="L131" s="859">
        <f t="shared" si="50"/>
        <v>0</v>
      </c>
      <c r="M131" s="859">
        <f t="shared" si="50"/>
        <v>0</v>
      </c>
      <c r="N131" s="867" t="str">
        <f t="shared" si="38"/>
        <v/>
      </c>
      <c r="O131" s="867" t="str">
        <f t="shared" si="39"/>
        <v/>
      </c>
      <c r="P131" s="953" t="str">
        <f t="shared" si="24"/>
        <v/>
      </c>
      <c r="Q131" s="70"/>
      <c r="R131" s="739" t="str">
        <f t="shared" si="40"/>
        <v/>
      </c>
      <c r="S131" s="739" t="str">
        <f t="shared" si="25"/>
        <v/>
      </c>
      <c r="T131" s="740" t="str">
        <f t="shared" si="26"/>
        <v/>
      </c>
      <c r="U131" s="275"/>
      <c r="V131" s="293"/>
      <c r="W131" s="288"/>
      <c r="X131" s="288"/>
      <c r="Y131" s="908">
        <f t="shared" si="43"/>
        <v>0</v>
      </c>
      <c r="Z131" s="986">
        <f>tab!$D$62</f>
        <v>0.6</v>
      </c>
      <c r="AA131" s="944">
        <f t="shared" si="28"/>
        <v>0</v>
      </c>
      <c r="AB131" s="944">
        <f t="shared" si="29"/>
        <v>0</v>
      </c>
      <c r="AC131" s="944">
        <f t="shared" si="30"/>
        <v>0</v>
      </c>
      <c r="AD131" s="943" t="e">
        <f t="shared" si="31"/>
        <v>#VALUE!</v>
      </c>
      <c r="AE131" s="943">
        <f t="shared" si="32"/>
        <v>0</v>
      </c>
      <c r="AF131" s="916">
        <f>IF(H131&gt;8,tab!$D$63,tab!$D$65)</f>
        <v>0.5</v>
      </c>
      <c r="AG131" s="925">
        <f t="shared" si="44"/>
        <v>0</v>
      </c>
      <c r="AH131" s="940">
        <f t="shared" si="45"/>
        <v>0</v>
      </c>
      <c r="AI131" s="924" t="e">
        <f>DATE(YEAR(tab!$F$3),MONTH(G131),DAY(G131))&gt;tab!$F$3</f>
        <v>#VALUE!</v>
      </c>
      <c r="AJ131" s="925" t="e">
        <f t="shared" si="46"/>
        <v>#VALUE!</v>
      </c>
      <c r="AK131" s="884">
        <f t="shared" si="47"/>
        <v>30</v>
      </c>
      <c r="AL131" s="884">
        <f t="shared" si="48"/>
        <v>30</v>
      </c>
      <c r="AM131" s="925">
        <f t="shared" si="49"/>
        <v>0</v>
      </c>
    </row>
    <row r="132" spans="2:39" ht="12.75" customHeight="1" x14ac:dyDescent="0.2">
      <c r="B132" s="49"/>
      <c r="C132" s="69"/>
      <c r="D132" s="75" t="str">
        <f>IF(op!D64="","",op!D64)</f>
        <v/>
      </c>
      <c r="E132" s="75" t="str">
        <f>IF(op!E64=0,"",op!E64)</f>
        <v/>
      </c>
      <c r="F132" s="88" t="str">
        <f>IF(op!F64="","",op!F64+1)</f>
        <v/>
      </c>
      <c r="G132" s="290" t="str">
        <f>IF(op!G64="","",op!G64)</f>
        <v/>
      </c>
      <c r="H132" s="88" t="str">
        <f>IF(op!H64=0,"",op!H64)</f>
        <v/>
      </c>
      <c r="I132" s="99" t="str">
        <f>IF(J132="","",(IF(op!I64+1&gt;LOOKUP(H132,schaal2019,regels2019),op!I64,op!I64+1)))</f>
        <v/>
      </c>
      <c r="J132" s="291" t="str">
        <f>IF(op!J64="","",op!J64)</f>
        <v/>
      </c>
      <c r="K132" s="971"/>
      <c r="L132" s="859">
        <f t="shared" si="50"/>
        <v>0</v>
      </c>
      <c r="M132" s="859">
        <f t="shared" si="50"/>
        <v>0</v>
      </c>
      <c r="N132" s="867" t="str">
        <f t="shared" si="38"/>
        <v/>
      </c>
      <c r="O132" s="867" t="str">
        <f t="shared" si="39"/>
        <v/>
      </c>
      <c r="P132" s="953" t="str">
        <f t="shared" si="24"/>
        <v/>
      </c>
      <c r="Q132" s="70"/>
      <c r="R132" s="739" t="str">
        <f t="shared" si="40"/>
        <v/>
      </c>
      <c r="S132" s="739" t="str">
        <f t="shared" si="25"/>
        <v/>
      </c>
      <c r="T132" s="740" t="str">
        <f t="shared" si="26"/>
        <v/>
      </c>
      <c r="U132" s="275"/>
      <c r="V132" s="293"/>
      <c r="W132" s="288"/>
      <c r="X132" s="288"/>
      <c r="Y132" s="908">
        <f t="shared" si="43"/>
        <v>0</v>
      </c>
      <c r="Z132" s="986">
        <f>tab!$D$62</f>
        <v>0.6</v>
      </c>
      <c r="AA132" s="944">
        <f t="shared" si="28"/>
        <v>0</v>
      </c>
      <c r="AB132" s="944">
        <f t="shared" si="29"/>
        <v>0</v>
      </c>
      <c r="AC132" s="944">
        <f t="shared" si="30"/>
        <v>0</v>
      </c>
      <c r="AD132" s="943" t="e">
        <f t="shared" si="31"/>
        <v>#VALUE!</v>
      </c>
      <c r="AE132" s="943">
        <f t="shared" si="32"/>
        <v>0</v>
      </c>
      <c r="AF132" s="916">
        <f>IF(H132&gt;8,tab!$D$63,tab!$D$65)</f>
        <v>0.5</v>
      </c>
      <c r="AG132" s="925">
        <f t="shared" si="44"/>
        <v>0</v>
      </c>
      <c r="AH132" s="940">
        <f t="shared" si="45"/>
        <v>0</v>
      </c>
      <c r="AI132" s="924" t="e">
        <f>DATE(YEAR(tab!$F$3),MONTH(G132),DAY(G132))&gt;tab!$F$3</f>
        <v>#VALUE!</v>
      </c>
      <c r="AJ132" s="925" t="e">
        <f t="shared" si="46"/>
        <v>#VALUE!</v>
      </c>
      <c r="AK132" s="884">
        <f t="shared" si="47"/>
        <v>30</v>
      </c>
      <c r="AL132" s="884">
        <f t="shared" si="48"/>
        <v>30</v>
      </c>
      <c r="AM132" s="925">
        <f t="shared" si="49"/>
        <v>0</v>
      </c>
    </row>
    <row r="133" spans="2:39" ht="12.75" customHeight="1" x14ac:dyDescent="0.2">
      <c r="B133" s="49"/>
      <c r="C133" s="69"/>
      <c r="D133" s="75" t="str">
        <f>IF(op!D65="","",op!D65)</f>
        <v/>
      </c>
      <c r="E133" s="75" t="str">
        <f>IF(op!E65=0,"",op!E65)</f>
        <v/>
      </c>
      <c r="F133" s="88" t="str">
        <f>IF(op!F65="","",op!F65+1)</f>
        <v/>
      </c>
      <c r="G133" s="290" t="str">
        <f>IF(op!G65="","",op!G65)</f>
        <v/>
      </c>
      <c r="H133" s="88" t="str">
        <f>IF(op!H65=0,"",op!H65)</f>
        <v/>
      </c>
      <c r="I133" s="99" t="str">
        <f>IF(J133="","",(IF(op!I65+1&gt;LOOKUP(H133,schaal2019,regels2019),op!I65,op!I65+1)))</f>
        <v/>
      </c>
      <c r="J133" s="291" t="str">
        <f>IF(op!J65="","",op!J65)</f>
        <v/>
      </c>
      <c r="K133" s="971"/>
      <c r="L133" s="859">
        <f t="shared" si="50"/>
        <v>0</v>
      </c>
      <c r="M133" s="859">
        <f t="shared" si="50"/>
        <v>0</v>
      </c>
      <c r="N133" s="867" t="str">
        <f t="shared" si="38"/>
        <v/>
      </c>
      <c r="O133" s="867" t="str">
        <f t="shared" si="39"/>
        <v/>
      </c>
      <c r="P133" s="953" t="str">
        <f t="shared" si="24"/>
        <v/>
      </c>
      <c r="Q133" s="70"/>
      <c r="R133" s="739" t="str">
        <f t="shared" si="40"/>
        <v/>
      </c>
      <c r="S133" s="739" t="str">
        <f t="shared" si="25"/>
        <v/>
      </c>
      <c r="T133" s="740" t="str">
        <f t="shared" si="26"/>
        <v/>
      </c>
      <c r="U133" s="275"/>
      <c r="V133" s="293"/>
      <c r="W133" s="288"/>
      <c r="X133" s="288"/>
      <c r="Y133" s="908">
        <f t="shared" si="43"/>
        <v>0</v>
      </c>
      <c r="Z133" s="986">
        <f>tab!$D$62</f>
        <v>0.6</v>
      </c>
      <c r="AA133" s="944">
        <f t="shared" si="28"/>
        <v>0</v>
      </c>
      <c r="AB133" s="944">
        <f t="shared" si="29"/>
        <v>0</v>
      </c>
      <c r="AC133" s="944">
        <f t="shared" si="30"/>
        <v>0</v>
      </c>
      <c r="AD133" s="943" t="e">
        <f t="shared" si="31"/>
        <v>#VALUE!</v>
      </c>
      <c r="AE133" s="943">
        <f t="shared" si="32"/>
        <v>0</v>
      </c>
      <c r="AF133" s="916">
        <f>IF(H133&gt;8,tab!$D$63,tab!$D$65)</f>
        <v>0.5</v>
      </c>
      <c r="AG133" s="925">
        <f t="shared" si="44"/>
        <v>0</v>
      </c>
      <c r="AH133" s="940">
        <f t="shared" si="45"/>
        <v>0</v>
      </c>
      <c r="AI133" s="924" t="e">
        <f>DATE(YEAR(tab!$F$3),MONTH(G133),DAY(G133))&gt;tab!$F$3</f>
        <v>#VALUE!</v>
      </c>
      <c r="AJ133" s="925" t="e">
        <f t="shared" si="46"/>
        <v>#VALUE!</v>
      </c>
      <c r="AK133" s="884">
        <f t="shared" si="47"/>
        <v>30</v>
      </c>
      <c r="AL133" s="884">
        <f t="shared" si="48"/>
        <v>30</v>
      </c>
      <c r="AM133" s="925">
        <f t="shared" si="49"/>
        <v>0</v>
      </c>
    </row>
    <row r="134" spans="2:39" ht="12.75" customHeight="1" x14ac:dyDescent="0.2">
      <c r="B134" s="49"/>
      <c r="C134" s="69"/>
      <c r="D134" s="75" t="str">
        <f>IF(op!D66="","",op!D66)</f>
        <v/>
      </c>
      <c r="E134" s="75" t="str">
        <f>IF(op!E66=0,"",op!E66)</f>
        <v/>
      </c>
      <c r="F134" s="88" t="str">
        <f>IF(op!F66="","",op!F66+1)</f>
        <v/>
      </c>
      <c r="G134" s="290" t="str">
        <f>IF(op!G66="","",op!G66)</f>
        <v/>
      </c>
      <c r="H134" s="88" t="str">
        <f>IF(op!H66=0,"",op!H66)</f>
        <v/>
      </c>
      <c r="I134" s="99" t="str">
        <f>IF(J134="","",(IF(op!I66+1&gt;LOOKUP(H134,schaal2019,regels2019),op!I66,op!I66+1)))</f>
        <v/>
      </c>
      <c r="J134" s="291" t="str">
        <f>IF(op!J66="","",op!J66)</f>
        <v/>
      </c>
      <c r="K134" s="971"/>
      <c r="L134" s="859">
        <f t="shared" si="50"/>
        <v>0</v>
      </c>
      <c r="M134" s="859">
        <f t="shared" si="50"/>
        <v>0</v>
      </c>
      <c r="N134" s="867" t="str">
        <f t="shared" si="38"/>
        <v/>
      </c>
      <c r="O134" s="867" t="str">
        <f t="shared" si="39"/>
        <v/>
      </c>
      <c r="P134" s="953" t="str">
        <f t="shared" si="24"/>
        <v/>
      </c>
      <c r="Q134" s="70"/>
      <c r="R134" s="739" t="str">
        <f t="shared" si="40"/>
        <v/>
      </c>
      <c r="S134" s="739" t="str">
        <f t="shared" si="25"/>
        <v/>
      </c>
      <c r="T134" s="740" t="str">
        <f t="shared" si="26"/>
        <v/>
      </c>
      <c r="U134" s="275"/>
      <c r="V134" s="293"/>
      <c r="W134" s="288"/>
      <c r="X134" s="288"/>
      <c r="Y134" s="908">
        <f t="shared" si="43"/>
        <v>0</v>
      </c>
      <c r="Z134" s="986">
        <f>tab!$D$62</f>
        <v>0.6</v>
      </c>
      <c r="AA134" s="944">
        <f t="shared" si="28"/>
        <v>0</v>
      </c>
      <c r="AB134" s="944">
        <f t="shared" si="29"/>
        <v>0</v>
      </c>
      <c r="AC134" s="944">
        <f t="shared" si="30"/>
        <v>0</v>
      </c>
      <c r="AD134" s="943" t="e">
        <f t="shared" si="31"/>
        <v>#VALUE!</v>
      </c>
      <c r="AE134" s="943">
        <f t="shared" si="32"/>
        <v>0</v>
      </c>
      <c r="AF134" s="916">
        <f>IF(H134&gt;8,tab!$D$63,tab!$D$65)</f>
        <v>0.5</v>
      </c>
      <c r="AG134" s="925">
        <f t="shared" si="44"/>
        <v>0</v>
      </c>
      <c r="AH134" s="940">
        <f t="shared" si="45"/>
        <v>0</v>
      </c>
      <c r="AI134" s="924" t="e">
        <f>DATE(YEAR(tab!$F$3),MONTH(G134),DAY(G134))&gt;tab!$F$3</f>
        <v>#VALUE!</v>
      </c>
      <c r="AJ134" s="925" t="e">
        <f t="shared" si="46"/>
        <v>#VALUE!</v>
      </c>
      <c r="AK134" s="884">
        <f t="shared" si="47"/>
        <v>30</v>
      </c>
      <c r="AL134" s="884">
        <f t="shared" si="48"/>
        <v>30</v>
      </c>
      <c r="AM134" s="925">
        <f t="shared" si="49"/>
        <v>0</v>
      </c>
    </row>
    <row r="135" spans="2:39" ht="12.75" customHeight="1" x14ac:dyDescent="0.2">
      <c r="B135" s="49"/>
      <c r="C135" s="69"/>
      <c r="D135" s="75" t="str">
        <f>IF(op!D67="","",op!D67)</f>
        <v/>
      </c>
      <c r="E135" s="75" t="str">
        <f>IF(op!E67=0,"",op!E67)</f>
        <v/>
      </c>
      <c r="F135" s="88" t="str">
        <f>IF(op!F67="","",op!F67+1)</f>
        <v/>
      </c>
      <c r="G135" s="290" t="str">
        <f>IF(op!G67="","",op!G67)</f>
        <v/>
      </c>
      <c r="H135" s="88" t="str">
        <f>IF(op!H67=0,"",op!H67)</f>
        <v/>
      </c>
      <c r="I135" s="99" t="str">
        <f>IF(J135="","",(IF(op!I67+1&gt;LOOKUP(H135,schaal2019,regels2019),op!I67,op!I67+1)))</f>
        <v/>
      </c>
      <c r="J135" s="291" t="str">
        <f>IF(op!J67="","",op!J67)</f>
        <v/>
      </c>
      <c r="K135" s="971"/>
      <c r="L135" s="859">
        <f t="shared" si="50"/>
        <v>0</v>
      </c>
      <c r="M135" s="859">
        <f t="shared" si="50"/>
        <v>0</v>
      </c>
      <c r="N135" s="867" t="str">
        <f t="shared" si="38"/>
        <v/>
      </c>
      <c r="O135" s="867" t="str">
        <f t="shared" si="39"/>
        <v/>
      </c>
      <c r="P135" s="953" t="str">
        <f t="shared" si="24"/>
        <v/>
      </c>
      <c r="Q135" s="70"/>
      <c r="R135" s="739" t="str">
        <f t="shared" si="40"/>
        <v/>
      </c>
      <c r="S135" s="739" t="str">
        <f t="shared" si="25"/>
        <v/>
      </c>
      <c r="T135" s="740" t="str">
        <f t="shared" si="26"/>
        <v/>
      </c>
      <c r="U135" s="275"/>
      <c r="V135" s="293"/>
      <c r="W135" s="288"/>
      <c r="X135" s="288"/>
      <c r="Y135" s="908">
        <f t="shared" si="43"/>
        <v>0</v>
      </c>
      <c r="Z135" s="986">
        <f>tab!$D$62</f>
        <v>0.6</v>
      </c>
      <c r="AA135" s="944">
        <f t="shared" si="28"/>
        <v>0</v>
      </c>
      <c r="AB135" s="944">
        <f t="shared" si="29"/>
        <v>0</v>
      </c>
      <c r="AC135" s="944">
        <f t="shared" si="30"/>
        <v>0</v>
      </c>
      <c r="AD135" s="943" t="e">
        <f t="shared" si="31"/>
        <v>#VALUE!</v>
      </c>
      <c r="AE135" s="943">
        <f t="shared" si="32"/>
        <v>0</v>
      </c>
      <c r="AF135" s="916">
        <f>IF(H135&gt;8,tab!$D$63,tab!$D$65)</f>
        <v>0.5</v>
      </c>
      <c r="AG135" s="925">
        <f t="shared" si="44"/>
        <v>0</v>
      </c>
      <c r="AH135" s="940">
        <f t="shared" si="45"/>
        <v>0</v>
      </c>
      <c r="AI135" s="924" t="e">
        <f>DATE(YEAR(tab!$F$3),MONTH(G135),DAY(G135))&gt;tab!$F$3</f>
        <v>#VALUE!</v>
      </c>
      <c r="AJ135" s="925" t="e">
        <f t="shared" si="46"/>
        <v>#VALUE!</v>
      </c>
      <c r="AK135" s="884">
        <f t="shared" si="47"/>
        <v>30</v>
      </c>
      <c r="AL135" s="884">
        <f t="shared" si="48"/>
        <v>30</v>
      </c>
      <c r="AM135" s="925">
        <f t="shared" si="49"/>
        <v>0</v>
      </c>
    </row>
    <row r="136" spans="2:39" ht="12.75" customHeight="1" x14ac:dyDescent="0.2">
      <c r="B136" s="49"/>
      <c r="C136" s="69"/>
      <c r="D136" s="75" t="str">
        <f>IF(op!D68="","",op!D68)</f>
        <v/>
      </c>
      <c r="E136" s="75" t="str">
        <f>IF(op!E68=0,"",op!E68)</f>
        <v/>
      </c>
      <c r="F136" s="88" t="str">
        <f>IF(op!F68="","",op!F68+1)</f>
        <v/>
      </c>
      <c r="G136" s="290" t="str">
        <f>IF(op!G68="","",op!G68)</f>
        <v/>
      </c>
      <c r="H136" s="88" t="str">
        <f>IF(op!H68=0,"",op!H68)</f>
        <v/>
      </c>
      <c r="I136" s="99" t="str">
        <f>IF(J136="","",(IF(op!I68+1&gt;LOOKUP(H136,schaal2019,regels2019),op!I68,op!I68+1)))</f>
        <v/>
      </c>
      <c r="J136" s="291" t="str">
        <f>IF(op!J68="","",op!J68)</f>
        <v/>
      </c>
      <c r="K136" s="971"/>
      <c r="L136" s="859">
        <f t="shared" si="50"/>
        <v>0</v>
      </c>
      <c r="M136" s="859">
        <f t="shared" si="50"/>
        <v>0</v>
      </c>
      <c r="N136" s="867" t="str">
        <f t="shared" si="38"/>
        <v/>
      </c>
      <c r="O136" s="867" t="str">
        <f t="shared" si="39"/>
        <v/>
      </c>
      <c r="P136" s="953" t="str">
        <f t="shared" si="24"/>
        <v/>
      </c>
      <c r="Q136" s="70"/>
      <c r="R136" s="739" t="str">
        <f t="shared" si="40"/>
        <v/>
      </c>
      <c r="S136" s="739" t="str">
        <f t="shared" si="25"/>
        <v/>
      </c>
      <c r="T136" s="740" t="str">
        <f t="shared" si="26"/>
        <v/>
      </c>
      <c r="U136" s="275"/>
      <c r="V136" s="293"/>
      <c r="W136" s="288"/>
      <c r="X136" s="288"/>
      <c r="Y136" s="908">
        <f t="shared" si="43"/>
        <v>0</v>
      </c>
      <c r="Z136" s="986">
        <f>tab!$D$62</f>
        <v>0.6</v>
      </c>
      <c r="AA136" s="944">
        <f t="shared" si="28"/>
        <v>0</v>
      </c>
      <c r="AB136" s="944">
        <f t="shared" si="29"/>
        <v>0</v>
      </c>
      <c r="AC136" s="944">
        <f t="shared" si="30"/>
        <v>0</v>
      </c>
      <c r="AD136" s="943" t="e">
        <f t="shared" si="31"/>
        <v>#VALUE!</v>
      </c>
      <c r="AE136" s="943">
        <f t="shared" si="32"/>
        <v>0</v>
      </c>
      <c r="AF136" s="916">
        <f>IF(H136&gt;8,tab!$D$63,tab!$D$65)</f>
        <v>0.5</v>
      </c>
      <c r="AG136" s="925">
        <f t="shared" si="44"/>
        <v>0</v>
      </c>
      <c r="AH136" s="940">
        <f t="shared" si="45"/>
        <v>0</v>
      </c>
      <c r="AI136" s="924" t="e">
        <f>DATE(YEAR(tab!$F$3),MONTH(G136),DAY(G136))&gt;tab!$F$3</f>
        <v>#VALUE!</v>
      </c>
      <c r="AJ136" s="925" t="e">
        <f t="shared" si="46"/>
        <v>#VALUE!</v>
      </c>
      <c r="AK136" s="884">
        <f t="shared" si="47"/>
        <v>30</v>
      </c>
      <c r="AL136" s="884">
        <f t="shared" si="48"/>
        <v>30</v>
      </c>
      <c r="AM136" s="925">
        <f t="shared" si="49"/>
        <v>0</v>
      </c>
    </row>
    <row r="137" spans="2:39" ht="12.75" customHeight="1" x14ac:dyDescent="0.2">
      <c r="B137" s="49"/>
      <c r="C137" s="69"/>
      <c r="D137" s="75" t="str">
        <f>IF(op!D69="","",op!D69)</f>
        <v/>
      </c>
      <c r="E137" s="75" t="str">
        <f>IF(op!E69=0,"",op!E69)</f>
        <v/>
      </c>
      <c r="F137" s="88" t="str">
        <f>IF(op!F69="","",op!F69+1)</f>
        <v/>
      </c>
      <c r="G137" s="290" t="str">
        <f>IF(op!G69="","",op!G69)</f>
        <v/>
      </c>
      <c r="H137" s="88" t="str">
        <f>IF(op!H69=0,"",op!H69)</f>
        <v/>
      </c>
      <c r="I137" s="99" t="str">
        <f>IF(J137="","",(IF(op!I69+1&gt;LOOKUP(H137,schaal2019,regels2019),op!I69,op!I69+1)))</f>
        <v/>
      </c>
      <c r="J137" s="291" t="str">
        <f>IF(op!J69="","",op!J69)</f>
        <v/>
      </c>
      <c r="K137" s="971"/>
      <c r="L137" s="859">
        <f t="shared" si="50"/>
        <v>0</v>
      </c>
      <c r="M137" s="859">
        <f t="shared" si="50"/>
        <v>0</v>
      </c>
      <c r="N137" s="867" t="str">
        <f t="shared" si="38"/>
        <v/>
      </c>
      <c r="O137" s="867" t="str">
        <f t="shared" si="39"/>
        <v/>
      </c>
      <c r="P137" s="953" t="str">
        <f t="shared" si="24"/>
        <v/>
      </c>
      <c r="Q137" s="70"/>
      <c r="R137" s="739" t="str">
        <f t="shared" si="40"/>
        <v/>
      </c>
      <c r="S137" s="739" t="str">
        <f t="shared" si="25"/>
        <v/>
      </c>
      <c r="T137" s="740" t="str">
        <f t="shared" si="26"/>
        <v/>
      </c>
      <c r="U137" s="275"/>
      <c r="V137" s="293"/>
      <c r="W137" s="288"/>
      <c r="X137" s="288"/>
      <c r="Y137" s="908">
        <f t="shared" si="43"/>
        <v>0</v>
      </c>
      <c r="Z137" s="986">
        <f>tab!$D$62</f>
        <v>0.6</v>
      </c>
      <c r="AA137" s="944">
        <f t="shared" si="28"/>
        <v>0</v>
      </c>
      <c r="AB137" s="944">
        <f t="shared" si="29"/>
        <v>0</v>
      </c>
      <c r="AC137" s="944">
        <f t="shared" si="30"/>
        <v>0</v>
      </c>
      <c r="AD137" s="943" t="e">
        <f t="shared" si="31"/>
        <v>#VALUE!</v>
      </c>
      <c r="AE137" s="943">
        <f t="shared" si="32"/>
        <v>0</v>
      </c>
      <c r="AF137" s="916">
        <f>IF(H137&gt;8,tab!$D$63,tab!$D$65)</f>
        <v>0.5</v>
      </c>
      <c r="AG137" s="925">
        <f t="shared" si="44"/>
        <v>0</v>
      </c>
      <c r="AH137" s="940">
        <f t="shared" si="45"/>
        <v>0</v>
      </c>
      <c r="AI137" s="924" t="e">
        <f>DATE(YEAR(tab!$F$3),MONTH(G137),DAY(G137))&gt;tab!$F$3</f>
        <v>#VALUE!</v>
      </c>
      <c r="AJ137" s="925" t="e">
        <f t="shared" si="46"/>
        <v>#VALUE!</v>
      </c>
      <c r="AK137" s="884">
        <f t="shared" si="47"/>
        <v>30</v>
      </c>
      <c r="AL137" s="884">
        <f t="shared" si="48"/>
        <v>30</v>
      </c>
      <c r="AM137" s="925">
        <f t="shared" si="49"/>
        <v>0</v>
      </c>
    </row>
    <row r="138" spans="2:39" ht="12.75" customHeight="1" x14ac:dyDescent="0.2">
      <c r="B138" s="49"/>
      <c r="C138" s="69"/>
      <c r="D138" s="75" t="str">
        <f>IF(op!D70="","",op!D70)</f>
        <v/>
      </c>
      <c r="E138" s="75" t="str">
        <f>IF(op!E70=0,"",op!E70)</f>
        <v/>
      </c>
      <c r="F138" s="88" t="str">
        <f>IF(op!F70="","",op!F70+1)</f>
        <v/>
      </c>
      <c r="G138" s="290" t="str">
        <f>IF(op!G70="","",op!G70)</f>
        <v/>
      </c>
      <c r="H138" s="88" t="str">
        <f>IF(op!H70=0,"",op!H70)</f>
        <v/>
      </c>
      <c r="I138" s="99" t="str">
        <f>IF(J138="","",(IF(op!I70+1&gt;LOOKUP(H138,schaal2019,regels2019),op!I70,op!I70+1)))</f>
        <v/>
      </c>
      <c r="J138" s="291" t="str">
        <f>IF(op!J70="","",op!J70)</f>
        <v/>
      </c>
      <c r="K138" s="971"/>
      <c r="L138" s="859">
        <f t="shared" si="50"/>
        <v>0</v>
      </c>
      <c r="M138" s="859">
        <f t="shared" si="50"/>
        <v>0</v>
      </c>
      <c r="N138" s="867" t="str">
        <f t="shared" si="38"/>
        <v/>
      </c>
      <c r="O138" s="867" t="str">
        <f t="shared" si="39"/>
        <v/>
      </c>
      <c r="P138" s="953" t="str">
        <f t="shared" si="24"/>
        <v/>
      </c>
      <c r="Q138" s="70"/>
      <c r="R138" s="739" t="str">
        <f t="shared" si="40"/>
        <v/>
      </c>
      <c r="S138" s="739" t="str">
        <f t="shared" si="25"/>
        <v/>
      </c>
      <c r="T138" s="740" t="str">
        <f t="shared" si="26"/>
        <v/>
      </c>
      <c r="U138" s="275"/>
      <c r="V138" s="293"/>
      <c r="W138" s="288"/>
      <c r="X138" s="288"/>
      <c r="Y138" s="908">
        <f t="shared" si="43"/>
        <v>0</v>
      </c>
      <c r="Z138" s="986">
        <f>tab!$D$62</f>
        <v>0.6</v>
      </c>
      <c r="AA138" s="944">
        <f t="shared" si="28"/>
        <v>0</v>
      </c>
      <c r="AB138" s="944">
        <f t="shared" si="29"/>
        <v>0</v>
      </c>
      <c r="AC138" s="944">
        <f t="shared" si="30"/>
        <v>0</v>
      </c>
      <c r="AD138" s="943" t="e">
        <f t="shared" si="31"/>
        <v>#VALUE!</v>
      </c>
      <c r="AE138" s="943">
        <f t="shared" si="32"/>
        <v>0</v>
      </c>
      <c r="AF138" s="916">
        <f>IF(H138&gt;8,tab!$D$63,tab!$D$65)</f>
        <v>0.5</v>
      </c>
      <c r="AG138" s="925">
        <f t="shared" si="44"/>
        <v>0</v>
      </c>
      <c r="AH138" s="940">
        <f t="shared" si="45"/>
        <v>0</v>
      </c>
      <c r="AI138" s="924" t="e">
        <f>DATE(YEAR(tab!$F$3),MONTH(G138),DAY(G138))&gt;tab!$F$3</f>
        <v>#VALUE!</v>
      </c>
      <c r="AJ138" s="925" t="e">
        <f t="shared" si="46"/>
        <v>#VALUE!</v>
      </c>
      <c r="AK138" s="884">
        <f t="shared" si="47"/>
        <v>30</v>
      </c>
      <c r="AL138" s="884">
        <f t="shared" si="48"/>
        <v>30</v>
      </c>
      <c r="AM138" s="925">
        <f t="shared" si="49"/>
        <v>0</v>
      </c>
    </row>
    <row r="139" spans="2:39" x14ac:dyDescent="0.2">
      <c r="B139" s="49"/>
      <c r="C139" s="76"/>
      <c r="D139" s="172"/>
      <c r="E139" s="345"/>
      <c r="F139" s="345"/>
      <c r="G139" s="346"/>
      <c r="H139" s="345"/>
      <c r="I139" s="347"/>
      <c r="J139" s="755">
        <f>SUM(J84:J138)</f>
        <v>0.1</v>
      </c>
      <c r="K139" s="972"/>
      <c r="L139" s="942">
        <f>SUM(L84:L138)</f>
        <v>0</v>
      </c>
      <c r="M139" s="942">
        <f>SUM(M84:M138)</f>
        <v>0</v>
      </c>
      <c r="N139" s="942">
        <f>SUM(N84:N138)</f>
        <v>4</v>
      </c>
      <c r="O139" s="942">
        <f>SUM(O84:O138)</f>
        <v>0</v>
      </c>
      <c r="P139" s="942">
        <f>SUM(P84:P138)</f>
        <v>4</v>
      </c>
      <c r="Q139" s="172"/>
      <c r="R139" s="756">
        <f>SUM(R84:R138)</f>
        <v>7326.1945750452078</v>
      </c>
      <c r="S139" s="756">
        <f>SUM(S84:S138)</f>
        <v>181.00542495479203</v>
      </c>
      <c r="T139" s="756">
        <f>SUM(T84:T138)</f>
        <v>7507.2</v>
      </c>
      <c r="U139" s="81"/>
      <c r="V139" s="53"/>
      <c r="Y139" s="908">
        <f>SUM(Y84:Y138)</f>
        <v>3910</v>
      </c>
      <c r="Z139" s="927"/>
      <c r="AA139" s="909">
        <f t="shared" si="28"/>
        <v>28.282097649186255</v>
      </c>
      <c r="AB139" s="909">
        <f>SUM(AB84:AB138)</f>
        <v>45.251356238698008</v>
      </c>
      <c r="AC139" s="909">
        <f t="shared" si="30"/>
        <v>16.969258589511753</v>
      </c>
      <c r="AF139" s="927"/>
      <c r="AG139" s="928">
        <f>SUM(AG84:AG138)</f>
        <v>0</v>
      </c>
      <c r="AH139" s="937">
        <f>SUM(AH84:AH138)</f>
        <v>0</v>
      </c>
      <c r="AI139" s="926"/>
      <c r="AJ139" s="926"/>
    </row>
    <row r="140" spans="2:39" x14ac:dyDescent="0.2">
      <c r="B140" s="124"/>
      <c r="C140" s="125"/>
      <c r="D140" s="317"/>
      <c r="E140" s="317"/>
      <c r="F140" s="318"/>
      <c r="G140" s="319"/>
      <c r="H140" s="318"/>
      <c r="I140" s="320"/>
      <c r="J140" s="322"/>
      <c r="K140" s="974"/>
      <c r="L140" s="861"/>
      <c r="M140" s="861"/>
      <c r="N140" s="861"/>
      <c r="O140" s="861"/>
      <c r="P140" s="113"/>
      <c r="Q140" s="317"/>
      <c r="R140" s="356"/>
      <c r="S140" s="355"/>
      <c r="T140" s="355"/>
      <c r="U140" s="125"/>
      <c r="V140" s="126"/>
      <c r="Y140" s="881"/>
      <c r="AA140" s="909"/>
      <c r="AB140" s="909"/>
      <c r="AC140" s="909"/>
      <c r="AF140" s="927"/>
      <c r="AG140" s="928"/>
      <c r="AH140" s="937"/>
    </row>
    <row r="143" spans="2:39" x14ac:dyDescent="0.2">
      <c r="C143" s="48" t="s">
        <v>165</v>
      </c>
      <c r="E143" s="327" t="str">
        <f>dir!E57</f>
        <v>2021/22</v>
      </c>
    </row>
    <row r="144" spans="2:39" x14ac:dyDescent="0.2">
      <c r="C144" s="48" t="s">
        <v>187</v>
      </c>
      <c r="E144" s="327">
        <f>dir!E58</f>
        <v>44470</v>
      </c>
    </row>
    <row r="146" spans="2:40" ht="12.75" customHeight="1" x14ac:dyDescent="0.2">
      <c r="C146" s="341"/>
      <c r="D146" s="724"/>
      <c r="E146" s="723"/>
      <c r="F146" s="704"/>
      <c r="G146" s="725"/>
      <c r="H146" s="726"/>
      <c r="I146" s="726"/>
      <c r="J146" s="727"/>
      <c r="K146" s="967"/>
      <c r="L146" s="816"/>
      <c r="M146" s="816"/>
      <c r="N146" s="816"/>
      <c r="O146" s="816"/>
      <c r="P146" s="950"/>
      <c r="Q146" s="728"/>
      <c r="R146" s="728"/>
      <c r="S146" s="728"/>
      <c r="T146" s="729"/>
      <c r="U146" s="710"/>
    </row>
    <row r="147" spans="2:40" s="81" customFormat="1" ht="12.75" customHeight="1" x14ac:dyDescent="0.2">
      <c r="B147" s="48"/>
      <c r="C147" s="135"/>
      <c r="D147" s="864" t="s">
        <v>298</v>
      </c>
      <c r="E147" s="865"/>
      <c r="F147" s="865"/>
      <c r="G147" s="865"/>
      <c r="H147" s="866"/>
      <c r="I147" s="866"/>
      <c r="J147" s="866"/>
      <c r="K147" s="968"/>
      <c r="L147" s="864" t="s">
        <v>492</v>
      </c>
      <c r="M147" s="858"/>
      <c r="N147" s="864"/>
      <c r="O147" s="864"/>
      <c r="P147" s="951"/>
      <c r="Q147" s="730"/>
      <c r="R147" s="864" t="s">
        <v>494</v>
      </c>
      <c r="S147" s="866"/>
      <c r="T147" s="935"/>
      <c r="U147" s="746"/>
      <c r="V147" s="48"/>
      <c r="W147" s="279"/>
      <c r="X147" s="279"/>
      <c r="Y147" s="882"/>
      <c r="Z147" s="913"/>
      <c r="AA147" s="882"/>
      <c r="AB147" s="882"/>
      <c r="AC147" s="882"/>
      <c r="AD147" s="912"/>
      <c r="AE147" s="912"/>
      <c r="AF147" s="913"/>
      <c r="AG147" s="933"/>
      <c r="AH147" s="941"/>
      <c r="AI147" s="923"/>
      <c r="AJ147" s="923"/>
      <c r="AK147" s="923"/>
      <c r="AL147" s="923"/>
      <c r="AM147" s="923"/>
      <c r="AN147" s="279"/>
    </row>
    <row r="148" spans="2:40" s="81" customFormat="1" ht="12.75" customHeight="1" x14ac:dyDescent="0.2">
      <c r="B148" s="48"/>
      <c r="C148" s="135"/>
      <c r="D148" s="693" t="s">
        <v>480</v>
      </c>
      <c r="E148" s="693" t="s">
        <v>171</v>
      </c>
      <c r="F148" s="732" t="s">
        <v>119</v>
      </c>
      <c r="G148" s="733" t="s">
        <v>289</v>
      </c>
      <c r="H148" s="732" t="s">
        <v>201</v>
      </c>
      <c r="I148" s="732" t="s">
        <v>229</v>
      </c>
      <c r="J148" s="734" t="s">
        <v>122</v>
      </c>
      <c r="K148" s="969"/>
      <c r="L148" s="735" t="s">
        <v>475</v>
      </c>
      <c r="M148" s="735" t="s">
        <v>468</v>
      </c>
      <c r="N148" s="735" t="s">
        <v>482</v>
      </c>
      <c r="O148" s="735" t="s">
        <v>475</v>
      </c>
      <c r="P148" s="952" t="s">
        <v>487</v>
      </c>
      <c r="Q148" s="702"/>
      <c r="R148" s="863" t="s">
        <v>186</v>
      </c>
      <c r="S148" s="737" t="s">
        <v>493</v>
      </c>
      <c r="T148" s="738" t="s">
        <v>186</v>
      </c>
      <c r="U148" s="747"/>
      <c r="V148" s="48"/>
      <c r="W148" s="282"/>
      <c r="X148" s="282"/>
      <c r="Y148" s="914" t="s">
        <v>322</v>
      </c>
      <c r="Z148" s="960" t="s">
        <v>479</v>
      </c>
      <c r="AA148" s="903" t="s">
        <v>488</v>
      </c>
      <c r="AB148" s="903" t="s">
        <v>488</v>
      </c>
      <c r="AC148" s="903" t="s">
        <v>491</v>
      </c>
      <c r="AD148" s="915" t="s">
        <v>473</v>
      </c>
      <c r="AE148" s="915" t="s">
        <v>474</v>
      </c>
      <c r="AF148" s="902" t="s">
        <v>470</v>
      </c>
      <c r="AG148" s="934" t="s">
        <v>306</v>
      </c>
      <c r="AH148" s="941" t="s">
        <v>415</v>
      </c>
      <c r="AI148" s="902" t="s">
        <v>292</v>
      </c>
      <c r="AJ148" s="902" t="s">
        <v>293</v>
      </c>
      <c r="AK148" s="902" t="s">
        <v>121</v>
      </c>
      <c r="AL148" s="902" t="s">
        <v>198</v>
      </c>
      <c r="AM148" s="915" t="s">
        <v>173</v>
      </c>
      <c r="AN148" s="282"/>
    </row>
    <row r="149" spans="2:40" s="81" customFormat="1" ht="12.75" customHeight="1" x14ac:dyDescent="0.2">
      <c r="B149" s="48"/>
      <c r="C149" s="135"/>
      <c r="D149" s="865"/>
      <c r="E149" s="693"/>
      <c r="F149" s="732" t="s">
        <v>120</v>
      </c>
      <c r="G149" s="733" t="s">
        <v>290</v>
      </c>
      <c r="H149" s="732"/>
      <c r="I149" s="732"/>
      <c r="J149" s="734"/>
      <c r="K149" s="969"/>
      <c r="L149" s="735" t="s">
        <v>476</v>
      </c>
      <c r="M149" s="735" t="s">
        <v>478</v>
      </c>
      <c r="N149" s="735" t="s">
        <v>483</v>
      </c>
      <c r="O149" s="735" t="s">
        <v>477</v>
      </c>
      <c r="P149" s="952" t="s">
        <v>284</v>
      </c>
      <c r="Q149" s="702"/>
      <c r="R149" s="706" t="s">
        <v>485</v>
      </c>
      <c r="S149" s="737" t="s">
        <v>469</v>
      </c>
      <c r="T149" s="738" t="s">
        <v>284</v>
      </c>
      <c r="U149" s="710"/>
      <c r="V149" s="48"/>
      <c r="Y149" s="914" t="s">
        <v>193</v>
      </c>
      <c r="Z149" s="961">
        <f>tab!$D$62</f>
        <v>0.6</v>
      </c>
      <c r="AA149" s="903" t="s">
        <v>489</v>
      </c>
      <c r="AB149" s="903" t="s">
        <v>490</v>
      </c>
      <c r="AC149" s="903" t="s">
        <v>486</v>
      </c>
      <c r="AD149" s="915" t="s">
        <v>472</v>
      </c>
      <c r="AE149" s="915" t="s">
        <v>472</v>
      </c>
      <c r="AF149" s="902" t="s">
        <v>471</v>
      </c>
      <c r="AG149" s="934"/>
      <c r="AH149" s="940" t="s">
        <v>228</v>
      </c>
      <c r="AI149" s="915" t="s">
        <v>291</v>
      </c>
      <c r="AJ149" s="915" t="s">
        <v>291</v>
      </c>
      <c r="AK149" s="902"/>
      <c r="AL149" s="902" t="s">
        <v>173</v>
      </c>
      <c r="AM149" s="915"/>
      <c r="AN149" s="343"/>
    </row>
    <row r="150" spans="2:40" ht="12.75" customHeight="1" x14ac:dyDescent="0.2">
      <c r="C150" s="69"/>
      <c r="D150" s="745"/>
      <c r="E150" s="745"/>
      <c r="F150" s="703"/>
      <c r="G150" s="748"/>
      <c r="H150" s="732"/>
      <c r="I150" s="732"/>
      <c r="J150" s="734"/>
      <c r="K150" s="970"/>
      <c r="L150" s="735"/>
      <c r="M150" s="735"/>
      <c r="N150" s="735"/>
      <c r="O150" s="735"/>
      <c r="P150" s="952"/>
      <c r="Q150" s="862"/>
      <c r="R150" s="749"/>
      <c r="S150" s="749"/>
      <c r="T150" s="750"/>
      <c r="U150" s="710"/>
      <c r="Y150" s="914"/>
      <c r="Z150" s="901"/>
      <c r="AA150" s="901"/>
      <c r="AB150" s="901"/>
      <c r="AC150" s="901"/>
      <c r="AD150" s="915"/>
      <c r="AE150" s="915"/>
      <c r="AF150" s="901"/>
      <c r="AG150" s="934"/>
      <c r="AH150" s="940"/>
      <c r="AM150" s="915"/>
      <c r="AN150" s="288"/>
    </row>
    <row r="151" spans="2:40" ht="12.75" customHeight="1" x14ac:dyDescent="0.2">
      <c r="C151" s="69"/>
      <c r="D151" s="75" t="str">
        <f>IF(op!D84=0,"",op!D84)</f>
        <v/>
      </c>
      <c r="E151" s="75" t="str">
        <f>IF(op!E84=0,"",op!E84)</f>
        <v>nn</v>
      </c>
      <c r="F151" s="88">
        <f>IF(op!F84="","",op!F84+1)</f>
        <v>27</v>
      </c>
      <c r="G151" s="290">
        <f>IF(op!G84="","",op!G84)</f>
        <v>27395</v>
      </c>
      <c r="H151" s="88" t="str">
        <f>IF(op!H84=0,"",op!H84)</f>
        <v>L10</v>
      </c>
      <c r="I151" s="99">
        <f>IF(J151="","",(IF(op!I84+1&gt;LOOKUP(H151,schaal2019,regels2019),op!I84,op!I84+1)))</f>
        <v>15</v>
      </c>
      <c r="J151" s="291">
        <f>IF(op!J84="","",op!J84)</f>
        <v>0.1</v>
      </c>
      <c r="K151" s="971"/>
      <c r="L151" s="859">
        <f t="shared" ref="L151:M170" si="51">IF(L84="","",L84)</f>
        <v>0</v>
      </c>
      <c r="M151" s="859">
        <f t="shared" si="51"/>
        <v>0</v>
      </c>
      <c r="N151" s="867">
        <f>IF(J151="","",IF((J151*40)&gt;40,40,((J151*40))))</f>
        <v>4</v>
      </c>
      <c r="O151" s="867">
        <f>IF(J151="","",IF(I151&lt;4,(40*J151),0))</f>
        <v>0</v>
      </c>
      <c r="P151" s="953">
        <f t="shared" ref="P151:P205" si="52">IF(J151="","",(SUM(L151:O151)))</f>
        <v>4</v>
      </c>
      <c r="Q151" s="70"/>
      <c r="R151" s="739">
        <f>IF(J151="","",(((1659*J151)-P151)*AB151))</f>
        <v>7326.1945750452078</v>
      </c>
      <c r="S151" s="739">
        <f t="shared" ref="S151:S205" si="53">IF(J151="","",(P151*AC151)+(AA151*AD151)+((AE151*AA151*(1-AF151))))</f>
        <v>181.00542495479203</v>
      </c>
      <c r="T151" s="740">
        <f t="shared" ref="T151:T205" si="54">IF(J151="","",(R151+S151))</f>
        <v>7507.2</v>
      </c>
      <c r="U151" s="275"/>
      <c r="V151" s="288"/>
      <c r="W151" s="288"/>
      <c r="X151" s="288"/>
      <c r="Y151" s="908">
        <f t="shared" ref="Y151:Y182" si="55">IF(H151="",0,5/12*VLOOKUP(H151,salaris2020,I151+1,FALSE)+7/12*VLOOKUP(H151,salaris2020,I151+1,FALSE))</f>
        <v>3910</v>
      </c>
      <c r="Z151" s="986">
        <f>tab!$D$62</f>
        <v>0.6</v>
      </c>
      <c r="AA151" s="944">
        <f t="shared" ref="AA151:AA206" si="56">(Y151*12/1659)</f>
        <v>28.282097649186255</v>
      </c>
      <c r="AB151" s="944">
        <f t="shared" ref="AB151:AB205" si="57">(Y151*12*(1+Z151))/1659</f>
        <v>45.251356238698008</v>
      </c>
      <c r="AC151" s="944">
        <f t="shared" ref="AC151:AC206" si="58">AB151-AA151</f>
        <v>16.969258589511753</v>
      </c>
      <c r="AD151" s="943">
        <f t="shared" ref="AD151:AD205" si="59">(N151+O151)</f>
        <v>4</v>
      </c>
      <c r="AE151" s="943">
        <f t="shared" ref="AE151:AE205" si="60">(L151+M151)</f>
        <v>0</v>
      </c>
      <c r="AF151" s="916">
        <f>IF(H151&gt;8,tab!$D$63,tab!$D$65)</f>
        <v>0.5</v>
      </c>
      <c r="AG151" s="925">
        <f t="shared" ref="AG151:AG182" si="61">IF(F151&lt;25,0,IF(F151=25,25,IF(F151&lt;40,0,IF(F151=40,40,IF(F151&gt;=40,0)))))</f>
        <v>0</v>
      </c>
      <c r="AH151" s="940">
        <f t="shared" ref="AH151:AH182" si="62">IF(AG151=25,(Y151*1.08*(J151)/2),IF(AG151=40,(Y151*1.08*(J151)),IF(AG151=0,0)))</f>
        <v>0</v>
      </c>
      <c r="AI151" s="924" t="b">
        <f>DATE(YEAR(tab!$G$3),MONTH(G151),DAY(G151))&gt;tab!$G$3</f>
        <v>0</v>
      </c>
      <c r="AJ151" s="925">
        <f t="shared" ref="AJ151:AJ182" si="63">YEAR($E$144)-YEAR(G151)-AI151</f>
        <v>46</v>
      </c>
      <c r="AK151" s="884">
        <f t="shared" ref="AK151:AK182" si="64">IF((G151=""),30,AJ151)</f>
        <v>46</v>
      </c>
      <c r="AL151" s="884">
        <f t="shared" ref="AL151:AL182" si="65">IF((AK151)&gt;50,50,(AK151))</f>
        <v>46</v>
      </c>
      <c r="AM151" s="925">
        <f t="shared" ref="AM151:AM182" si="66">ROUND((AL151*(SUM(J151:J151))),2)</f>
        <v>4.5999999999999996</v>
      </c>
    </row>
    <row r="152" spans="2:40" ht="12.75" customHeight="1" x14ac:dyDescent="0.2">
      <c r="C152" s="69"/>
      <c r="D152" s="75" t="str">
        <f>IF(op!D85=0,"",op!D85)</f>
        <v/>
      </c>
      <c r="E152" s="75" t="str">
        <f>IF(op!E85=0,"",op!E85)</f>
        <v/>
      </c>
      <c r="F152" s="88" t="str">
        <f>IF(op!F85="","",op!F85+1)</f>
        <v/>
      </c>
      <c r="G152" s="290" t="str">
        <f>IF(op!G85="","",op!G85)</f>
        <v/>
      </c>
      <c r="H152" s="88" t="str">
        <f>IF(op!H85=0,"",op!H85)</f>
        <v/>
      </c>
      <c r="I152" s="99" t="str">
        <f>IF(J152="","",(IF(op!I85+1&gt;LOOKUP(H152,schaal2019,regels2019),op!I85,op!I85+1)))</f>
        <v/>
      </c>
      <c r="J152" s="291" t="str">
        <f>IF(op!J85="","",op!J85)</f>
        <v/>
      </c>
      <c r="K152" s="971"/>
      <c r="L152" s="859">
        <f t="shared" si="51"/>
        <v>0</v>
      </c>
      <c r="M152" s="859">
        <f t="shared" si="51"/>
        <v>0</v>
      </c>
      <c r="N152" s="867" t="str">
        <f t="shared" ref="N152:N205" si="67">IF(J152="","",IF((J152*40)&gt;40,40,((J152*40))))</f>
        <v/>
      </c>
      <c r="O152" s="867" t="str">
        <f t="shared" ref="O152:O205" si="68">IF(J152="","",IF(I152&lt;4,(40*J152),0))</f>
        <v/>
      </c>
      <c r="P152" s="953" t="str">
        <f t="shared" si="52"/>
        <v/>
      </c>
      <c r="Q152" s="70"/>
      <c r="R152" s="739" t="str">
        <f t="shared" ref="R152:R205" si="69">IF(J152="","",(((1659*J152)-P152)*AB152))</f>
        <v/>
      </c>
      <c r="S152" s="739" t="str">
        <f t="shared" si="53"/>
        <v/>
      </c>
      <c r="T152" s="740" t="str">
        <f t="shared" si="54"/>
        <v/>
      </c>
      <c r="U152" s="275"/>
      <c r="V152" s="288"/>
      <c r="W152" s="288"/>
      <c r="X152" s="288"/>
      <c r="Y152" s="908">
        <f t="shared" si="55"/>
        <v>0</v>
      </c>
      <c r="Z152" s="986">
        <f>tab!$D$62</f>
        <v>0.6</v>
      </c>
      <c r="AA152" s="944">
        <f t="shared" si="56"/>
        <v>0</v>
      </c>
      <c r="AB152" s="944">
        <f t="shared" si="57"/>
        <v>0</v>
      </c>
      <c r="AC152" s="944">
        <f t="shared" si="58"/>
        <v>0</v>
      </c>
      <c r="AD152" s="943" t="e">
        <f t="shared" si="59"/>
        <v>#VALUE!</v>
      </c>
      <c r="AE152" s="943">
        <f t="shared" si="60"/>
        <v>0</v>
      </c>
      <c r="AF152" s="916">
        <f>IF(H152&gt;8,tab!$D$63,tab!$D$65)</f>
        <v>0.5</v>
      </c>
      <c r="AG152" s="925">
        <f t="shared" si="61"/>
        <v>0</v>
      </c>
      <c r="AH152" s="940">
        <f t="shared" si="62"/>
        <v>0</v>
      </c>
      <c r="AI152" s="924" t="e">
        <f>DATE(YEAR(tab!$G$3),MONTH(G152),DAY(G152))&gt;tab!$G$3</f>
        <v>#VALUE!</v>
      </c>
      <c r="AJ152" s="925" t="e">
        <f t="shared" si="63"/>
        <v>#VALUE!</v>
      </c>
      <c r="AK152" s="884">
        <f t="shared" si="64"/>
        <v>30</v>
      </c>
      <c r="AL152" s="884">
        <f t="shared" si="65"/>
        <v>30</v>
      </c>
      <c r="AM152" s="925">
        <f t="shared" si="66"/>
        <v>0</v>
      </c>
    </row>
    <row r="153" spans="2:40" ht="12.75" customHeight="1" x14ac:dyDescent="0.2">
      <c r="C153" s="69"/>
      <c r="D153" s="75" t="str">
        <f>IF(op!D86=0,"",op!D86)</f>
        <v/>
      </c>
      <c r="E153" s="75" t="str">
        <f>IF(op!E86=0,"",op!E86)</f>
        <v/>
      </c>
      <c r="F153" s="88" t="str">
        <f>IF(op!F86="","",op!F86+1)</f>
        <v/>
      </c>
      <c r="G153" s="290" t="str">
        <f>IF(op!G86="","",op!G86)</f>
        <v/>
      </c>
      <c r="H153" s="88" t="str">
        <f>IF(op!H86=0,"",op!H86)</f>
        <v/>
      </c>
      <c r="I153" s="99" t="str">
        <f>IF(J153="","",(IF(op!I86+1&gt;LOOKUP(H153,schaal2019,regels2019),op!I86,op!I86+1)))</f>
        <v/>
      </c>
      <c r="J153" s="291" t="str">
        <f>IF(op!J86="","",op!J86)</f>
        <v/>
      </c>
      <c r="K153" s="971"/>
      <c r="L153" s="859">
        <f t="shared" si="51"/>
        <v>0</v>
      </c>
      <c r="M153" s="859">
        <f t="shared" si="51"/>
        <v>0</v>
      </c>
      <c r="N153" s="867" t="str">
        <f t="shared" si="67"/>
        <v/>
      </c>
      <c r="O153" s="867" t="str">
        <f t="shared" si="68"/>
        <v/>
      </c>
      <c r="P153" s="953" t="str">
        <f t="shared" si="52"/>
        <v/>
      </c>
      <c r="Q153" s="70"/>
      <c r="R153" s="739" t="str">
        <f t="shared" si="69"/>
        <v/>
      </c>
      <c r="S153" s="739" t="str">
        <f t="shared" si="53"/>
        <v/>
      </c>
      <c r="T153" s="740" t="str">
        <f t="shared" si="54"/>
        <v/>
      </c>
      <c r="U153" s="275"/>
      <c r="V153" s="288"/>
      <c r="W153" s="288"/>
      <c r="X153" s="288"/>
      <c r="Y153" s="908">
        <f t="shared" si="55"/>
        <v>0</v>
      </c>
      <c r="Z153" s="986">
        <f>tab!$D$62</f>
        <v>0.6</v>
      </c>
      <c r="AA153" s="944">
        <f t="shared" si="56"/>
        <v>0</v>
      </c>
      <c r="AB153" s="944">
        <f t="shared" si="57"/>
        <v>0</v>
      </c>
      <c r="AC153" s="944">
        <f t="shared" si="58"/>
        <v>0</v>
      </c>
      <c r="AD153" s="943" t="e">
        <f t="shared" si="59"/>
        <v>#VALUE!</v>
      </c>
      <c r="AE153" s="943">
        <f t="shared" si="60"/>
        <v>0</v>
      </c>
      <c r="AF153" s="916">
        <f>IF(H153&gt;8,tab!$D$63,tab!$D$65)</f>
        <v>0.5</v>
      </c>
      <c r="AG153" s="925">
        <f t="shared" si="61"/>
        <v>0</v>
      </c>
      <c r="AH153" s="940">
        <f t="shared" si="62"/>
        <v>0</v>
      </c>
      <c r="AI153" s="924" t="e">
        <f>DATE(YEAR(tab!$G$3),MONTH(G153),DAY(G153))&gt;tab!$G$3</f>
        <v>#VALUE!</v>
      </c>
      <c r="AJ153" s="925" t="e">
        <f t="shared" si="63"/>
        <v>#VALUE!</v>
      </c>
      <c r="AK153" s="884">
        <f t="shared" si="64"/>
        <v>30</v>
      </c>
      <c r="AL153" s="884">
        <f t="shared" si="65"/>
        <v>30</v>
      </c>
      <c r="AM153" s="925">
        <f t="shared" si="66"/>
        <v>0</v>
      </c>
    </row>
    <row r="154" spans="2:40" ht="12.75" customHeight="1" x14ac:dyDescent="0.2">
      <c r="C154" s="69"/>
      <c r="D154" s="75" t="str">
        <f>IF(op!D87=0,"",op!D87)</f>
        <v/>
      </c>
      <c r="E154" s="75" t="str">
        <f>IF(op!E87=0,"",op!E87)</f>
        <v/>
      </c>
      <c r="F154" s="88" t="str">
        <f>IF(op!F87="","",op!F87+1)</f>
        <v/>
      </c>
      <c r="G154" s="290" t="str">
        <f>IF(op!G87="","",op!G87)</f>
        <v/>
      </c>
      <c r="H154" s="88" t="str">
        <f>IF(op!H87=0,"",op!H87)</f>
        <v/>
      </c>
      <c r="I154" s="99" t="str">
        <f>IF(J154="","",(IF(op!I87+1&gt;LOOKUP(H154,schaal2019,regels2019),op!I87,op!I87+1)))</f>
        <v/>
      </c>
      <c r="J154" s="291" t="str">
        <f>IF(op!J87="","",op!J87)</f>
        <v/>
      </c>
      <c r="K154" s="971"/>
      <c r="L154" s="859">
        <f t="shared" si="51"/>
        <v>0</v>
      </c>
      <c r="M154" s="859">
        <f t="shared" si="51"/>
        <v>0</v>
      </c>
      <c r="N154" s="867" t="str">
        <f t="shared" si="67"/>
        <v/>
      </c>
      <c r="O154" s="867" t="str">
        <f t="shared" si="68"/>
        <v/>
      </c>
      <c r="P154" s="953" t="str">
        <f t="shared" si="52"/>
        <v/>
      </c>
      <c r="Q154" s="70"/>
      <c r="R154" s="739" t="str">
        <f t="shared" si="69"/>
        <v/>
      </c>
      <c r="S154" s="739" t="str">
        <f t="shared" si="53"/>
        <v/>
      </c>
      <c r="T154" s="740" t="str">
        <f t="shared" si="54"/>
        <v/>
      </c>
      <c r="U154" s="275"/>
      <c r="V154" s="288"/>
      <c r="W154" s="288"/>
      <c r="X154" s="288"/>
      <c r="Y154" s="908">
        <f t="shared" si="55"/>
        <v>0</v>
      </c>
      <c r="Z154" s="986">
        <f>tab!$D$62</f>
        <v>0.6</v>
      </c>
      <c r="AA154" s="944">
        <f t="shared" si="56"/>
        <v>0</v>
      </c>
      <c r="AB154" s="944">
        <f t="shared" si="57"/>
        <v>0</v>
      </c>
      <c r="AC154" s="944">
        <f t="shared" si="58"/>
        <v>0</v>
      </c>
      <c r="AD154" s="943" t="e">
        <f t="shared" si="59"/>
        <v>#VALUE!</v>
      </c>
      <c r="AE154" s="943">
        <f t="shared" si="60"/>
        <v>0</v>
      </c>
      <c r="AF154" s="916">
        <f>IF(H154&gt;8,tab!$D$63,tab!$D$65)</f>
        <v>0.5</v>
      </c>
      <c r="AG154" s="925">
        <f t="shared" si="61"/>
        <v>0</v>
      </c>
      <c r="AH154" s="940">
        <f t="shared" si="62"/>
        <v>0</v>
      </c>
      <c r="AI154" s="924" t="e">
        <f>DATE(YEAR(tab!$G$3),MONTH(G154),DAY(G154))&gt;tab!$G$3</f>
        <v>#VALUE!</v>
      </c>
      <c r="AJ154" s="925" t="e">
        <f t="shared" si="63"/>
        <v>#VALUE!</v>
      </c>
      <c r="AK154" s="884">
        <f t="shared" si="64"/>
        <v>30</v>
      </c>
      <c r="AL154" s="884">
        <f t="shared" si="65"/>
        <v>30</v>
      </c>
      <c r="AM154" s="925">
        <f t="shared" si="66"/>
        <v>0</v>
      </c>
    </row>
    <row r="155" spans="2:40" ht="12.75" customHeight="1" x14ac:dyDescent="0.2">
      <c r="C155" s="69"/>
      <c r="D155" s="75" t="str">
        <f>IF(op!D88=0,"",op!D88)</f>
        <v/>
      </c>
      <c r="E155" s="75" t="str">
        <f>IF(op!E88=0,"",op!E88)</f>
        <v/>
      </c>
      <c r="F155" s="88" t="str">
        <f>IF(op!F88="","",op!F88+1)</f>
        <v/>
      </c>
      <c r="G155" s="290" t="str">
        <f>IF(op!G88="","",op!G88)</f>
        <v/>
      </c>
      <c r="H155" s="88" t="str">
        <f>IF(op!H88=0,"",op!H88)</f>
        <v/>
      </c>
      <c r="I155" s="99" t="str">
        <f>IF(J155="","",(IF(op!I88+1&gt;LOOKUP(H155,schaal2019,regels2019),op!I88,op!I88+1)))</f>
        <v/>
      </c>
      <c r="J155" s="291" t="str">
        <f>IF(op!J88="","",op!J88)</f>
        <v/>
      </c>
      <c r="K155" s="971"/>
      <c r="L155" s="859">
        <f t="shared" si="51"/>
        <v>0</v>
      </c>
      <c r="M155" s="859">
        <f t="shared" si="51"/>
        <v>0</v>
      </c>
      <c r="N155" s="867" t="str">
        <f t="shared" si="67"/>
        <v/>
      </c>
      <c r="O155" s="867" t="str">
        <f t="shared" si="68"/>
        <v/>
      </c>
      <c r="P155" s="953" t="str">
        <f t="shared" si="52"/>
        <v/>
      </c>
      <c r="Q155" s="70"/>
      <c r="R155" s="739" t="str">
        <f t="shared" si="69"/>
        <v/>
      </c>
      <c r="S155" s="739" t="str">
        <f t="shared" si="53"/>
        <v/>
      </c>
      <c r="T155" s="740" t="str">
        <f t="shared" si="54"/>
        <v/>
      </c>
      <c r="U155" s="275"/>
      <c r="V155" s="288"/>
      <c r="W155" s="288"/>
      <c r="X155" s="288"/>
      <c r="Y155" s="908">
        <f t="shared" si="55"/>
        <v>0</v>
      </c>
      <c r="Z155" s="986">
        <f>tab!$D$62</f>
        <v>0.6</v>
      </c>
      <c r="AA155" s="944">
        <f t="shared" si="56"/>
        <v>0</v>
      </c>
      <c r="AB155" s="944">
        <f t="shared" si="57"/>
        <v>0</v>
      </c>
      <c r="AC155" s="944">
        <f t="shared" si="58"/>
        <v>0</v>
      </c>
      <c r="AD155" s="943" t="e">
        <f t="shared" si="59"/>
        <v>#VALUE!</v>
      </c>
      <c r="AE155" s="943">
        <f t="shared" si="60"/>
        <v>0</v>
      </c>
      <c r="AF155" s="916">
        <f>IF(H155&gt;8,tab!$D$63,tab!$D$65)</f>
        <v>0.5</v>
      </c>
      <c r="AG155" s="925">
        <f t="shared" si="61"/>
        <v>0</v>
      </c>
      <c r="AH155" s="940">
        <f t="shared" si="62"/>
        <v>0</v>
      </c>
      <c r="AI155" s="924" t="e">
        <f>DATE(YEAR(tab!$G$3),MONTH(G155),DAY(G155))&gt;tab!$G$3</f>
        <v>#VALUE!</v>
      </c>
      <c r="AJ155" s="925" t="e">
        <f t="shared" si="63"/>
        <v>#VALUE!</v>
      </c>
      <c r="AK155" s="884">
        <f t="shared" si="64"/>
        <v>30</v>
      </c>
      <c r="AL155" s="884">
        <f t="shared" si="65"/>
        <v>30</v>
      </c>
      <c r="AM155" s="925">
        <f t="shared" si="66"/>
        <v>0</v>
      </c>
    </row>
    <row r="156" spans="2:40" ht="12.75" customHeight="1" x14ac:dyDescent="0.2">
      <c r="C156" s="69"/>
      <c r="D156" s="75" t="str">
        <f>IF(op!D89=0,"",op!D89)</f>
        <v/>
      </c>
      <c r="E156" s="75" t="str">
        <f>IF(op!E89=0,"",op!E89)</f>
        <v/>
      </c>
      <c r="F156" s="88" t="str">
        <f>IF(op!F89="","",op!F89+1)</f>
        <v/>
      </c>
      <c r="G156" s="290" t="str">
        <f>IF(op!G89="","",op!G89)</f>
        <v/>
      </c>
      <c r="H156" s="88" t="str">
        <f>IF(op!H89=0,"",op!H89)</f>
        <v/>
      </c>
      <c r="I156" s="99" t="str">
        <f>IF(J156="","",(IF(op!I89+1&gt;LOOKUP(H156,schaal2019,regels2019),op!I89,op!I89+1)))</f>
        <v/>
      </c>
      <c r="J156" s="291" t="str">
        <f>IF(op!J89="","",op!J89)</f>
        <v/>
      </c>
      <c r="K156" s="971"/>
      <c r="L156" s="859">
        <f t="shared" si="51"/>
        <v>0</v>
      </c>
      <c r="M156" s="859">
        <f t="shared" si="51"/>
        <v>0</v>
      </c>
      <c r="N156" s="867" t="str">
        <f t="shared" si="67"/>
        <v/>
      </c>
      <c r="O156" s="867" t="str">
        <f t="shared" si="68"/>
        <v/>
      </c>
      <c r="P156" s="953" t="str">
        <f t="shared" si="52"/>
        <v/>
      </c>
      <c r="Q156" s="70"/>
      <c r="R156" s="739" t="str">
        <f t="shared" si="69"/>
        <v/>
      </c>
      <c r="S156" s="739" t="str">
        <f t="shared" si="53"/>
        <v/>
      </c>
      <c r="T156" s="740" t="str">
        <f t="shared" si="54"/>
        <v/>
      </c>
      <c r="U156" s="275"/>
      <c r="V156" s="288"/>
      <c r="W156" s="288"/>
      <c r="X156" s="288"/>
      <c r="Y156" s="908">
        <f t="shared" si="55"/>
        <v>0</v>
      </c>
      <c r="Z156" s="986">
        <f>tab!$D$62</f>
        <v>0.6</v>
      </c>
      <c r="AA156" s="944">
        <f t="shared" si="56"/>
        <v>0</v>
      </c>
      <c r="AB156" s="944">
        <f t="shared" si="57"/>
        <v>0</v>
      </c>
      <c r="AC156" s="944">
        <f t="shared" si="58"/>
        <v>0</v>
      </c>
      <c r="AD156" s="943" t="e">
        <f t="shared" si="59"/>
        <v>#VALUE!</v>
      </c>
      <c r="AE156" s="943">
        <f t="shared" si="60"/>
        <v>0</v>
      </c>
      <c r="AF156" s="916">
        <f>IF(H156&gt;8,tab!$D$63,tab!$D$65)</f>
        <v>0.5</v>
      </c>
      <c r="AG156" s="925">
        <f t="shared" si="61"/>
        <v>0</v>
      </c>
      <c r="AH156" s="940">
        <f t="shared" si="62"/>
        <v>0</v>
      </c>
      <c r="AI156" s="924" t="e">
        <f>DATE(YEAR(tab!$G$3),MONTH(G156),DAY(G156))&gt;tab!$G$3</f>
        <v>#VALUE!</v>
      </c>
      <c r="AJ156" s="925" t="e">
        <f t="shared" si="63"/>
        <v>#VALUE!</v>
      </c>
      <c r="AK156" s="884">
        <f t="shared" si="64"/>
        <v>30</v>
      </c>
      <c r="AL156" s="884">
        <f t="shared" si="65"/>
        <v>30</v>
      </c>
      <c r="AM156" s="925">
        <f t="shared" si="66"/>
        <v>0</v>
      </c>
    </row>
    <row r="157" spans="2:40" ht="12.75" customHeight="1" x14ac:dyDescent="0.2">
      <c r="C157" s="69"/>
      <c r="D157" s="75" t="str">
        <f>IF(op!D90=0,"",op!D90)</f>
        <v/>
      </c>
      <c r="E157" s="75" t="str">
        <f>IF(op!E90=0,"",op!E90)</f>
        <v/>
      </c>
      <c r="F157" s="88" t="str">
        <f>IF(op!F90="","",op!F90+1)</f>
        <v/>
      </c>
      <c r="G157" s="290" t="str">
        <f>IF(op!G90="","",op!G90)</f>
        <v/>
      </c>
      <c r="H157" s="88" t="str">
        <f>IF(op!H90=0,"",op!H90)</f>
        <v/>
      </c>
      <c r="I157" s="99" t="str">
        <f>IF(J157="","",(IF(op!I90+1&gt;LOOKUP(H157,schaal2019,regels2019),op!I90,op!I90+1)))</f>
        <v/>
      </c>
      <c r="J157" s="291" t="str">
        <f>IF(op!J90="","",op!J90)</f>
        <v/>
      </c>
      <c r="K157" s="971"/>
      <c r="L157" s="859">
        <f t="shared" si="51"/>
        <v>0</v>
      </c>
      <c r="M157" s="859">
        <f t="shared" si="51"/>
        <v>0</v>
      </c>
      <c r="N157" s="867" t="str">
        <f t="shared" si="67"/>
        <v/>
      </c>
      <c r="O157" s="867" t="str">
        <f t="shared" si="68"/>
        <v/>
      </c>
      <c r="P157" s="953" t="str">
        <f t="shared" si="52"/>
        <v/>
      </c>
      <c r="Q157" s="70"/>
      <c r="R157" s="739" t="str">
        <f t="shared" si="69"/>
        <v/>
      </c>
      <c r="S157" s="739" t="str">
        <f t="shared" si="53"/>
        <v/>
      </c>
      <c r="T157" s="740" t="str">
        <f t="shared" si="54"/>
        <v/>
      </c>
      <c r="U157" s="275"/>
      <c r="V157" s="288"/>
      <c r="W157" s="288"/>
      <c r="X157" s="288"/>
      <c r="Y157" s="908">
        <f t="shared" si="55"/>
        <v>0</v>
      </c>
      <c r="Z157" s="986">
        <f>tab!$D$62</f>
        <v>0.6</v>
      </c>
      <c r="AA157" s="944">
        <f t="shared" si="56"/>
        <v>0</v>
      </c>
      <c r="AB157" s="944">
        <f t="shared" si="57"/>
        <v>0</v>
      </c>
      <c r="AC157" s="944">
        <f t="shared" si="58"/>
        <v>0</v>
      </c>
      <c r="AD157" s="943" t="e">
        <f t="shared" si="59"/>
        <v>#VALUE!</v>
      </c>
      <c r="AE157" s="943">
        <f t="shared" si="60"/>
        <v>0</v>
      </c>
      <c r="AF157" s="916">
        <f>IF(H157&gt;8,tab!$D$63,tab!$D$65)</f>
        <v>0.5</v>
      </c>
      <c r="AG157" s="925">
        <f t="shared" si="61"/>
        <v>0</v>
      </c>
      <c r="AH157" s="940">
        <f t="shared" si="62"/>
        <v>0</v>
      </c>
      <c r="AI157" s="924" t="e">
        <f>DATE(YEAR(tab!$G$3),MONTH(G157),DAY(G157))&gt;tab!$G$3</f>
        <v>#VALUE!</v>
      </c>
      <c r="AJ157" s="925" t="e">
        <f t="shared" si="63"/>
        <v>#VALUE!</v>
      </c>
      <c r="AK157" s="884">
        <f t="shared" si="64"/>
        <v>30</v>
      </c>
      <c r="AL157" s="884">
        <f t="shared" si="65"/>
        <v>30</v>
      </c>
      <c r="AM157" s="925">
        <f t="shared" si="66"/>
        <v>0</v>
      </c>
    </row>
    <row r="158" spans="2:40" ht="12.75" customHeight="1" x14ac:dyDescent="0.2">
      <c r="C158" s="69"/>
      <c r="D158" s="75" t="str">
        <f>IF(op!D91=0,"",op!D91)</f>
        <v/>
      </c>
      <c r="E158" s="75" t="str">
        <f>IF(op!E91=0,"",op!E91)</f>
        <v/>
      </c>
      <c r="F158" s="88" t="str">
        <f>IF(op!F91="","",op!F91+1)</f>
        <v/>
      </c>
      <c r="G158" s="290" t="str">
        <f>IF(op!G91="","",op!G91)</f>
        <v/>
      </c>
      <c r="H158" s="88" t="str">
        <f>IF(op!H91=0,"",op!H91)</f>
        <v/>
      </c>
      <c r="I158" s="99" t="str">
        <f>IF(J158="","",(IF(op!I91+1&gt;LOOKUP(H158,schaal2019,regels2019),op!I91,op!I91+1)))</f>
        <v/>
      </c>
      <c r="J158" s="291" t="str">
        <f>IF(op!J91="","",op!J91)</f>
        <v/>
      </c>
      <c r="K158" s="971"/>
      <c r="L158" s="859">
        <f t="shared" si="51"/>
        <v>0</v>
      </c>
      <c r="M158" s="859">
        <f t="shared" si="51"/>
        <v>0</v>
      </c>
      <c r="N158" s="867" t="str">
        <f t="shared" si="67"/>
        <v/>
      </c>
      <c r="O158" s="867" t="str">
        <f t="shared" si="68"/>
        <v/>
      </c>
      <c r="P158" s="953" t="str">
        <f t="shared" si="52"/>
        <v/>
      </c>
      <c r="Q158" s="70"/>
      <c r="R158" s="739" t="str">
        <f t="shared" si="69"/>
        <v/>
      </c>
      <c r="S158" s="739" t="str">
        <f t="shared" si="53"/>
        <v/>
      </c>
      <c r="T158" s="740" t="str">
        <f t="shared" si="54"/>
        <v/>
      </c>
      <c r="U158" s="275"/>
      <c r="V158" s="288"/>
      <c r="W158" s="288"/>
      <c r="X158" s="288"/>
      <c r="Y158" s="908">
        <f t="shared" si="55"/>
        <v>0</v>
      </c>
      <c r="Z158" s="986">
        <f>tab!$D$62</f>
        <v>0.6</v>
      </c>
      <c r="AA158" s="944">
        <f t="shared" si="56"/>
        <v>0</v>
      </c>
      <c r="AB158" s="944">
        <f t="shared" si="57"/>
        <v>0</v>
      </c>
      <c r="AC158" s="944">
        <f t="shared" si="58"/>
        <v>0</v>
      </c>
      <c r="AD158" s="943" t="e">
        <f t="shared" si="59"/>
        <v>#VALUE!</v>
      </c>
      <c r="AE158" s="943">
        <f t="shared" si="60"/>
        <v>0</v>
      </c>
      <c r="AF158" s="916">
        <f>IF(H158&gt;8,tab!$D$63,tab!$D$65)</f>
        <v>0.5</v>
      </c>
      <c r="AG158" s="925">
        <f t="shared" si="61"/>
        <v>0</v>
      </c>
      <c r="AH158" s="940">
        <f t="shared" si="62"/>
        <v>0</v>
      </c>
      <c r="AI158" s="924" t="e">
        <f>DATE(YEAR(tab!$G$3),MONTH(G158),DAY(G158))&gt;tab!$G$3</f>
        <v>#VALUE!</v>
      </c>
      <c r="AJ158" s="925" t="e">
        <f t="shared" si="63"/>
        <v>#VALUE!</v>
      </c>
      <c r="AK158" s="884">
        <f t="shared" si="64"/>
        <v>30</v>
      </c>
      <c r="AL158" s="884">
        <f t="shared" si="65"/>
        <v>30</v>
      </c>
      <c r="AM158" s="925">
        <f t="shared" si="66"/>
        <v>0</v>
      </c>
    </row>
    <row r="159" spans="2:40" ht="12.75" customHeight="1" x14ac:dyDescent="0.2">
      <c r="C159" s="69"/>
      <c r="D159" s="75" t="str">
        <f>IF(op!D92=0,"",op!D92)</f>
        <v/>
      </c>
      <c r="E159" s="75" t="str">
        <f>IF(op!E92=0,"",op!E92)</f>
        <v/>
      </c>
      <c r="F159" s="88" t="str">
        <f>IF(op!F92="","",op!F92+1)</f>
        <v/>
      </c>
      <c r="G159" s="290" t="str">
        <f>IF(op!G92="","",op!G92)</f>
        <v/>
      </c>
      <c r="H159" s="88" t="str">
        <f>IF(op!H92=0,"",op!H92)</f>
        <v/>
      </c>
      <c r="I159" s="99" t="str">
        <f>IF(J159="","",(IF(op!I92+1&gt;LOOKUP(H159,schaal2019,regels2019),op!I92,op!I92+1)))</f>
        <v/>
      </c>
      <c r="J159" s="291" t="str">
        <f>IF(op!J92="","",op!J92)</f>
        <v/>
      </c>
      <c r="K159" s="971"/>
      <c r="L159" s="859">
        <f t="shared" si="51"/>
        <v>0</v>
      </c>
      <c r="M159" s="859">
        <f t="shared" si="51"/>
        <v>0</v>
      </c>
      <c r="N159" s="867" t="str">
        <f t="shared" si="67"/>
        <v/>
      </c>
      <c r="O159" s="867" t="str">
        <f t="shared" si="68"/>
        <v/>
      </c>
      <c r="P159" s="953" t="str">
        <f t="shared" si="52"/>
        <v/>
      </c>
      <c r="Q159" s="70"/>
      <c r="R159" s="739" t="str">
        <f t="shared" si="69"/>
        <v/>
      </c>
      <c r="S159" s="739" t="str">
        <f t="shared" si="53"/>
        <v/>
      </c>
      <c r="T159" s="740" t="str">
        <f t="shared" si="54"/>
        <v/>
      </c>
      <c r="U159" s="275"/>
      <c r="V159" s="288"/>
      <c r="W159" s="288"/>
      <c r="X159" s="288"/>
      <c r="Y159" s="908">
        <f t="shared" si="55"/>
        <v>0</v>
      </c>
      <c r="Z159" s="986">
        <f>tab!$D$62</f>
        <v>0.6</v>
      </c>
      <c r="AA159" s="944">
        <f t="shared" si="56"/>
        <v>0</v>
      </c>
      <c r="AB159" s="944">
        <f t="shared" si="57"/>
        <v>0</v>
      </c>
      <c r="AC159" s="944">
        <f t="shared" si="58"/>
        <v>0</v>
      </c>
      <c r="AD159" s="943" t="e">
        <f t="shared" si="59"/>
        <v>#VALUE!</v>
      </c>
      <c r="AE159" s="943">
        <f t="shared" si="60"/>
        <v>0</v>
      </c>
      <c r="AF159" s="916">
        <f>IF(H159&gt;8,tab!$D$63,tab!$D$65)</f>
        <v>0.5</v>
      </c>
      <c r="AG159" s="925">
        <f t="shared" si="61"/>
        <v>0</v>
      </c>
      <c r="AH159" s="940">
        <f t="shared" si="62"/>
        <v>0</v>
      </c>
      <c r="AI159" s="924" t="e">
        <f>DATE(YEAR(tab!$G$3),MONTH(G159),DAY(G159))&gt;tab!$G$3</f>
        <v>#VALUE!</v>
      </c>
      <c r="AJ159" s="925" t="e">
        <f t="shared" si="63"/>
        <v>#VALUE!</v>
      </c>
      <c r="AK159" s="884">
        <f t="shared" si="64"/>
        <v>30</v>
      </c>
      <c r="AL159" s="884">
        <f t="shared" si="65"/>
        <v>30</v>
      </c>
      <c r="AM159" s="925">
        <f t="shared" si="66"/>
        <v>0</v>
      </c>
    </row>
    <row r="160" spans="2:40" ht="12.75" customHeight="1" x14ac:dyDescent="0.2">
      <c r="C160" s="69"/>
      <c r="D160" s="75" t="str">
        <f>IF(op!D93=0,"",op!D93)</f>
        <v/>
      </c>
      <c r="E160" s="75" t="str">
        <f>IF(op!E93=0,"",op!E93)</f>
        <v/>
      </c>
      <c r="F160" s="88" t="str">
        <f>IF(op!F93="","",op!F93+1)</f>
        <v/>
      </c>
      <c r="G160" s="290" t="str">
        <f>IF(op!G93="","",op!G93)</f>
        <v/>
      </c>
      <c r="H160" s="88" t="str">
        <f>IF(op!H93=0,"",op!H93)</f>
        <v/>
      </c>
      <c r="I160" s="99" t="str">
        <f>IF(J160="","",(IF(op!I93+1&gt;LOOKUP(H160,schaal2019,regels2019),op!I93,op!I93+1)))</f>
        <v/>
      </c>
      <c r="J160" s="291" t="str">
        <f>IF(op!J93="","",op!J93)</f>
        <v/>
      </c>
      <c r="K160" s="971"/>
      <c r="L160" s="859">
        <f t="shared" si="51"/>
        <v>0</v>
      </c>
      <c r="M160" s="859">
        <f t="shared" si="51"/>
        <v>0</v>
      </c>
      <c r="N160" s="867" t="str">
        <f t="shared" si="67"/>
        <v/>
      </c>
      <c r="O160" s="867" t="str">
        <f t="shared" si="68"/>
        <v/>
      </c>
      <c r="P160" s="953" t="str">
        <f t="shared" si="52"/>
        <v/>
      </c>
      <c r="Q160" s="70"/>
      <c r="R160" s="739" t="str">
        <f t="shared" si="69"/>
        <v/>
      </c>
      <c r="S160" s="739" t="str">
        <f t="shared" si="53"/>
        <v/>
      </c>
      <c r="T160" s="740" t="str">
        <f t="shared" si="54"/>
        <v/>
      </c>
      <c r="U160" s="275"/>
      <c r="V160" s="288"/>
      <c r="W160" s="288"/>
      <c r="X160" s="288"/>
      <c r="Y160" s="908">
        <f t="shared" si="55"/>
        <v>0</v>
      </c>
      <c r="Z160" s="986">
        <f>tab!$D$62</f>
        <v>0.6</v>
      </c>
      <c r="AA160" s="944">
        <f t="shared" si="56"/>
        <v>0</v>
      </c>
      <c r="AB160" s="944">
        <f t="shared" si="57"/>
        <v>0</v>
      </c>
      <c r="AC160" s="944">
        <f t="shared" si="58"/>
        <v>0</v>
      </c>
      <c r="AD160" s="943" t="e">
        <f t="shared" si="59"/>
        <v>#VALUE!</v>
      </c>
      <c r="AE160" s="943">
        <f t="shared" si="60"/>
        <v>0</v>
      </c>
      <c r="AF160" s="916">
        <f>IF(H160&gt;8,tab!$D$63,tab!$D$65)</f>
        <v>0.5</v>
      </c>
      <c r="AG160" s="925">
        <f t="shared" si="61"/>
        <v>0</v>
      </c>
      <c r="AH160" s="940">
        <f t="shared" si="62"/>
        <v>0</v>
      </c>
      <c r="AI160" s="924" t="e">
        <f>DATE(YEAR(tab!$G$3),MONTH(G160),DAY(G160))&gt;tab!$G$3</f>
        <v>#VALUE!</v>
      </c>
      <c r="AJ160" s="925" t="e">
        <f t="shared" si="63"/>
        <v>#VALUE!</v>
      </c>
      <c r="AK160" s="884">
        <f t="shared" si="64"/>
        <v>30</v>
      </c>
      <c r="AL160" s="884">
        <f t="shared" si="65"/>
        <v>30</v>
      </c>
      <c r="AM160" s="925">
        <f t="shared" si="66"/>
        <v>0</v>
      </c>
    </row>
    <row r="161" spans="3:39" ht="12.75" customHeight="1" x14ac:dyDescent="0.2">
      <c r="C161" s="69"/>
      <c r="D161" s="75" t="str">
        <f>IF(op!D94=0,"",op!D94)</f>
        <v/>
      </c>
      <c r="E161" s="75" t="str">
        <f>IF(op!E94=0,"",op!E94)</f>
        <v/>
      </c>
      <c r="F161" s="88" t="str">
        <f>IF(op!F94="","",op!F94+1)</f>
        <v/>
      </c>
      <c r="G161" s="290" t="str">
        <f>IF(op!G94="","",op!G94)</f>
        <v/>
      </c>
      <c r="H161" s="88" t="str">
        <f>IF(op!H94=0,"",op!H94)</f>
        <v/>
      </c>
      <c r="I161" s="99" t="str">
        <f>IF(J161="","",(IF(op!I94+1&gt;LOOKUP(H161,schaal2019,regels2019),op!I94,op!I94+1)))</f>
        <v/>
      </c>
      <c r="J161" s="291" t="str">
        <f>IF(op!J94="","",op!J94)</f>
        <v/>
      </c>
      <c r="K161" s="971"/>
      <c r="L161" s="859">
        <f t="shared" si="51"/>
        <v>0</v>
      </c>
      <c r="M161" s="859">
        <f t="shared" si="51"/>
        <v>0</v>
      </c>
      <c r="N161" s="867" t="str">
        <f t="shared" si="67"/>
        <v/>
      </c>
      <c r="O161" s="867" t="str">
        <f t="shared" si="68"/>
        <v/>
      </c>
      <c r="P161" s="953" t="str">
        <f t="shared" si="52"/>
        <v/>
      </c>
      <c r="Q161" s="70"/>
      <c r="R161" s="739" t="str">
        <f t="shared" si="69"/>
        <v/>
      </c>
      <c r="S161" s="739" t="str">
        <f t="shared" si="53"/>
        <v/>
      </c>
      <c r="T161" s="740" t="str">
        <f t="shared" si="54"/>
        <v/>
      </c>
      <c r="U161" s="275"/>
      <c r="V161" s="288"/>
      <c r="W161" s="288"/>
      <c r="X161" s="288"/>
      <c r="Y161" s="908">
        <f t="shared" si="55"/>
        <v>0</v>
      </c>
      <c r="Z161" s="986">
        <f>tab!$D$62</f>
        <v>0.6</v>
      </c>
      <c r="AA161" s="944">
        <f t="shared" si="56"/>
        <v>0</v>
      </c>
      <c r="AB161" s="944">
        <f t="shared" si="57"/>
        <v>0</v>
      </c>
      <c r="AC161" s="944">
        <f t="shared" si="58"/>
        <v>0</v>
      </c>
      <c r="AD161" s="943" t="e">
        <f t="shared" si="59"/>
        <v>#VALUE!</v>
      </c>
      <c r="AE161" s="943">
        <f t="shared" si="60"/>
        <v>0</v>
      </c>
      <c r="AF161" s="916">
        <f>IF(H161&gt;8,tab!$D$63,tab!$D$65)</f>
        <v>0.5</v>
      </c>
      <c r="AG161" s="925">
        <f t="shared" si="61"/>
        <v>0</v>
      </c>
      <c r="AH161" s="940">
        <f t="shared" si="62"/>
        <v>0</v>
      </c>
      <c r="AI161" s="924" t="e">
        <f>DATE(YEAR(tab!$G$3),MONTH(G161),DAY(G161))&gt;tab!$G$3</f>
        <v>#VALUE!</v>
      </c>
      <c r="AJ161" s="925" t="e">
        <f t="shared" si="63"/>
        <v>#VALUE!</v>
      </c>
      <c r="AK161" s="884">
        <f t="shared" si="64"/>
        <v>30</v>
      </c>
      <c r="AL161" s="884">
        <f t="shared" si="65"/>
        <v>30</v>
      </c>
      <c r="AM161" s="925">
        <f t="shared" si="66"/>
        <v>0</v>
      </c>
    </row>
    <row r="162" spans="3:39" ht="12.75" customHeight="1" x14ac:dyDescent="0.2">
      <c r="C162" s="69"/>
      <c r="D162" s="75" t="str">
        <f>IF(op!D95=0,"",op!D95)</f>
        <v/>
      </c>
      <c r="E162" s="75" t="str">
        <f>IF(op!E95=0,"",op!E95)</f>
        <v/>
      </c>
      <c r="F162" s="88" t="str">
        <f>IF(op!F95="","",op!F95+1)</f>
        <v/>
      </c>
      <c r="G162" s="290" t="str">
        <f>IF(op!G95="","",op!G95)</f>
        <v/>
      </c>
      <c r="H162" s="88" t="str">
        <f>IF(op!H95=0,"",op!H95)</f>
        <v/>
      </c>
      <c r="I162" s="99" t="str">
        <f>IF(J162="","",(IF(op!I95+1&gt;LOOKUP(H162,schaal2019,regels2019),op!I95,op!I95+1)))</f>
        <v/>
      </c>
      <c r="J162" s="291" t="str">
        <f>IF(op!J95="","",op!J95)</f>
        <v/>
      </c>
      <c r="K162" s="971"/>
      <c r="L162" s="859">
        <f t="shared" si="51"/>
        <v>0</v>
      </c>
      <c r="M162" s="859">
        <f t="shared" si="51"/>
        <v>0</v>
      </c>
      <c r="N162" s="867" t="str">
        <f t="shared" si="67"/>
        <v/>
      </c>
      <c r="O162" s="867" t="str">
        <f t="shared" si="68"/>
        <v/>
      </c>
      <c r="P162" s="953" t="str">
        <f t="shared" si="52"/>
        <v/>
      </c>
      <c r="Q162" s="70"/>
      <c r="R162" s="739" t="str">
        <f t="shared" si="69"/>
        <v/>
      </c>
      <c r="S162" s="739" t="str">
        <f t="shared" si="53"/>
        <v/>
      </c>
      <c r="T162" s="740" t="str">
        <f t="shared" si="54"/>
        <v/>
      </c>
      <c r="U162" s="275"/>
      <c r="V162" s="288"/>
      <c r="W162" s="288"/>
      <c r="X162" s="288"/>
      <c r="Y162" s="908">
        <f t="shared" si="55"/>
        <v>0</v>
      </c>
      <c r="Z162" s="986">
        <f>tab!$D$62</f>
        <v>0.6</v>
      </c>
      <c r="AA162" s="944">
        <f t="shared" si="56"/>
        <v>0</v>
      </c>
      <c r="AB162" s="944">
        <f t="shared" si="57"/>
        <v>0</v>
      </c>
      <c r="AC162" s="944">
        <f t="shared" si="58"/>
        <v>0</v>
      </c>
      <c r="AD162" s="943" t="e">
        <f t="shared" si="59"/>
        <v>#VALUE!</v>
      </c>
      <c r="AE162" s="943">
        <f t="shared" si="60"/>
        <v>0</v>
      </c>
      <c r="AF162" s="916">
        <f>IF(H162&gt;8,tab!$D$63,tab!$D$65)</f>
        <v>0.5</v>
      </c>
      <c r="AG162" s="925">
        <f t="shared" si="61"/>
        <v>0</v>
      </c>
      <c r="AH162" s="940">
        <f t="shared" si="62"/>
        <v>0</v>
      </c>
      <c r="AI162" s="924" t="e">
        <f>DATE(YEAR(tab!$G$3),MONTH(G162),DAY(G162))&gt;tab!$G$3</f>
        <v>#VALUE!</v>
      </c>
      <c r="AJ162" s="925" t="e">
        <f t="shared" si="63"/>
        <v>#VALUE!</v>
      </c>
      <c r="AK162" s="884">
        <f t="shared" si="64"/>
        <v>30</v>
      </c>
      <c r="AL162" s="884">
        <f t="shared" si="65"/>
        <v>30</v>
      </c>
      <c r="AM162" s="925">
        <f t="shared" si="66"/>
        <v>0</v>
      </c>
    </row>
    <row r="163" spans="3:39" ht="12.75" customHeight="1" x14ac:dyDescent="0.2">
      <c r="C163" s="69"/>
      <c r="D163" s="75" t="str">
        <f>IF(op!D96=0,"",op!D96)</f>
        <v/>
      </c>
      <c r="E163" s="75" t="str">
        <f>IF(op!E96=0,"",op!E96)</f>
        <v/>
      </c>
      <c r="F163" s="88" t="str">
        <f>IF(op!F96="","",op!F96+1)</f>
        <v/>
      </c>
      <c r="G163" s="290" t="str">
        <f>IF(op!G96="","",op!G96)</f>
        <v/>
      </c>
      <c r="H163" s="88" t="str">
        <f>IF(op!H96=0,"",op!H96)</f>
        <v/>
      </c>
      <c r="I163" s="99" t="str">
        <f>IF(J163="","",(IF(op!I96+1&gt;LOOKUP(H163,schaal2019,regels2019),op!I96,op!I96+1)))</f>
        <v/>
      </c>
      <c r="J163" s="291" t="str">
        <f>IF(op!J96="","",op!J96)</f>
        <v/>
      </c>
      <c r="K163" s="971"/>
      <c r="L163" s="859">
        <f t="shared" si="51"/>
        <v>0</v>
      </c>
      <c r="M163" s="859">
        <f t="shared" si="51"/>
        <v>0</v>
      </c>
      <c r="N163" s="867" t="str">
        <f t="shared" si="67"/>
        <v/>
      </c>
      <c r="O163" s="867" t="str">
        <f t="shared" si="68"/>
        <v/>
      </c>
      <c r="P163" s="953" t="str">
        <f t="shared" si="52"/>
        <v/>
      </c>
      <c r="Q163" s="70"/>
      <c r="R163" s="739" t="str">
        <f t="shared" si="69"/>
        <v/>
      </c>
      <c r="S163" s="739" t="str">
        <f t="shared" si="53"/>
        <v/>
      </c>
      <c r="T163" s="740" t="str">
        <f t="shared" si="54"/>
        <v/>
      </c>
      <c r="U163" s="275"/>
      <c r="V163" s="288"/>
      <c r="W163" s="288"/>
      <c r="X163" s="288"/>
      <c r="Y163" s="908">
        <f t="shared" si="55"/>
        <v>0</v>
      </c>
      <c r="Z163" s="986">
        <f>tab!$D$62</f>
        <v>0.6</v>
      </c>
      <c r="AA163" s="944">
        <f t="shared" si="56"/>
        <v>0</v>
      </c>
      <c r="AB163" s="944">
        <f t="shared" si="57"/>
        <v>0</v>
      </c>
      <c r="AC163" s="944">
        <f t="shared" si="58"/>
        <v>0</v>
      </c>
      <c r="AD163" s="943" t="e">
        <f t="shared" si="59"/>
        <v>#VALUE!</v>
      </c>
      <c r="AE163" s="943">
        <f t="shared" si="60"/>
        <v>0</v>
      </c>
      <c r="AF163" s="916">
        <f>IF(H163&gt;8,tab!$D$63,tab!$D$65)</f>
        <v>0.5</v>
      </c>
      <c r="AG163" s="925">
        <f t="shared" si="61"/>
        <v>0</v>
      </c>
      <c r="AH163" s="940">
        <f t="shared" si="62"/>
        <v>0</v>
      </c>
      <c r="AI163" s="924" t="e">
        <f>DATE(YEAR(tab!$G$3),MONTH(G163),DAY(G163))&gt;tab!$G$3</f>
        <v>#VALUE!</v>
      </c>
      <c r="AJ163" s="925" t="e">
        <f t="shared" si="63"/>
        <v>#VALUE!</v>
      </c>
      <c r="AK163" s="884">
        <f t="shared" si="64"/>
        <v>30</v>
      </c>
      <c r="AL163" s="884">
        <f t="shared" si="65"/>
        <v>30</v>
      </c>
      <c r="AM163" s="925">
        <f t="shared" si="66"/>
        <v>0</v>
      </c>
    </row>
    <row r="164" spans="3:39" ht="12.75" customHeight="1" x14ac:dyDescent="0.2">
      <c r="C164" s="69"/>
      <c r="D164" s="75" t="str">
        <f>IF(op!D97=0,"",op!D97)</f>
        <v/>
      </c>
      <c r="E164" s="75" t="str">
        <f>IF(op!E97=0,"",op!E97)</f>
        <v/>
      </c>
      <c r="F164" s="88" t="str">
        <f>IF(op!F97="","",op!F97+1)</f>
        <v/>
      </c>
      <c r="G164" s="290" t="str">
        <f>IF(op!G97="","",op!G97)</f>
        <v/>
      </c>
      <c r="H164" s="88" t="str">
        <f>IF(op!H97=0,"",op!H97)</f>
        <v/>
      </c>
      <c r="I164" s="99" t="str">
        <f>IF(J164="","",(IF(op!I97+1&gt;LOOKUP(H164,schaal2019,regels2019),op!I97,op!I97+1)))</f>
        <v/>
      </c>
      <c r="J164" s="291" t="str">
        <f>IF(op!J97="","",op!J97)</f>
        <v/>
      </c>
      <c r="K164" s="971"/>
      <c r="L164" s="859">
        <f t="shared" si="51"/>
        <v>0</v>
      </c>
      <c r="M164" s="859">
        <f t="shared" si="51"/>
        <v>0</v>
      </c>
      <c r="N164" s="867" t="str">
        <f t="shared" si="67"/>
        <v/>
      </c>
      <c r="O164" s="867" t="str">
        <f t="shared" si="68"/>
        <v/>
      </c>
      <c r="P164" s="953" t="str">
        <f t="shared" si="52"/>
        <v/>
      </c>
      <c r="Q164" s="70"/>
      <c r="R164" s="739" t="str">
        <f t="shared" si="69"/>
        <v/>
      </c>
      <c r="S164" s="739" t="str">
        <f t="shared" si="53"/>
        <v/>
      </c>
      <c r="T164" s="740" t="str">
        <f t="shared" si="54"/>
        <v/>
      </c>
      <c r="U164" s="275"/>
      <c r="V164" s="288"/>
      <c r="W164" s="288"/>
      <c r="X164" s="288"/>
      <c r="Y164" s="908">
        <f t="shared" si="55"/>
        <v>0</v>
      </c>
      <c r="Z164" s="986">
        <f>tab!$D$62</f>
        <v>0.6</v>
      </c>
      <c r="AA164" s="944">
        <f t="shared" si="56"/>
        <v>0</v>
      </c>
      <c r="AB164" s="944">
        <f t="shared" si="57"/>
        <v>0</v>
      </c>
      <c r="AC164" s="944">
        <f t="shared" si="58"/>
        <v>0</v>
      </c>
      <c r="AD164" s="943" t="e">
        <f t="shared" si="59"/>
        <v>#VALUE!</v>
      </c>
      <c r="AE164" s="943">
        <f t="shared" si="60"/>
        <v>0</v>
      </c>
      <c r="AF164" s="916">
        <f>IF(H164&gt;8,tab!$D$63,tab!$D$65)</f>
        <v>0.5</v>
      </c>
      <c r="AG164" s="925">
        <f t="shared" si="61"/>
        <v>0</v>
      </c>
      <c r="AH164" s="940">
        <f t="shared" si="62"/>
        <v>0</v>
      </c>
      <c r="AI164" s="924" t="e">
        <f>DATE(YEAR(tab!$G$3),MONTH(G164),DAY(G164))&gt;tab!$G$3</f>
        <v>#VALUE!</v>
      </c>
      <c r="AJ164" s="925" t="e">
        <f t="shared" si="63"/>
        <v>#VALUE!</v>
      </c>
      <c r="AK164" s="884">
        <f t="shared" si="64"/>
        <v>30</v>
      </c>
      <c r="AL164" s="884">
        <f t="shared" si="65"/>
        <v>30</v>
      </c>
      <c r="AM164" s="925">
        <f t="shared" si="66"/>
        <v>0</v>
      </c>
    </row>
    <row r="165" spans="3:39" ht="12.75" customHeight="1" x14ac:dyDescent="0.2">
      <c r="C165" s="69"/>
      <c r="D165" s="75" t="str">
        <f>IF(op!D98=0,"",op!D98)</f>
        <v/>
      </c>
      <c r="E165" s="75" t="str">
        <f>IF(op!E98=0,"",op!E98)</f>
        <v/>
      </c>
      <c r="F165" s="88" t="str">
        <f>IF(op!F98="","",op!F98+1)</f>
        <v/>
      </c>
      <c r="G165" s="290" t="str">
        <f>IF(op!G98="","",op!G98)</f>
        <v/>
      </c>
      <c r="H165" s="88" t="str">
        <f>IF(op!H98=0,"",op!H98)</f>
        <v/>
      </c>
      <c r="I165" s="99" t="str">
        <f>IF(J165="","",(IF(op!I98+1&gt;LOOKUP(H165,schaal2019,regels2019),op!I98,op!I98+1)))</f>
        <v/>
      </c>
      <c r="J165" s="291" t="str">
        <f>IF(op!J98="","",op!J98)</f>
        <v/>
      </c>
      <c r="K165" s="971"/>
      <c r="L165" s="859">
        <f t="shared" si="51"/>
        <v>0</v>
      </c>
      <c r="M165" s="859">
        <f t="shared" si="51"/>
        <v>0</v>
      </c>
      <c r="N165" s="867" t="str">
        <f t="shared" si="67"/>
        <v/>
      </c>
      <c r="O165" s="867" t="str">
        <f t="shared" si="68"/>
        <v/>
      </c>
      <c r="P165" s="953" t="str">
        <f t="shared" si="52"/>
        <v/>
      </c>
      <c r="Q165" s="70"/>
      <c r="R165" s="739" t="str">
        <f t="shared" si="69"/>
        <v/>
      </c>
      <c r="S165" s="739" t="str">
        <f t="shared" si="53"/>
        <v/>
      </c>
      <c r="T165" s="740" t="str">
        <f t="shared" si="54"/>
        <v/>
      </c>
      <c r="U165" s="275"/>
      <c r="V165" s="288"/>
      <c r="W165" s="288"/>
      <c r="X165" s="288"/>
      <c r="Y165" s="908">
        <f t="shared" si="55"/>
        <v>0</v>
      </c>
      <c r="Z165" s="986">
        <f>tab!$D$62</f>
        <v>0.6</v>
      </c>
      <c r="AA165" s="944">
        <f t="shared" si="56"/>
        <v>0</v>
      </c>
      <c r="AB165" s="944">
        <f t="shared" si="57"/>
        <v>0</v>
      </c>
      <c r="AC165" s="944">
        <f t="shared" si="58"/>
        <v>0</v>
      </c>
      <c r="AD165" s="943" t="e">
        <f t="shared" si="59"/>
        <v>#VALUE!</v>
      </c>
      <c r="AE165" s="943">
        <f t="shared" si="60"/>
        <v>0</v>
      </c>
      <c r="AF165" s="916">
        <f>IF(H165&gt;8,tab!$D$63,tab!$D$65)</f>
        <v>0.5</v>
      </c>
      <c r="AG165" s="925">
        <f t="shared" si="61"/>
        <v>0</v>
      </c>
      <c r="AH165" s="940">
        <f t="shared" si="62"/>
        <v>0</v>
      </c>
      <c r="AI165" s="924" t="e">
        <f>DATE(YEAR(tab!$G$3),MONTH(G165),DAY(G165))&gt;tab!$G$3</f>
        <v>#VALUE!</v>
      </c>
      <c r="AJ165" s="925" t="e">
        <f t="shared" si="63"/>
        <v>#VALUE!</v>
      </c>
      <c r="AK165" s="884">
        <f t="shared" si="64"/>
        <v>30</v>
      </c>
      <c r="AL165" s="884">
        <f t="shared" si="65"/>
        <v>30</v>
      </c>
      <c r="AM165" s="925">
        <f t="shared" si="66"/>
        <v>0</v>
      </c>
    </row>
    <row r="166" spans="3:39" ht="12.75" customHeight="1" x14ac:dyDescent="0.2">
      <c r="C166" s="69"/>
      <c r="D166" s="75" t="str">
        <f>IF(op!D99=0,"",op!D99)</f>
        <v/>
      </c>
      <c r="E166" s="75" t="str">
        <f>IF(op!E99=0,"",op!E99)</f>
        <v/>
      </c>
      <c r="F166" s="88" t="str">
        <f>IF(op!F99="","",op!F99+1)</f>
        <v/>
      </c>
      <c r="G166" s="290" t="str">
        <f>IF(op!G99="","",op!G99)</f>
        <v/>
      </c>
      <c r="H166" s="88" t="str">
        <f>IF(op!H99=0,"",op!H99)</f>
        <v/>
      </c>
      <c r="I166" s="99" t="str">
        <f>IF(J166="","",(IF(op!I99+1&gt;LOOKUP(H166,schaal2019,regels2019),op!I99,op!I99+1)))</f>
        <v/>
      </c>
      <c r="J166" s="291" t="str">
        <f>IF(op!J99="","",op!J99)</f>
        <v/>
      </c>
      <c r="K166" s="971"/>
      <c r="L166" s="859">
        <f t="shared" si="51"/>
        <v>0</v>
      </c>
      <c r="M166" s="859">
        <f t="shared" si="51"/>
        <v>0</v>
      </c>
      <c r="N166" s="867" t="str">
        <f t="shared" si="67"/>
        <v/>
      </c>
      <c r="O166" s="867" t="str">
        <f t="shared" si="68"/>
        <v/>
      </c>
      <c r="P166" s="953" t="str">
        <f t="shared" si="52"/>
        <v/>
      </c>
      <c r="Q166" s="70"/>
      <c r="R166" s="739" t="str">
        <f t="shared" si="69"/>
        <v/>
      </c>
      <c r="S166" s="739" t="str">
        <f t="shared" si="53"/>
        <v/>
      </c>
      <c r="T166" s="740" t="str">
        <f t="shared" si="54"/>
        <v/>
      </c>
      <c r="U166" s="275"/>
      <c r="V166" s="288"/>
      <c r="W166" s="288"/>
      <c r="X166" s="288"/>
      <c r="Y166" s="908">
        <f t="shared" si="55"/>
        <v>0</v>
      </c>
      <c r="Z166" s="986">
        <f>tab!$D$62</f>
        <v>0.6</v>
      </c>
      <c r="AA166" s="944">
        <f t="shared" si="56"/>
        <v>0</v>
      </c>
      <c r="AB166" s="944">
        <f t="shared" si="57"/>
        <v>0</v>
      </c>
      <c r="AC166" s="944">
        <f t="shared" si="58"/>
        <v>0</v>
      </c>
      <c r="AD166" s="943" t="e">
        <f t="shared" si="59"/>
        <v>#VALUE!</v>
      </c>
      <c r="AE166" s="943">
        <f t="shared" si="60"/>
        <v>0</v>
      </c>
      <c r="AF166" s="916">
        <f>IF(H166&gt;8,tab!$D$63,tab!$D$65)</f>
        <v>0.5</v>
      </c>
      <c r="AG166" s="925">
        <f t="shared" si="61"/>
        <v>0</v>
      </c>
      <c r="AH166" s="940">
        <f t="shared" si="62"/>
        <v>0</v>
      </c>
      <c r="AI166" s="924" t="e">
        <f>DATE(YEAR(tab!$G$3),MONTH(G166),DAY(G166))&gt;tab!$G$3</f>
        <v>#VALUE!</v>
      </c>
      <c r="AJ166" s="925" t="e">
        <f t="shared" si="63"/>
        <v>#VALUE!</v>
      </c>
      <c r="AK166" s="884">
        <f t="shared" si="64"/>
        <v>30</v>
      </c>
      <c r="AL166" s="884">
        <f t="shared" si="65"/>
        <v>30</v>
      </c>
      <c r="AM166" s="925">
        <f t="shared" si="66"/>
        <v>0</v>
      </c>
    </row>
    <row r="167" spans="3:39" ht="12.75" customHeight="1" x14ac:dyDescent="0.2">
      <c r="C167" s="69"/>
      <c r="D167" s="75" t="str">
        <f>IF(op!D100=0,"",op!D100)</f>
        <v/>
      </c>
      <c r="E167" s="75" t="str">
        <f>IF(op!E100=0,"",op!E100)</f>
        <v/>
      </c>
      <c r="F167" s="88" t="str">
        <f>IF(op!F100="","",op!F100+1)</f>
        <v/>
      </c>
      <c r="G167" s="290" t="str">
        <f>IF(op!G100="","",op!G100)</f>
        <v/>
      </c>
      <c r="H167" s="88" t="str">
        <f>IF(op!H100=0,"",op!H100)</f>
        <v/>
      </c>
      <c r="I167" s="99" t="str">
        <f>IF(J167="","",(IF(op!I100+1&gt;LOOKUP(H167,schaal2019,regels2019),op!I100,op!I100+1)))</f>
        <v/>
      </c>
      <c r="J167" s="291" t="str">
        <f>IF(op!J100="","",op!J100)</f>
        <v/>
      </c>
      <c r="K167" s="971"/>
      <c r="L167" s="859">
        <f t="shared" si="51"/>
        <v>0</v>
      </c>
      <c r="M167" s="859">
        <f t="shared" si="51"/>
        <v>0</v>
      </c>
      <c r="N167" s="867" t="str">
        <f t="shared" si="67"/>
        <v/>
      </c>
      <c r="O167" s="867" t="str">
        <f t="shared" si="68"/>
        <v/>
      </c>
      <c r="P167" s="953" t="str">
        <f t="shared" si="52"/>
        <v/>
      </c>
      <c r="Q167" s="70"/>
      <c r="R167" s="739" t="str">
        <f t="shared" si="69"/>
        <v/>
      </c>
      <c r="S167" s="739" t="str">
        <f t="shared" si="53"/>
        <v/>
      </c>
      <c r="T167" s="740" t="str">
        <f t="shared" si="54"/>
        <v/>
      </c>
      <c r="U167" s="275"/>
      <c r="V167" s="288"/>
      <c r="W167" s="288"/>
      <c r="X167" s="288"/>
      <c r="Y167" s="908">
        <f t="shared" si="55"/>
        <v>0</v>
      </c>
      <c r="Z167" s="986">
        <f>tab!$D$62</f>
        <v>0.6</v>
      </c>
      <c r="AA167" s="944">
        <f t="shared" si="56"/>
        <v>0</v>
      </c>
      <c r="AB167" s="944">
        <f t="shared" si="57"/>
        <v>0</v>
      </c>
      <c r="AC167" s="944">
        <f t="shared" si="58"/>
        <v>0</v>
      </c>
      <c r="AD167" s="943" t="e">
        <f t="shared" si="59"/>
        <v>#VALUE!</v>
      </c>
      <c r="AE167" s="943">
        <f t="shared" si="60"/>
        <v>0</v>
      </c>
      <c r="AF167" s="916">
        <f>IF(H167&gt;8,tab!$D$63,tab!$D$65)</f>
        <v>0.5</v>
      </c>
      <c r="AG167" s="925">
        <f t="shared" si="61"/>
        <v>0</v>
      </c>
      <c r="AH167" s="940">
        <f t="shared" si="62"/>
        <v>0</v>
      </c>
      <c r="AI167" s="924" t="e">
        <f>DATE(YEAR(tab!$G$3),MONTH(G167),DAY(G167))&gt;tab!$G$3</f>
        <v>#VALUE!</v>
      </c>
      <c r="AJ167" s="925" t="e">
        <f t="shared" si="63"/>
        <v>#VALUE!</v>
      </c>
      <c r="AK167" s="884">
        <f t="shared" si="64"/>
        <v>30</v>
      </c>
      <c r="AL167" s="884">
        <f t="shared" si="65"/>
        <v>30</v>
      </c>
      <c r="AM167" s="925">
        <f t="shared" si="66"/>
        <v>0</v>
      </c>
    </row>
    <row r="168" spans="3:39" ht="12.75" customHeight="1" x14ac:dyDescent="0.2">
      <c r="C168" s="69"/>
      <c r="D168" s="75" t="str">
        <f>IF(op!D101=0,"",op!D101)</f>
        <v/>
      </c>
      <c r="E168" s="75" t="str">
        <f>IF(op!E101=0,"",op!E101)</f>
        <v/>
      </c>
      <c r="F168" s="88" t="str">
        <f>IF(op!F101="","",op!F101+1)</f>
        <v/>
      </c>
      <c r="G168" s="290" t="str">
        <f>IF(op!G101="","",op!G101)</f>
        <v/>
      </c>
      <c r="H168" s="88" t="str">
        <f>IF(op!H101=0,"",op!H101)</f>
        <v/>
      </c>
      <c r="I168" s="99" t="str">
        <f>IF(J168="","",(IF(op!I101+1&gt;LOOKUP(H168,schaal2019,regels2019),op!I101,op!I101+1)))</f>
        <v/>
      </c>
      <c r="J168" s="291" t="str">
        <f>IF(op!J101="","",op!J101)</f>
        <v/>
      </c>
      <c r="K168" s="971"/>
      <c r="L168" s="859">
        <f t="shared" si="51"/>
        <v>0</v>
      </c>
      <c r="M168" s="859">
        <f t="shared" si="51"/>
        <v>0</v>
      </c>
      <c r="N168" s="867" t="str">
        <f t="shared" si="67"/>
        <v/>
      </c>
      <c r="O168" s="867" t="str">
        <f t="shared" si="68"/>
        <v/>
      </c>
      <c r="P168" s="953" t="str">
        <f t="shared" si="52"/>
        <v/>
      </c>
      <c r="Q168" s="70"/>
      <c r="R168" s="739" t="str">
        <f t="shared" si="69"/>
        <v/>
      </c>
      <c r="S168" s="739" t="str">
        <f t="shared" si="53"/>
        <v/>
      </c>
      <c r="T168" s="740" t="str">
        <f t="shared" si="54"/>
        <v/>
      </c>
      <c r="U168" s="275"/>
      <c r="V168" s="288"/>
      <c r="W168" s="288"/>
      <c r="X168" s="288"/>
      <c r="Y168" s="908">
        <f t="shared" si="55"/>
        <v>0</v>
      </c>
      <c r="Z168" s="986">
        <f>tab!$D$62</f>
        <v>0.6</v>
      </c>
      <c r="AA168" s="944">
        <f t="shared" si="56"/>
        <v>0</v>
      </c>
      <c r="AB168" s="944">
        <f t="shared" si="57"/>
        <v>0</v>
      </c>
      <c r="AC168" s="944">
        <f t="shared" si="58"/>
        <v>0</v>
      </c>
      <c r="AD168" s="943" t="e">
        <f t="shared" si="59"/>
        <v>#VALUE!</v>
      </c>
      <c r="AE168" s="943">
        <f t="shared" si="60"/>
        <v>0</v>
      </c>
      <c r="AF168" s="916">
        <f>IF(H168&gt;8,tab!$D$63,tab!$D$65)</f>
        <v>0.5</v>
      </c>
      <c r="AG168" s="925">
        <f t="shared" si="61"/>
        <v>0</v>
      </c>
      <c r="AH168" s="940">
        <f t="shared" si="62"/>
        <v>0</v>
      </c>
      <c r="AI168" s="924" t="e">
        <f>DATE(YEAR(tab!$G$3),MONTH(G168),DAY(G168))&gt;tab!$G$3</f>
        <v>#VALUE!</v>
      </c>
      <c r="AJ168" s="925" t="e">
        <f t="shared" si="63"/>
        <v>#VALUE!</v>
      </c>
      <c r="AK168" s="884">
        <f t="shared" si="64"/>
        <v>30</v>
      </c>
      <c r="AL168" s="884">
        <f t="shared" si="65"/>
        <v>30</v>
      </c>
      <c r="AM168" s="925">
        <f t="shared" si="66"/>
        <v>0</v>
      </c>
    </row>
    <row r="169" spans="3:39" ht="12.75" customHeight="1" x14ac:dyDescent="0.2">
      <c r="C169" s="69"/>
      <c r="D169" s="75" t="str">
        <f>IF(op!D102=0,"",op!D102)</f>
        <v/>
      </c>
      <c r="E169" s="75" t="str">
        <f>IF(op!E102=0,"",op!E102)</f>
        <v/>
      </c>
      <c r="F169" s="88" t="str">
        <f>IF(op!F102="","",op!F102+1)</f>
        <v/>
      </c>
      <c r="G169" s="290" t="str">
        <f>IF(op!G102="","",op!G102)</f>
        <v/>
      </c>
      <c r="H169" s="88" t="str">
        <f>IF(op!H102=0,"",op!H102)</f>
        <v/>
      </c>
      <c r="I169" s="99" t="str">
        <f>IF(J169="","",(IF(op!I102+1&gt;LOOKUP(H169,schaal2019,regels2019),op!I102,op!I102+1)))</f>
        <v/>
      </c>
      <c r="J169" s="291" t="str">
        <f>IF(op!J102="","",op!J102)</f>
        <v/>
      </c>
      <c r="K169" s="971"/>
      <c r="L169" s="859">
        <f t="shared" si="51"/>
        <v>0</v>
      </c>
      <c r="M169" s="859">
        <f t="shared" si="51"/>
        <v>0</v>
      </c>
      <c r="N169" s="867" t="str">
        <f t="shared" si="67"/>
        <v/>
      </c>
      <c r="O169" s="867" t="str">
        <f t="shared" si="68"/>
        <v/>
      </c>
      <c r="P169" s="953" t="str">
        <f t="shared" si="52"/>
        <v/>
      </c>
      <c r="Q169" s="70"/>
      <c r="R169" s="739" t="str">
        <f t="shared" si="69"/>
        <v/>
      </c>
      <c r="S169" s="739" t="str">
        <f t="shared" si="53"/>
        <v/>
      </c>
      <c r="T169" s="740" t="str">
        <f t="shared" si="54"/>
        <v/>
      </c>
      <c r="U169" s="275"/>
      <c r="V169" s="288"/>
      <c r="W169" s="288"/>
      <c r="X169" s="288"/>
      <c r="Y169" s="908">
        <f t="shared" si="55"/>
        <v>0</v>
      </c>
      <c r="Z169" s="986">
        <f>tab!$D$62</f>
        <v>0.6</v>
      </c>
      <c r="AA169" s="944">
        <f t="shared" si="56"/>
        <v>0</v>
      </c>
      <c r="AB169" s="944">
        <f t="shared" si="57"/>
        <v>0</v>
      </c>
      <c r="AC169" s="944">
        <f t="shared" si="58"/>
        <v>0</v>
      </c>
      <c r="AD169" s="943" t="e">
        <f t="shared" si="59"/>
        <v>#VALUE!</v>
      </c>
      <c r="AE169" s="943">
        <f t="shared" si="60"/>
        <v>0</v>
      </c>
      <c r="AF169" s="916">
        <f>IF(H169&gt;8,tab!$D$63,tab!$D$65)</f>
        <v>0.5</v>
      </c>
      <c r="AG169" s="925">
        <f t="shared" si="61"/>
        <v>0</v>
      </c>
      <c r="AH169" s="940">
        <f t="shared" si="62"/>
        <v>0</v>
      </c>
      <c r="AI169" s="924" t="e">
        <f>DATE(YEAR(tab!$G$3),MONTH(G169),DAY(G169))&gt;tab!$G$3</f>
        <v>#VALUE!</v>
      </c>
      <c r="AJ169" s="925" t="e">
        <f t="shared" si="63"/>
        <v>#VALUE!</v>
      </c>
      <c r="AK169" s="884">
        <f t="shared" si="64"/>
        <v>30</v>
      </c>
      <c r="AL169" s="884">
        <f t="shared" si="65"/>
        <v>30</v>
      </c>
      <c r="AM169" s="925">
        <f t="shared" si="66"/>
        <v>0</v>
      </c>
    </row>
    <row r="170" spans="3:39" ht="12.75" customHeight="1" x14ac:dyDescent="0.2">
      <c r="C170" s="69"/>
      <c r="D170" s="75" t="str">
        <f>IF(op!D103=0,"",op!D103)</f>
        <v/>
      </c>
      <c r="E170" s="75" t="str">
        <f>IF(op!E103=0,"",op!E103)</f>
        <v/>
      </c>
      <c r="F170" s="88" t="str">
        <f>IF(op!F103="","",op!F103+1)</f>
        <v/>
      </c>
      <c r="G170" s="290" t="str">
        <f>IF(op!G103="","",op!G103)</f>
        <v/>
      </c>
      <c r="H170" s="88" t="str">
        <f>IF(op!H103=0,"",op!H103)</f>
        <v/>
      </c>
      <c r="I170" s="99" t="str">
        <f>IF(J170="","",(IF(op!I103+1&gt;LOOKUP(H170,schaal2019,regels2019),op!I103,op!I103+1)))</f>
        <v/>
      </c>
      <c r="J170" s="291" t="str">
        <f>IF(op!J103="","",op!J103)</f>
        <v/>
      </c>
      <c r="K170" s="971"/>
      <c r="L170" s="859">
        <f t="shared" si="51"/>
        <v>0</v>
      </c>
      <c r="M170" s="859">
        <f t="shared" si="51"/>
        <v>0</v>
      </c>
      <c r="N170" s="867" t="str">
        <f t="shared" si="67"/>
        <v/>
      </c>
      <c r="O170" s="867" t="str">
        <f t="shared" si="68"/>
        <v/>
      </c>
      <c r="P170" s="953" t="str">
        <f t="shared" si="52"/>
        <v/>
      </c>
      <c r="Q170" s="70"/>
      <c r="R170" s="739" t="str">
        <f t="shared" si="69"/>
        <v/>
      </c>
      <c r="S170" s="739" t="str">
        <f t="shared" si="53"/>
        <v/>
      </c>
      <c r="T170" s="740" t="str">
        <f t="shared" si="54"/>
        <v/>
      </c>
      <c r="U170" s="275"/>
      <c r="V170" s="288"/>
      <c r="W170" s="288"/>
      <c r="X170" s="288"/>
      <c r="Y170" s="908">
        <f t="shared" si="55"/>
        <v>0</v>
      </c>
      <c r="Z170" s="986">
        <f>tab!$D$62</f>
        <v>0.6</v>
      </c>
      <c r="AA170" s="944">
        <f t="shared" si="56"/>
        <v>0</v>
      </c>
      <c r="AB170" s="944">
        <f t="shared" si="57"/>
        <v>0</v>
      </c>
      <c r="AC170" s="944">
        <f t="shared" si="58"/>
        <v>0</v>
      </c>
      <c r="AD170" s="943" t="e">
        <f t="shared" si="59"/>
        <v>#VALUE!</v>
      </c>
      <c r="AE170" s="943">
        <f t="shared" si="60"/>
        <v>0</v>
      </c>
      <c r="AF170" s="916">
        <f>IF(H170&gt;8,tab!$D$63,tab!$D$65)</f>
        <v>0.5</v>
      </c>
      <c r="AG170" s="925">
        <f t="shared" si="61"/>
        <v>0</v>
      </c>
      <c r="AH170" s="940">
        <f t="shared" si="62"/>
        <v>0</v>
      </c>
      <c r="AI170" s="924" t="e">
        <f>DATE(YEAR(tab!$G$3),MONTH(G170),DAY(G170))&gt;tab!$G$3</f>
        <v>#VALUE!</v>
      </c>
      <c r="AJ170" s="925" t="e">
        <f t="shared" si="63"/>
        <v>#VALUE!</v>
      </c>
      <c r="AK170" s="884">
        <f t="shared" si="64"/>
        <v>30</v>
      </c>
      <c r="AL170" s="884">
        <f t="shared" si="65"/>
        <v>30</v>
      </c>
      <c r="AM170" s="925">
        <f t="shared" si="66"/>
        <v>0</v>
      </c>
    </row>
    <row r="171" spans="3:39" ht="12.75" customHeight="1" x14ac:dyDescent="0.2">
      <c r="C171" s="69"/>
      <c r="D171" s="75" t="str">
        <f>IF(op!D104=0,"",op!D104)</f>
        <v/>
      </c>
      <c r="E171" s="75" t="str">
        <f>IF(op!E104=0,"",op!E104)</f>
        <v/>
      </c>
      <c r="F171" s="88" t="str">
        <f>IF(op!F104="","",op!F104+1)</f>
        <v/>
      </c>
      <c r="G171" s="290" t="str">
        <f>IF(op!G104="","",op!G104)</f>
        <v/>
      </c>
      <c r="H171" s="88" t="str">
        <f>IF(op!H104=0,"",op!H104)</f>
        <v/>
      </c>
      <c r="I171" s="99" t="str">
        <f>IF(J171="","",(IF(op!I104+1&gt;LOOKUP(H171,schaal2019,regels2019),op!I104,op!I104+1)))</f>
        <v/>
      </c>
      <c r="J171" s="291" t="str">
        <f>IF(op!J104="","",op!J104)</f>
        <v/>
      </c>
      <c r="K171" s="971"/>
      <c r="L171" s="859">
        <f t="shared" ref="L171:M190" si="70">IF(L104="","",L104)</f>
        <v>0</v>
      </c>
      <c r="M171" s="859">
        <f t="shared" si="70"/>
        <v>0</v>
      </c>
      <c r="N171" s="867" t="str">
        <f t="shared" si="67"/>
        <v/>
      </c>
      <c r="O171" s="867" t="str">
        <f t="shared" si="68"/>
        <v/>
      </c>
      <c r="P171" s="953" t="str">
        <f t="shared" si="52"/>
        <v/>
      </c>
      <c r="Q171" s="70"/>
      <c r="R171" s="739" t="str">
        <f t="shared" si="69"/>
        <v/>
      </c>
      <c r="S171" s="739" t="str">
        <f t="shared" si="53"/>
        <v/>
      </c>
      <c r="T171" s="740" t="str">
        <f t="shared" si="54"/>
        <v/>
      </c>
      <c r="U171" s="275"/>
      <c r="V171" s="288"/>
      <c r="W171" s="288"/>
      <c r="X171" s="288"/>
      <c r="Y171" s="908">
        <f t="shared" si="55"/>
        <v>0</v>
      </c>
      <c r="Z171" s="986">
        <f>tab!$D$62</f>
        <v>0.6</v>
      </c>
      <c r="AA171" s="944">
        <f t="shared" si="56"/>
        <v>0</v>
      </c>
      <c r="AB171" s="944">
        <f t="shared" si="57"/>
        <v>0</v>
      </c>
      <c r="AC171" s="944">
        <f t="shared" si="58"/>
        <v>0</v>
      </c>
      <c r="AD171" s="943" t="e">
        <f t="shared" si="59"/>
        <v>#VALUE!</v>
      </c>
      <c r="AE171" s="943">
        <f t="shared" si="60"/>
        <v>0</v>
      </c>
      <c r="AF171" s="916">
        <f>IF(H171&gt;8,tab!$D$63,tab!$D$65)</f>
        <v>0.5</v>
      </c>
      <c r="AG171" s="925">
        <f t="shared" si="61"/>
        <v>0</v>
      </c>
      <c r="AH171" s="940">
        <f t="shared" si="62"/>
        <v>0</v>
      </c>
      <c r="AI171" s="924" t="e">
        <f>DATE(YEAR(tab!$G$3),MONTH(G171),DAY(G171))&gt;tab!$G$3</f>
        <v>#VALUE!</v>
      </c>
      <c r="AJ171" s="925" t="e">
        <f t="shared" si="63"/>
        <v>#VALUE!</v>
      </c>
      <c r="AK171" s="884">
        <f t="shared" si="64"/>
        <v>30</v>
      </c>
      <c r="AL171" s="884">
        <f t="shared" si="65"/>
        <v>30</v>
      </c>
      <c r="AM171" s="925">
        <f t="shared" si="66"/>
        <v>0</v>
      </c>
    </row>
    <row r="172" spans="3:39" ht="12.75" customHeight="1" x14ac:dyDescent="0.2">
      <c r="C172" s="69"/>
      <c r="D172" s="75" t="str">
        <f>IF(op!D105=0,"",op!D105)</f>
        <v/>
      </c>
      <c r="E172" s="75" t="str">
        <f>IF(op!E105=0,"",op!E105)</f>
        <v/>
      </c>
      <c r="F172" s="88" t="str">
        <f>IF(op!F105="","",op!F105+1)</f>
        <v/>
      </c>
      <c r="G172" s="290" t="str">
        <f>IF(op!G105="","",op!G105)</f>
        <v/>
      </c>
      <c r="H172" s="88" t="str">
        <f>IF(op!H105=0,"",op!H105)</f>
        <v/>
      </c>
      <c r="I172" s="99" t="str">
        <f>IF(J172="","",(IF(op!I105+1&gt;LOOKUP(H172,schaal2019,regels2019),op!I105,op!I105+1)))</f>
        <v/>
      </c>
      <c r="J172" s="291" t="str">
        <f>IF(op!J105="","",op!J105)</f>
        <v/>
      </c>
      <c r="K172" s="971"/>
      <c r="L172" s="859">
        <f t="shared" si="70"/>
        <v>0</v>
      </c>
      <c r="M172" s="859">
        <f t="shared" si="70"/>
        <v>0</v>
      </c>
      <c r="N172" s="867" t="str">
        <f t="shared" si="67"/>
        <v/>
      </c>
      <c r="O172" s="867" t="str">
        <f t="shared" si="68"/>
        <v/>
      </c>
      <c r="P172" s="953" t="str">
        <f t="shared" si="52"/>
        <v/>
      </c>
      <c r="Q172" s="70"/>
      <c r="R172" s="739" t="str">
        <f t="shared" si="69"/>
        <v/>
      </c>
      <c r="S172" s="739" t="str">
        <f t="shared" si="53"/>
        <v/>
      </c>
      <c r="T172" s="740" t="str">
        <f t="shared" si="54"/>
        <v/>
      </c>
      <c r="U172" s="275"/>
      <c r="V172" s="288"/>
      <c r="W172" s="288"/>
      <c r="X172" s="288"/>
      <c r="Y172" s="908">
        <f t="shared" si="55"/>
        <v>0</v>
      </c>
      <c r="Z172" s="986">
        <f>tab!$D$62</f>
        <v>0.6</v>
      </c>
      <c r="AA172" s="944">
        <f t="shared" si="56"/>
        <v>0</v>
      </c>
      <c r="AB172" s="944">
        <f t="shared" si="57"/>
        <v>0</v>
      </c>
      <c r="AC172" s="944">
        <f t="shared" si="58"/>
        <v>0</v>
      </c>
      <c r="AD172" s="943" t="e">
        <f t="shared" si="59"/>
        <v>#VALUE!</v>
      </c>
      <c r="AE172" s="943">
        <f t="shared" si="60"/>
        <v>0</v>
      </c>
      <c r="AF172" s="916">
        <f>IF(H172&gt;8,tab!$D$63,tab!$D$65)</f>
        <v>0.5</v>
      </c>
      <c r="AG172" s="925">
        <f t="shared" si="61"/>
        <v>0</v>
      </c>
      <c r="AH172" s="940">
        <f t="shared" si="62"/>
        <v>0</v>
      </c>
      <c r="AI172" s="924" t="e">
        <f>DATE(YEAR(tab!$G$3),MONTH(G172),DAY(G172))&gt;tab!$G$3</f>
        <v>#VALUE!</v>
      </c>
      <c r="AJ172" s="925" t="e">
        <f t="shared" si="63"/>
        <v>#VALUE!</v>
      </c>
      <c r="AK172" s="884">
        <f t="shared" si="64"/>
        <v>30</v>
      </c>
      <c r="AL172" s="884">
        <f t="shared" si="65"/>
        <v>30</v>
      </c>
      <c r="AM172" s="925">
        <f t="shared" si="66"/>
        <v>0</v>
      </c>
    </row>
    <row r="173" spans="3:39" ht="12.75" customHeight="1" x14ac:dyDescent="0.2">
      <c r="C173" s="69"/>
      <c r="D173" s="75" t="str">
        <f>IF(op!D106=0,"",op!D106)</f>
        <v/>
      </c>
      <c r="E173" s="75" t="str">
        <f>IF(op!E106=0,"",op!E106)</f>
        <v/>
      </c>
      <c r="F173" s="88" t="str">
        <f>IF(op!F106="","",op!F106+1)</f>
        <v/>
      </c>
      <c r="G173" s="290" t="str">
        <f>IF(op!G106="","",op!G106)</f>
        <v/>
      </c>
      <c r="H173" s="88" t="str">
        <f>IF(op!H106=0,"",op!H106)</f>
        <v/>
      </c>
      <c r="I173" s="99" t="str">
        <f>IF(J173="","",(IF(op!I106+1&gt;LOOKUP(H173,schaal2019,regels2019),op!I106,op!I106+1)))</f>
        <v/>
      </c>
      <c r="J173" s="291" t="str">
        <f>IF(op!J106="","",op!J106)</f>
        <v/>
      </c>
      <c r="K173" s="971"/>
      <c r="L173" s="859">
        <f t="shared" si="70"/>
        <v>0</v>
      </c>
      <c r="M173" s="859">
        <f t="shared" si="70"/>
        <v>0</v>
      </c>
      <c r="N173" s="867" t="str">
        <f t="shared" si="67"/>
        <v/>
      </c>
      <c r="O173" s="867" t="str">
        <f t="shared" si="68"/>
        <v/>
      </c>
      <c r="P173" s="953" t="str">
        <f t="shared" si="52"/>
        <v/>
      </c>
      <c r="Q173" s="70"/>
      <c r="R173" s="739" t="str">
        <f t="shared" si="69"/>
        <v/>
      </c>
      <c r="S173" s="739" t="str">
        <f t="shared" si="53"/>
        <v/>
      </c>
      <c r="T173" s="740" t="str">
        <f t="shared" si="54"/>
        <v/>
      </c>
      <c r="U173" s="275"/>
      <c r="V173" s="288"/>
      <c r="W173" s="288"/>
      <c r="X173" s="288"/>
      <c r="Y173" s="908">
        <f t="shared" si="55"/>
        <v>0</v>
      </c>
      <c r="Z173" s="986">
        <f>tab!$D$62</f>
        <v>0.6</v>
      </c>
      <c r="AA173" s="944">
        <f t="shared" si="56"/>
        <v>0</v>
      </c>
      <c r="AB173" s="944">
        <f t="shared" si="57"/>
        <v>0</v>
      </c>
      <c r="AC173" s="944">
        <f t="shared" si="58"/>
        <v>0</v>
      </c>
      <c r="AD173" s="943" t="e">
        <f t="shared" si="59"/>
        <v>#VALUE!</v>
      </c>
      <c r="AE173" s="943">
        <f t="shared" si="60"/>
        <v>0</v>
      </c>
      <c r="AF173" s="916">
        <f>IF(H173&gt;8,tab!$D$63,tab!$D$65)</f>
        <v>0.5</v>
      </c>
      <c r="AG173" s="925">
        <f t="shared" si="61"/>
        <v>0</v>
      </c>
      <c r="AH173" s="940">
        <f t="shared" si="62"/>
        <v>0</v>
      </c>
      <c r="AI173" s="924" t="e">
        <f>DATE(YEAR(tab!$G$3),MONTH(G173),DAY(G173))&gt;tab!$G$3</f>
        <v>#VALUE!</v>
      </c>
      <c r="AJ173" s="925" t="e">
        <f t="shared" si="63"/>
        <v>#VALUE!</v>
      </c>
      <c r="AK173" s="884">
        <f t="shared" si="64"/>
        <v>30</v>
      </c>
      <c r="AL173" s="884">
        <f t="shared" si="65"/>
        <v>30</v>
      </c>
      <c r="AM173" s="925">
        <f t="shared" si="66"/>
        <v>0</v>
      </c>
    </row>
    <row r="174" spans="3:39" ht="12.75" customHeight="1" x14ac:dyDescent="0.2">
      <c r="C174" s="69"/>
      <c r="D174" s="75" t="str">
        <f>IF(op!D107=0,"",op!D107)</f>
        <v/>
      </c>
      <c r="E174" s="75" t="str">
        <f>IF(op!E107=0,"",op!E107)</f>
        <v/>
      </c>
      <c r="F174" s="88" t="str">
        <f>IF(op!F107="","",op!F107+1)</f>
        <v/>
      </c>
      <c r="G174" s="290" t="str">
        <f>IF(op!G107="","",op!G107)</f>
        <v/>
      </c>
      <c r="H174" s="88" t="str">
        <f>IF(op!H107=0,"",op!H107)</f>
        <v/>
      </c>
      <c r="I174" s="99" t="str">
        <f>IF(J174="","",(IF(op!I107+1&gt;LOOKUP(H174,schaal2019,regels2019),op!I107,op!I107+1)))</f>
        <v/>
      </c>
      <c r="J174" s="291" t="str">
        <f>IF(op!J107="","",op!J107)</f>
        <v/>
      </c>
      <c r="K174" s="971"/>
      <c r="L174" s="859">
        <f t="shared" si="70"/>
        <v>0</v>
      </c>
      <c r="M174" s="859">
        <f t="shared" si="70"/>
        <v>0</v>
      </c>
      <c r="N174" s="867" t="str">
        <f t="shared" si="67"/>
        <v/>
      </c>
      <c r="O174" s="867" t="str">
        <f t="shared" si="68"/>
        <v/>
      </c>
      <c r="P174" s="953" t="str">
        <f t="shared" si="52"/>
        <v/>
      </c>
      <c r="Q174" s="70"/>
      <c r="R174" s="739" t="str">
        <f t="shared" si="69"/>
        <v/>
      </c>
      <c r="S174" s="739" t="str">
        <f t="shared" si="53"/>
        <v/>
      </c>
      <c r="T174" s="740" t="str">
        <f t="shared" si="54"/>
        <v/>
      </c>
      <c r="U174" s="275"/>
      <c r="V174" s="288"/>
      <c r="W174" s="288"/>
      <c r="X174" s="288"/>
      <c r="Y174" s="908">
        <f t="shared" si="55"/>
        <v>0</v>
      </c>
      <c r="Z174" s="986">
        <f>tab!$D$62</f>
        <v>0.6</v>
      </c>
      <c r="AA174" s="944">
        <f t="shared" si="56"/>
        <v>0</v>
      </c>
      <c r="AB174" s="944">
        <f t="shared" si="57"/>
        <v>0</v>
      </c>
      <c r="AC174" s="944">
        <f t="shared" si="58"/>
        <v>0</v>
      </c>
      <c r="AD174" s="943" t="e">
        <f t="shared" si="59"/>
        <v>#VALUE!</v>
      </c>
      <c r="AE174" s="943">
        <f t="shared" si="60"/>
        <v>0</v>
      </c>
      <c r="AF174" s="916">
        <f>IF(H174&gt;8,tab!$D$63,tab!$D$65)</f>
        <v>0.5</v>
      </c>
      <c r="AG174" s="925">
        <f t="shared" si="61"/>
        <v>0</v>
      </c>
      <c r="AH174" s="940">
        <f t="shared" si="62"/>
        <v>0</v>
      </c>
      <c r="AI174" s="924" t="e">
        <f>DATE(YEAR(tab!$G$3),MONTH(G174),DAY(G174))&gt;tab!$G$3</f>
        <v>#VALUE!</v>
      </c>
      <c r="AJ174" s="925" t="e">
        <f t="shared" si="63"/>
        <v>#VALUE!</v>
      </c>
      <c r="AK174" s="884">
        <f t="shared" si="64"/>
        <v>30</v>
      </c>
      <c r="AL174" s="884">
        <f t="shared" si="65"/>
        <v>30</v>
      </c>
      <c r="AM174" s="925">
        <f t="shared" si="66"/>
        <v>0</v>
      </c>
    </row>
    <row r="175" spans="3:39" ht="12.75" customHeight="1" x14ac:dyDescent="0.2">
      <c r="C175" s="69"/>
      <c r="D175" s="75" t="str">
        <f>IF(op!D108=0,"",op!D108)</f>
        <v/>
      </c>
      <c r="E175" s="75" t="str">
        <f>IF(op!E108=0,"",op!E108)</f>
        <v/>
      </c>
      <c r="F175" s="88" t="str">
        <f>IF(op!F108="","",op!F108+1)</f>
        <v/>
      </c>
      <c r="G175" s="290" t="str">
        <f>IF(op!G108="","",op!G108)</f>
        <v/>
      </c>
      <c r="H175" s="88" t="str">
        <f>IF(op!H108=0,"",op!H108)</f>
        <v/>
      </c>
      <c r="I175" s="99" t="str">
        <f>IF(J175="","",(IF(op!I108+1&gt;LOOKUP(H175,schaal2019,regels2019),op!I108,op!I108+1)))</f>
        <v/>
      </c>
      <c r="J175" s="291" t="str">
        <f>IF(op!J108="","",op!J108)</f>
        <v/>
      </c>
      <c r="K175" s="971"/>
      <c r="L175" s="859">
        <f t="shared" si="70"/>
        <v>0</v>
      </c>
      <c r="M175" s="859">
        <f t="shared" si="70"/>
        <v>0</v>
      </c>
      <c r="N175" s="867" t="str">
        <f t="shared" si="67"/>
        <v/>
      </c>
      <c r="O175" s="867" t="str">
        <f t="shared" si="68"/>
        <v/>
      </c>
      <c r="P175" s="953" t="str">
        <f t="shared" si="52"/>
        <v/>
      </c>
      <c r="Q175" s="70"/>
      <c r="R175" s="739" t="str">
        <f t="shared" si="69"/>
        <v/>
      </c>
      <c r="S175" s="739" t="str">
        <f t="shared" si="53"/>
        <v/>
      </c>
      <c r="T175" s="740" t="str">
        <f t="shared" si="54"/>
        <v/>
      </c>
      <c r="U175" s="275"/>
      <c r="V175" s="288"/>
      <c r="W175" s="288"/>
      <c r="X175" s="288"/>
      <c r="Y175" s="908">
        <f t="shared" si="55"/>
        <v>0</v>
      </c>
      <c r="Z175" s="986">
        <f>tab!$D$62</f>
        <v>0.6</v>
      </c>
      <c r="AA175" s="944">
        <f t="shared" si="56"/>
        <v>0</v>
      </c>
      <c r="AB175" s="944">
        <f t="shared" si="57"/>
        <v>0</v>
      </c>
      <c r="AC175" s="944">
        <f t="shared" si="58"/>
        <v>0</v>
      </c>
      <c r="AD175" s="943" t="e">
        <f t="shared" si="59"/>
        <v>#VALUE!</v>
      </c>
      <c r="AE175" s="943">
        <f t="shared" si="60"/>
        <v>0</v>
      </c>
      <c r="AF175" s="916">
        <f>IF(H175&gt;8,tab!$D$63,tab!$D$65)</f>
        <v>0.5</v>
      </c>
      <c r="AG175" s="925">
        <f t="shared" si="61"/>
        <v>0</v>
      </c>
      <c r="AH175" s="940">
        <f t="shared" si="62"/>
        <v>0</v>
      </c>
      <c r="AI175" s="924" t="e">
        <f>DATE(YEAR(tab!$G$3),MONTH(G175),DAY(G175))&gt;tab!$G$3</f>
        <v>#VALUE!</v>
      </c>
      <c r="AJ175" s="925" t="e">
        <f t="shared" si="63"/>
        <v>#VALUE!</v>
      </c>
      <c r="AK175" s="884">
        <f t="shared" si="64"/>
        <v>30</v>
      </c>
      <c r="AL175" s="884">
        <f t="shared" si="65"/>
        <v>30</v>
      </c>
      <c r="AM175" s="925">
        <f t="shared" si="66"/>
        <v>0</v>
      </c>
    </row>
    <row r="176" spans="3:39" ht="12.75" customHeight="1" x14ac:dyDescent="0.2">
      <c r="C176" s="69"/>
      <c r="D176" s="75" t="str">
        <f>IF(op!D109=0,"",op!D109)</f>
        <v/>
      </c>
      <c r="E176" s="75" t="str">
        <f>IF(op!E109=0,"",op!E109)</f>
        <v/>
      </c>
      <c r="F176" s="88" t="str">
        <f>IF(op!F109="","",op!F109+1)</f>
        <v/>
      </c>
      <c r="G176" s="290" t="str">
        <f>IF(op!G109="","",op!G109)</f>
        <v/>
      </c>
      <c r="H176" s="88" t="str">
        <f>IF(op!H109=0,"",op!H109)</f>
        <v/>
      </c>
      <c r="I176" s="99" t="str">
        <f>IF(J176="","",(IF(op!I109+1&gt;LOOKUP(H176,schaal2019,regels2019),op!I109,op!I109+1)))</f>
        <v/>
      </c>
      <c r="J176" s="291" t="str">
        <f>IF(op!J109="","",op!J109)</f>
        <v/>
      </c>
      <c r="K176" s="971"/>
      <c r="L176" s="859">
        <f t="shared" si="70"/>
        <v>0</v>
      </c>
      <c r="M176" s="859">
        <f t="shared" si="70"/>
        <v>0</v>
      </c>
      <c r="N176" s="867" t="str">
        <f t="shared" si="67"/>
        <v/>
      </c>
      <c r="O176" s="867" t="str">
        <f t="shared" si="68"/>
        <v/>
      </c>
      <c r="P176" s="953" t="str">
        <f t="shared" si="52"/>
        <v/>
      </c>
      <c r="Q176" s="70"/>
      <c r="R176" s="739" t="str">
        <f t="shared" si="69"/>
        <v/>
      </c>
      <c r="S176" s="739" t="str">
        <f t="shared" si="53"/>
        <v/>
      </c>
      <c r="T176" s="740" t="str">
        <f t="shared" si="54"/>
        <v/>
      </c>
      <c r="U176" s="275"/>
      <c r="V176" s="288"/>
      <c r="W176" s="288"/>
      <c r="X176" s="288"/>
      <c r="Y176" s="908">
        <f t="shared" si="55"/>
        <v>0</v>
      </c>
      <c r="Z176" s="986">
        <f>tab!$D$62</f>
        <v>0.6</v>
      </c>
      <c r="AA176" s="944">
        <f t="shared" si="56"/>
        <v>0</v>
      </c>
      <c r="AB176" s="944">
        <f t="shared" si="57"/>
        <v>0</v>
      </c>
      <c r="AC176" s="944">
        <f t="shared" si="58"/>
        <v>0</v>
      </c>
      <c r="AD176" s="943" t="e">
        <f t="shared" si="59"/>
        <v>#VALUE!</v>
      </c>
      <c r="AE176" s="943">
        <f t="shared" si="60"/>
        <v>0</v>
      </c>
      <c r="AF176" s="916">
        <f>IF(H176&gt;8,tab!$D$63,tab!$D$65)</f>
        <v>0.5</v>
      </c>
      <c r="AG176" s="925">
        <f t="shared" si="61"/>
        <v>0</v>
      </c>
      <c r="AH176" s="940">
        <f t="shared" si="62"/>
        <v>0</v>
      </c>
      <c r="AI176" s="924" t="e">
        <f>DATE(YEAR(tab!$G$3),MONTH(G176),DAY(G176))&gt;tab!$G$3</f>
        <v>#VALUE!</v>
      </c>
      <c r="AJ176" s="925" t="e">
        <f t="shared" si="63"/>
        <v>#VALUE!</v>
      </c>
      <c r="AK176" s="884">
        <f t="shared" si="64"/>
        <v>30</v>
      </c>
      <c r="AL176" s="884">
        <f t="shared" si="65"/>
        <v>30</v>
      </c>
      <c r="AM176" s="925">
        <f t="shared" si="66"/>
        <v>0</v>
      </c>
    </row>
    <row r="177" spans="3:39" ht="12.75" customHeight="1" x14ac:dyDescent="0.2">
      <c r="C177" s="69"/>
      <c r="D177" s="75" t="str">
        <f>IF(op!D110=0,"",op!D110)</f>
        <v/>
      </c>
      <c r="E177" s="75" t="str">
        <f>IF(op!E110=0,"",op!E110)</f>
        <v/>
      </c>
      <c r="F177" s="88" t="str">
        <f>IF(op!F110="","",op!F110+1)</f>
        <v/>
      </c>
      <c r="G177" s="290" t="str">
        <f>IF(op!G110="","",op!G110)</f>
        <v/>
      </c>
      <c r="H177" s="88" t="str">
        <f>IF(op!H110=0,"",op!H110)</f>
        <v/>
      </c>
      <c r="I177" s="99" t="str">
        <f>IF(J177="","",(IF(op!I110+1&gt;LOOKUP(H177,schaal2019,regels2019),op!I110,op!I110+1)))</f>
        <v/>
      </c>
      <c r="J177" s="291" t="str">
        <f>IF(op!J110="","",op!J110)</f>
        <v/>
      </c>
      <c r="K177" s="971"/>
      <c r="L177" s="859">
        <f t="shared" si="70"/>
        <v>0</v>
      </c>
      <c r="M177" s="859">
        <f t="shared" si="70"/>
        <v>0</v>
      </c>
      <c r="N177" s="867" t="str">
        <f t="shared" si="67"/>
        <v/>
      </c>
      <c r="O177" s="867" t="str">
        <f t="shared" si="68"/>
        <v/>
      </c>
      <c r="P177" s="953" t="str">
        <f t="shared" si="52"/>
        <v/>
      </c>
      <c r="Q177" s="70"/>
      <c r="R177" s="739" t="str">
        <f t="shared" si="69"/>
        <v/>
      </c>
      <c r="S177" s="739" t="str">
        <f t="shared" si="53"/>
        <v/>
      </c>
      <c r="T177" s="740" t="str">
        <f t="shared" si="54"/>
        <v/>
      </c>
      <c r="U177" s="275"/>
      <c r="V177" s="288"/>
      <c r="W177" s="288"/>
      <c r="X177" s="288"/>
      <c r="Y177" s="908">
        <f t="shared" si="55"/>
        <v>0</v>
      </c>
      <c r="Z177" s="986">
        <f>tab!$D$62</f>
        <v>0.6</v>
      </c>
      <c r="AA177" s="944">
        <f t="shared" si="56"/>
        <v>0</v>
      </c>
      <c r="AB177" s="944">
        <f t="shared" si="57"/>
        <v>0</v>
      </c>
      <c r="AC177" s="944">
        <f t="shared" si="58"/>
        <v>0</v>
      </c>
      <c r="AD177" s="943" t="e">
        <f t="shared" si="59"/>
        <v>#VALUE!</v>
      </c>
      <c r="AE177" s="943">
        <f t="shared" si="60"/>
        <v>0</v>
      </c>
      <c r="AF177" s="916">
        <f>IF(H177&gt;8,tab!$D$63,tab!$D$65)</f>
        <v>0.5</v>
      </c>
      <c r="AG177" s="925">
        <f t="shared" si="61"/>
        <v>0</v>
      </c>
      <c r="AH177" s="940">
        <f t="shared" si="62"/>
        <v>0</v>
      </c>
      <c r="AI177" s="924" t="e">
        <f>DATE(YEAR(tab!$G$3),MONTH(G177),DAY(G177))&gt;tab!$G$3</f>
        <v>#VALUE!</v>
      </c>
      <c r="AJ177" s="925" t="e">
        <f t="shared" si="63"/>
        <v>#VALUE!</v>
      </c>
      <c r="AK177" s="884">
        <f t="shared" si="64"/>
        <v>30</v>
      </c>
      <c r="AL177" s="884">
        <f t="shared" si="65"/>
        <v>30</v>
      </c>
      <c r="AM177" s="925">
        <f t="shared" si="66"/>
        <v>0</v>
      </c>
    </row>
    <row r="178" spans="3:39" ht="12.75" customHeight="1" x14ac:dyDescent="0.2">
      <c r="C178" s="69"/>
      <c r="D178" s="75" t="str">
        <f>IF(op!D111=0,"",op!D111)</f>
        <v/>
      </c>
      <c r="E178" s="75" t="str">
        <f>IF(op!E111=0,"",op!E111)</f>
        <v/>
      </c>
      <c r="F178" s="88" t="str">
        <f>IF(op!F111="","",op!F111+1)</f>
        <v/>
      </c>
      <c r="G178" s="290" t="str">
        <f>IF(op!G111="","",op!G111)</f>
        <v/>
      </c>
      <c r="H178" s="88" t="str">
        <f>IF(op!H111=0,"",op!H111)</f>
        <v/>
      </c>
      <c r="I178" s="99" t="str">
        <f>IF(J178="","",(IF(op!I111+1&gt;LOOKUP(H178,schaal2019,regels2019),op!I111,op!I111+1)))</f>
        <v/>
      </c>
      <c r="J178" s="291" t="str">
        <f>IF(op!J111="","",op!J111)</f>
        <v/>
      </c>
      <c r="K178" s="971"/>
      <c r="L178" s="859">
        <f t="shared" si="70"/>
        <v>0</v>
      </c>
      <c r="M178" s="859">
        <f t="shared" si="70"/>
        <v>0</v>
      </c>
      <c r="N178" s="867" t="str">
        <f t="shared" si="67"/>
        <v/>
      </c>
      <c r="O178" s="867" t="str">
        <f t="shared" si="68"/>
        <v/>
      </c>
      <c r="P178" s="953" t="str">
        <f t="shared" si="52"/>
        <v/>
      </c>
      <c r="Q178" s="70"/>
      <c r="R178" s="739" t="str">
        <f t="shared" si="69"/>
        <v/>
      </c>
      <c r="S178" s="739" t="str">
        <f t="shared" si="53"/>
        <v/>
      </c>
      <c r="T178" s="740" t="str">
        <f t="shared" si="54"/>
        <v/>
      </c>
      <c r="U178" s="275"/>
      <c r="V178" s="288"/>
      <c r="W178" s="288"/>
      <c r="X178" s="288"/>
      <c r="Y178" s="908">
        <f t="shared" si="55"/>
        <v>0</v>
      </c>
      <c r="Z178" s="986">
        <f>tab!$D$62</f>
        <v>0.6</v>
      </c>
      <c r="AA178" s="944">
        <f t="shared" si="56"/>
        <v>0</v>
      </c>
      <c r="AB178" s="944">
        <f t="shared" si="57"/>
        <v>0</v>
      </c>
      <c r="AC178" s="944">
        <f t="shared" si="58"/>
        <v>0</v>
      </c>
      <c r="AD178" s="943" t="e">
        <f t="shared" si="59"/>
        <v>#VALUE!</v>
      </c>
      <c r="AE178" s="943">
        <f t="shared" si="60"/>
        <v>0</v>
      </c>
      <c r="AF178" s="916">
        <f>IF(H178&gt;8,tab!$D$63,tab!$D$65)</f>
        <v>0.5</v>
      </c>
      <c r="AG178" s="925">
        <f t="shared" si="61"/>
        <v>0</v>
      </c>
      <c r="AH178" s="940">
        <f t="shared" si="62"/>
        <v>0</v>
      </c>
      <c r="AI178" s="924" t="e">
        <f>DATE(YEAR(tab!$G$3),MONTH(G178),DAY(G178))&gt;tab!$G$3</f>
        <v>#VALUE!</v>
      </c>
      <c r="AJ178" s="925" t="e">
        <f t="shared" si="63"/>
        <v>#VALUE!</v>
      </c>
      <c r="AK178" s="884">
        <f t="shared" si="64"/>
        <v>30</v>
      </c>
      <c r="AL178" s="884">
        <f t="shared" si="65"/>
        <v>30</v>
      </c>
      <c r="AM178" s="925">
        <f t="shared" si="66"/>
        <v>0</v>
      </c>
    </row>
    <row r="179" spans="3:39" ht="12.75" customHeight="1" x14ac:dyDescent="0.2">
      <c r="C179" s="69"/>
      <c r="D179" s="75" t="str">
        <f>IF(op!D112=0,"",op!D112)</f>
        <v/>
      </c>
      <c r="E179" s="75" t="str">
        <f>IF(op!E112=0,"",op!E112)</f>
        <v/>
      </c>
      <c r="F179" s="88" t="str">
        <f>IF(op!F112="","",op!F112+1)</f>
        <v/>
      </c>
      <c r="G179" s="290" t="str">
        <f>IF(op!G112="","",op!G112)</f>
        <v/>
      </c>
      <c r="H179" s="88" t="str">
        <f>IF(op!H112=0,"",op!H112)</f>
        <v/>
      </c>
      <c r="I179" s="99" t="str">
        <f>IF(J179="","",(IF(op!I112+1&gt;LOOKUP(H179,schaal2019,regels2019),op!I112,op!I112+1)))</f>
        <v/>
      </c>
      <c r="J179" s="291" t="str">
        <f>IF(op!J112="","",op!J112)</f>
        <v/>
      </c>
      <c r="K179" s="971"/>
      <c r="L179" s="859">
        <f t="shared" si="70"/>
        <v>0</v>
      </c>
      <c r="M179" s="859">
        <f t="shared" si="70"/>
        <v>0</v>
      </c>
      <c r="N179" s="867" t="str">
        <f t="shared" si="67"/>
        <v/>
      </c>
      <c r="O179" s="867" t="str">
        <f t="shared" si="68"/>
        <v/>
      </c>
      <c r="P179" s="953" t="str">
        <f t="shared" si="52"/>
        <v/>
      </c>
      <c r="Q179" s="70"/>
      <c r="R179" s="739" t="str">
        <f t="shared" si="69"/>
        <v/>
      </c>
      <c r="S179" s="739" t="str">
        <f t="shared" si="53"/>
        <v/>
      </c>
      <c r="T179" s="740" t="str">
        <f t="shared" si="54"/>
        <v/>
      </c>
      <c r="U179" s="275"/>
      <c r="V179" s="288"/>
      <c r="W179" s="288"/>
      <c r="X179" s="288"/>
      <c r="Y179" s="908">
        <f t="shared" si="55"/>
        <v>0</v>
      </c>
      <c r="Z179" s="986">
        <f>tab!$D$62</f>
        <v>0.6</v>
      </c>
      <c r="AA179" s="944">
        <f t="shared" si="56"/>
        <v>0</v>
      </c>
      <c r="AB179" s="944">
        <f t="shared" si="57"/>
        <v>0</v>
      </c>
      <c r="AC179" s="944">
        <f t="shared" si="58"/>
        <v>0</v>
      </c>
      <c r="AD179" s="943" t="e">
        <f t="shared" si="59"/>
        <v>#VALUE!</v>
      </c>
      <c r="AE179" s="943">
        <f t="shared" si="60"/>
        <v>0</v>
      </c>
      <c r="AF179" s="916">
        <f>IF(H179&gt;8,tab!$D$63,tab!$D$65)</f>
        <v>0.5</v>
      </c>
      <c r="AG179" s="925">
        <f t="shared" si="61"/>
        <v>0</v>
      </c>
      <c r="AH179" s="940">
        <f t="shared" si="62"/>
        <v>0</v>
      </c>
      <c r="AI179" s="924" t="e">
        <f>DATE(YEAR(tab!$G$3),MONTH(G179),DAY(G179))&gt;tab!$G$3</f>
        <v>#VALUE!</v>
      </c>
      <c r="AJ179" s="925" t="e">
        <f t="shared" si="63"/>
        <v>#VALUE!</v>
      </c>
      <c r="AK179" s="884">
        <f t="shared" si="64"/>
        <v>30</v>
      </c>
      <c r="AL179" s="884">
        <f t="shared" si="65"/>
        <v>30</v>
      </c>
      <c r="AM179" s="925">
        <f t="shared" si="66"/>
        <v>0</v>
      </c>
    </row>
    <row r="180" spans="3:39" ht="12.75" customHeight="1" x14ac:dyDescent="0.2">
      <c r="C180" s="69"/>
      <c r="D180" s="75" t="str">
        <f>IF(op!D113=0,"",op!D113)</f>
        <v/>
      </c>
      <c r="E180" s="75" t="str">
        <f>IF(op!E113=0,"",op!E113)</f>
        <v/>
      </c>
      <c r="F180" s="88" t="str">
        <f>IF(op!F113="","",op!F113+1)</f>
        <v/>
      </c>
      <c r="G180" s="290" t="str">
        <f>IF(op!G113="","",op!G113)</f>
        <v/>
      </c>
      <c r="H180" s="88" t="str">
        <f>IF(op!H113=0,"",op!H113)</f>
        <v/>
      </c>
      <c r="I180" s="99" t="str">
        <f>IF(J180="","",(IF(op!I113+1&gt;LOOKUP(H180,schaal2019,regels2019),op!I113,op!I113+1)))</f>
        <v/>
      </c>
      <c r="J180" s="291" t="str">
        <f>IF(op!J113="","",op!J113)</f>
        <v/>
      </c>
      <c r="K180" s="971"/>
      <c r="L180" s="859">
        <f t="shared" si="70"/>
        <v>0</v>
      </c>
      <c r="M180" s="859">
        <f t="shared" si="70"/>
        <v>0</v>
      </c>
      <c r="N180" s="867" t="str">
        <f t="shared" si="67"/>
        <v/>
      </c>
      <c r="O180" s="867" t="str">
        <f t="shared" si="68"/>
        <v/>
      </c>
      <c r="P180" s="953" t="str">
        <f t="shared" si="52"/>
        <v/>
      </c>
      <c r="Q180" s="70"/>
      <c r="R180" s="739" t="str">
        <f t="shared" si="69"/>
        <v/>
      </c>
      <c r="S180" s="739" t="str">
        <f t="shared" si="53"/>
        <v/>
      </c>
      <c r="T180" s="740" t="str">
        <f t="shared" si="54"/>
        <v/>
      </c>
      <c r="U180" s="275"/>
      <c r="V180" s="288"/>
      <c r="W180" s="288"/>
      <c r="X180" s="288"/>
      <c r="Y180" s="908">
        <f t="shared" si="55"/>
        <v>0</v>
      </c>
      <c r="Z180" s="986">
        <f>tab!$D$62</f>
        <v>0.6</v>
      </c>
      <c r="AA180" s="944">
        <f t="shared" si="56"/>
        <v>0</v>
      </c>
      <c r="AB180" s="944">
        <f t="shared" si="57"/>
        <v>0</v>
      </c>
      <c r="AC180" s="944">
        <f t="shared" si="58"/>
        <v>0</v>
      </c>
      <c r="AD180" s="943" t="e">
        <f t="shared" si="59"/>
        <v>#VALUE!</v>
      </c>
      <c r="AE180" s="943">
        <f t="shared" si="60"/>
        <v>0</v>
      </c>
      <c r="AF180" s="916">
        <f>IF(H180&gt;8,tab!$D$63,tab!$D$65)</f>
        <v>0.5</v>
      </c>
      <c r="AG180" s="925">
        <f t="shared" si="61"/>
        <v>0</v>
      </c>
      <c r="AH180" s="940">
        <f t="shared" si="62"/>
        <v>0</v>
      </c>
      <c r="AI180" s="924" t="e">
        <f>DATE(YEAR(tab!$G$3),MONTH(G180),DAY(G180))&gt;tab!$G$3</f>
        <v>#VALUE!</v>
      </c>
      <c r="AJ180" s="925" t="e">
        <f t="shared" si="63"/>
        <v>#VALUE!</v>
      </c>
      <c r="AK180" s="884">
        <f t="shared" si="64"/>
        <v>30</v>
      </c>
      <c r="AL180" s="884">
        <f t="shared" si="65"/>
        <v>30</v>
      </c>
      <c r="AM180" s="925">
        <f t="shared" si="66"/>
        <v>0</v>
      </c>
    </row>
    <row r="181" spans="3:39" ht="12.75" customHeight="1" x14ac:dyDescent="0.2">
      <c r="C181" s="69"/>
      <c r="D181" s="75" t="str">
        <f>IF(op!D114=0,"",op!D114)</f>
        <v/>
      </c>
      <c r="E181" s="75" t="str">
        <f>IF(op!E114=0,"",op!E114)</f>
        <v/>
      </c>
      <c r="F181" s="88" t="str">
        <f>IF(op!F114="","",op!F114+1)</f>
        <v/>
      </c>
      <c r="G181" s="290" t="str">
        <f>IF(op!G114="","",op!G114)</f>
        <v/>
      </c>
      <c r="H181" s="88" t="str">
        <f>IF(op!H114=0,"",op!H114)</f>
        <v/>
      </c>
      <c r="I181" s="99" t="str">
        <f>IF(J181="","",(IF(op!I114+1&gt;LOOKUP(H181,schaal2019,regels2019),op!I114,op!I114+1)))</f>
        <v/>
      </c>
      <c r="J181" s="291" t="str">
        <f>IF(op!J114="","",op!J114)</f>
        <v/>
      </c>
      <c r="K181" s="971"/>
      <c r="L181" s="859">
        <f t="shared" si="70"/>
        <v>0</v>
      </c>
      <c r="M181" s="859">
        <f t="shared" si="70"/>
        <v>0</v>
      </c>
      <c r="N181" s="867" t="str">
        <f t="shared" si="67"/>
        <v/>
      </c>
      <c r="O181" s="867" t="str">
        <f t="shared" si="68"/>
        <v/>
      </c>
      <c r="P181" s="953" t="str">
        <f t="shared" si="52"/>
        <v/>
      </c>
      <c r="Q181" s="70"/>
      <c r="R181" s="739" t="str">
        <f t="shared" si="69"/>
        <v/>
      </c>
      <c r="S181" s="739" t="str">
        <f t="shared" si="53"/>
        <v/>
      </c>
      <c r="T181" s="740" t="str">
        <f t="shared" si="54"/>
        <v/>
      </c>
      <c r="U181" s="275"/>
      <c r="V181" s="288"/>
      <c r="W181" s="288"/>
      <c r="X181" s="288"/>
      <c r="Y181" s="908">
        <f t="shared" si="55"/>
        <v>0</v>
      </c>
      <c r="Z181" s="986">
        <f>tab!$D$62</f>
        <v>0.6</v>
      </c>
      <c r="AA181" s="944">
        <f t="shared" si="56"/>
        <v>0</v>
      </c>
      <c r="AB181" s="944">
        <f t="shared" si="57"/>
        <v>0</v>
      </c>
      <c r="AC181" s="944">
        <f t="shared" si="58"/>
        <v>0</v>
      </c>
      <c r="AD181" s="943" t="e">
        <f t="shared" si="59"/>
        <v>#VALUE!</v>
      </c>
      <c r="AE181" s="943">
        <f t="shared" si="60"/>
        <v>0</v>
      </c>
      <c r="AF181" s="916">
        <f>IF(H181&gt;8,tab!$D$63,tab!$D$65)</f>
        <v>0.5</v>
      </c>
      <c r="AG181" s="925">
        <f t="shared" si="61"/>
        <v>0</v>
      </c>
      <c r="AH181" s="940">
        <f t="shared" si="62"/>
        <v>0</v>
      </c>
      <c r="AI181" s="924" t="e">
        <f>DATE(YEAR(tab!$G$3),MONTH(G181),DAY(G181))&gt;tab!$G$3</f>
        <v>#VALUE!</v>
      </c>
      <c r="AJ181" s="925" t="e">
        <f t="shared" si="63"/>
        <v>#VALUE!</v>
      </c>
      <c r="AK181" s="884">
        <f t="shared" si="64"/>
        <v>30</v>
      </c>
      <c r="AL181" s="884">
        <f t="shared" si="65"/>
        <v>30</v>
      </c>
      <c r="AM181" s="925">
        <f t="shared" si="66"/>
        <v>0</v>
      </c>
    </row>
    <row r="182" spans="3:39" ht="12.75" customHeight="1" x14ac:dyDescent="0.2">
      <c r="C182" s="69"/>
      <c r="D182" s="75" t="str">
        <f>IF(op!D115=0,"",op!D115)</f>
        <v/>
      </c>
      <c r="E182" s="75" t="str">
        <f>IF(op!E115=0,"",op!E115)</f>
        <v/>
      </c>
      <c r="F182" s="88" t="str">
        <f>IF(op!F115="","",op!F115+1)</f>
        <v/>
      </c>
      <c r="G182" s="290" t="str">
        <f>IF(op!G115="","",op!G115)</f>
        <v/>
      </c>
      <c r="H182" s="88" t="str">
        <f>IF(op!H115=0,"",op!H115)</f>
        <v/>
      </c>
      <c r="I182" s="99" t="str">
        <f>IF(J182="","",(IF(op!I115+1&gt;LOOKUP(H182,schaal2019,regels2019),op!I115,op!I115+1)))</f>
        <v/>
      </c>
      <c r="J182" s="291" t="str">
        <f>IF(op!J115="","",op!J115)</f>
        <v/>
      </c>
      <c r="K182" s="971"/>
      <c r="L182" s="859">
        <f t="shared" si="70"/>
        <v>0</v>
      </c>
      <c r="M182" s="859">
        <f t="shared" si="70"/>
        <v>0</v>
      </c>
      <c r="N182" s="867" t="str">
        <f t="shared" si="67"/>
        <v/>
      </c>
      <c r="O182" s="867" t="str">
        <f t="shared" si="68"/>
        <v/>
      </c>
      <c r="P182" s="953" t="str">
        <f t="shared" si="52"/>
        <v/>
      </c>
      <c r="Q182" s="70"/>
      <c r="R182" s="739" t="str">
        <f t="shared" si="69"/>
        <v/>
      </c>
      <c r="S182" s="739" t="str">
        <f t="shared" si="53"/>
        <v/>
      </c>
      <c r="T182" s="740" t="str">
        <f t="shared" si="54"/>
        <v/>
      </c>
      <c r="U182" s="275"/>
      <c r="V182" s="288"/>
      <c r="W182" s="288"/>
      <c r="X182" s="288"/>
      <c r="Y182" s="908">
        <f t="shared" si="55"/>
        <v>0</v>
      </c>
      <c r="Z182" s="986">
        <f>tab!$D$62</f>
        <v>0.6</v>
      </c>
      <c r="AA182" s="944">
        <f t="shared" si="56"/>
        <v>0</v>
      </c>
      <c r="AB182" s="944">
        <f t="shared" si="57"/>
        <v>0</v>
      </c>
      <c r="AC182" s="944">
        <f t="shared" si="58"/>
        <v>0</v>
      </c>
      <c r="AD182" s="943" t="e">
        <f t="shared" si="59"/>
        <v>#VALUE!</v>
      </c>
      <c r="AE182" s="943">
        <f t="shared" si="60"/>
        <v>0</v>
      </c>
      <c r="AF182" s="916">
        <f>IF(H182&gt;8,tab!$D$63,tab!$D$65)</f>
        <v>0.5</v>
      </c>
      <c r="AG182" s="925">
        <f t="shared" si="61"/>
        <v>0</v>
      </c>
      <c r="AH182" s="940">
        <f t="shared" si="62"/>
        <v>0</v>
      </c>
      <c r="AI182" s="924" t="e">
        <f>DATE(YEAR(tab!$G$3),MONTH(G182),DAY(G182))&gt;tab!$G$3</f>
        <v>#VALUE!</v>
      </c>
      <c r="AJ182" s="925" t="e">
        <f t="shared" si="63"/>
        <v>#VALUE!</v>
      </c>
      <c r="AK182" s="884">
        <f t="shared" si="64"/>
        <v>30</v>
      </c>
      <c r="AL182" s="884">
        <f t="shared" si="65"/>
        <v>30</v>
      </c>
      <c r="AM182" s="925">
        <f t="shared" si="66"/>
        <v>0</v>
      </c>
    </row>
    <row r="183" spans="3:39" ht="12.75" customHeight="1" x14ac:dyDescent="0.2">
      <c r="C183" s="69"/>
      <c r="D183" s="75" t="str">
        <f>IF(op!D116=0,"",op!D116)</f>
        <v/>
      </c>
      <c r="E183" s="75" t="str">
        <f>IF(op!E116=0,"",op!E116)</f>
        <v/>
      </c>
      <c r="F183" s="88" t="str">
        <f>IF(op!F116="","",op!F116+1)</f>
        <v/>
      </c>
      <c r="G183" s="290" t="str">
        <f>IF(op!G116="","",op!G116)</f>
        <v/>
      </c>
      <c r="H183" s="88" t="str">
        <f>IF(op!H116=0,"",op!H116)</f>
        <v/>
      </c>
      <c r="I183" s="99" t="str">
        <f>IF(J183="","",(IF(op!I116+1&gt;LOOKUP(H183,schaal2019,regels2019),op!I116,op!I116+1)))</f>
        <v/>
      </c>
      <c r="J183" s="291" t="str">
        <f>IF(op!J116="","",op!J116)</f>
        <v/>
      </c>
      <c r="K183" s="971"/>
      <c r="L183" s="859">
        <f t="shared" si="70"/>
        <v>0</v>
      </c>
      <c r="M183" s="859">
        <f t="shared" si="70"/>
        <v>0</v>
      </c>
      <c r="N183" s="867" t="str">
        <f t="shared" si="67"/>
        <v/>
      </c>
      <c r="O183" s="867" t="str">
        <f t="shared" si="68"/>
        <v/>
      </c>
      <c r="P183" s="953" t="str">
        <f t="shared" si="52"/>
        <v/>
      </c>
      <c r="Q183" s="70"/>
      <c r="R183" s="739" t="str">
        <f t="shared" si="69"/>
        <v/>
      </c>
      <c r="S183" s="739" t="str">
        <f t="shared" si="53"/>
        <v/>
      </c>
      <c r="T183" s="740" t="str">
        <f t="shared" si="54"/>
        <v/>
      </c>
      <c r="U183" s="275"/>
      <c r="V183" s="288"/>
      <c r="W183" s="288"/>
      <c r="X183" s="288"/>
      <c r="Y183" s="908">
        <f t="shared" ref="Y183:Y205" si="71">IF(H183="",0,5/12*VLOOKUP(H183,salaris2020,I183+1,FALSE)+7/12*VLOOKUP(H183,salaris2020,I183+1,FALSE))</f>
        <v>0</v>
      </c>
      <c r="Z183" s="986">
        <f>tab!$D$62</f>
        <v>0.6</v>
      </c>
      <c r="AA183" s="944">
        <f t="shared" si="56"/>
        <v>0</v>
      </c>
      <c r="AB183" s="944">
        <f t="shared" si="57"/>
        <v>0</v>
      </c>
      <c r="AC183" s="944">
        <f t="shared" si="58"/>
        <v>0</v>
      </c>
      <c r="AD183" s="943" t="e">
        <f t="shared" si="59"/>
        <v>#VALUE!</v>
      </c>
      <c r="AE183" s="943">
        <f t="shared" si="60"/>
        <v>0</v>
      </c>
      <c r="AF183" s="916">
        <f>IF(H183&gt;8,tab!$D$63,tab!$D$65)</f>
        <v>0.5</v>
      </c>
      <c r="AG183" s="925">
        <f t="shared" ref="AG183:AG205" si="72">IF(F183&lt;25,0,IF(F183=25,25,IF(F183&lt;40,0,IF(F183=40,40,IF(F183&gt;=40,0)))))</f>
        <v>0</v>
      </c>
      <c r="AH183" s="940">
        <f t="shared" ref="AH183:AH205" si="73">IF(AG183=25,(Y183*1.08*(J183)/2),IF(AG183=40,(Y183*1.08*(J183)),IF(AG183=0,0)))</f>
        <v>0</v>
      </c>
      <c r="AI183" s="924" t="e">
        <f>DATE(YEAR(tab!$G$3),MONTH(G183),DAY(G183))&gt;tab!$G$3</f>
        <v>#VALUE!</v>
      </c>
      <c r="AJ183" s="925" t="e">
        <f t="shared" ref="AJ183:AJ205" si="74">YEAR($E$144)-YEAR(G183)-AI183</f>
        <v>#VALUE!</v>
      </c>
      <c r="AK183" s="884">
        <f t="shared" ref="AK183:AK205" si="75">IF((G183=""),30,AJ183)</f>
        <v>30</v>
      </c>
      <c r="AL183" s="884">
        <f t="shared" ref="AL183:AL205" si="76">IF((AK183)&gt;50,50,(AK183))</f>
        <v>30</v>
      </c>
      <c r="AM183" s="925">
        <f t="shared" ref="AM183:AM205" si="77">ROUND((AL183*(SUM(J183:J183))),2)</f>
        <v>0</v>
      </c>
    </row>
    <row r="184" spans="3:39" ht="12.75" customHeight="1" x14ac:dyDescent="0.2">
      <c r="C184" s="69"/>
      <c r="D184" s="75" t="str">
        <f>IF(op!D117=0,"",op!D117)</f>
        <v/>
      </c>
      <c r="E184" s="75" t="str">
        <f>IF(op!E117=0,"",op!E117)</f>
        <v/>
      </c>
      <c r="F184" s="88" t="str">
        <f>IF(op!F117="","",op!F117+1)</f>
        <v/>
      </c>
      <c r="G184" s="290" t="str">
        <f>IF(op!G117="","",op!G117)</f>
        <v/>
      </c>
      <c r="H184" s="88" t="str">
        <f>IF(op!H117=0,"",op!H117)</f>
        <v/>
      </c>
      <c r="I184" s="99" t="str">
        <f>IF(J184="","",(IF(op!I117+1&gt;LOOKUP(H184,schaal2019,regels2019),op!I117,op!I117+1)))</f>
        <v/>
      </c>
      <c r="J184" s="291" t="str">
        <f>IF(op!J117="","",op!J117)</f>
        <v/>
      </c>
      <c r="K184" s="971"/>
      <c r="L184" s="859">
        <f t="shared" si="70"/>
        <v>0</v>
      </c>
      <c r="M184" s="859">
        <f t="shared" si="70"/>
        <v>0</v>
      </c>
      <c r="N184" s="867" t="str">
        <f t="shared" si="67"/>
        <v/>
      </c>
      <c r="O184" s="867" t="str">
        <f t="shared" si="68"/>
        <v/>
      </c>
      <c r="P184" s="953" t="str">
        <f t="shared" si="52"/>
        <v/>
      </c>
      <c r="Q184" s="70"/>
      <c r="R184" s="739" t="str">
        <f t="shared" si="69"/>
        <v/>
      </c>
      <c r="S184" s="739" t="str">
        <f t="shared" si="53"/>
        <v/>
      </c>
      <c r="T184" s="740" t="str">
        <f t="shared" si="54"/>
        <v/>
      </c>
      <c r="U184" s="275"/>
      <c r="V184" s="288"/>
      <c r="W184" s="288"/>
      <c r="X184" s="288"/>
      <c r="Y184" s="908">
        <f t="shared" si="71"/>
        <v>0</v>
      </c>
      <c r="Z184" s="986">
        <f>tab!$D$62</f>
        <v>0.6</v>
      </c>
      <c r="AA184" s="944">
        <f t="shared" si="56"/>
        <v>0</v>
      </c>
      <c r="AB184" s="944">
        <f t="shared" si="57"/>
        <v>0</v>
      </c>
      <c r="AC184" s="944">
        <f t="shared" si="58"/>
        <v>0</v>
      </c>
      <c r="AD184" s="943" t="e">
        <f t="shared" si="59"/>
        <v>#VALUE!</v>
      </c>
      <c r="AE184" s="943">
        <f t="shared" si="60"/>
        <v>0</v>
      </c>
      <c r="AF184" s="916">
        <f>IF(H184&gt;8,tab!$D$63,tab!$D$65)</f>
        <v>0.5</v>
      </c>
      <c r="AG184" s="925">
        <f t="shared" si="72"/>
        <v>0</v>
      </c>
      <c r="AH184" s="940">
        <f t="shared" si="73"/>
        <v>0</v>
      </c>
      <c r="AI184" s="924" t="e">
        <f>DATE(YEAR(tab!$G$3),MONTH(G184),DAY(G184))&gt;tab!$G$3</f>
        <v>#VALUE!</v>
      </c>
      <c r="AJ184" s="925" t="e">
        <f t="shared" si="74"/>
        <v>#VALUE!</v>
      </c>
      <c r="AK184" s="884">
        <f t="shared" si="75"/>
        <v>30</v>
      </c>
      <c r="AL184" s="884">
        <f t="shared" si="76"/>
        <v>30</v>
      </c>
      <c r="AM184" s="925">
        <f t="shared" si="77"/>
        <v>0</v>
      </c>
    </row>
    <row r="185" spans="3:39" ht="12.75" customHeight="1" x14ac:dyDescent="0.2">
      <c r="C185" s="69"/>
      <c r="D185" s="75" t="str">
        <f>IF(op!D118=0,"",op!D118)</f>
        <v/>
      </c>
      <c r="E185" s="75" t="str">
        <f>IF(op!E118=0,"",op!E118)</f>
        <v/>
      </c>
      <c r="F185" s="88" t="str">
        <f>IF(op!F118="","",op!F118+1)</f>
        <v/>
      </c>
      <c r="G185" s="290" t="str">
        <f>IF(op!G118="","",op!G118)</f>
        <v/>
      </c>
      <c r="H185" s="88" t="str">
        <f>IF(op!H118=0,"",op!H118)</f>
        <v/>
      </c>
      <c r="I185" s="99" t="str">
        <f>IF(J185="","",(IF(op!I118+1&gt;LOOKUP(H185,schaal2019,regels2019),op!I118,op!I118+1)))</f>
        <v/>
      </c>
      <c r="J185" s="291" t="str">
        <f>IF(op!J118="","",op!J118)</f>
        <v/>
      </c>
      <c r="K185" s="971"/>
      <c r="L185" s="859">
        <f t="shared" si="70"/>
        <v>0</v>
      </c>
      <c r="M185" s="859">
        <f t="shared" si="70"/>
        <v>0</v>
      </c>
      <c r="N185" s="867" t="str">
        <f t="shared" si="67"/>
        <v/>
      </c>
      <c r="O185" s="867" t="str">
        <f t="shared" si="68"/>
        <v/>
      </c>
      <c r="P185" s="953" t="str">
        <f t="shared" si="52"/>
        <v/>
      </c>
      <c r="Q185" s="70"/>
      <c r="R185" s="739" t="str">
        <f t="shared" si="69"/>
        <v/>
      </c>
      <c r="S185" s="739" t="str">
        <f t="shared" si="53"/>
        <v/>
      </c>
      <c r="T185" s="740" t="str">
        <f t="shared" si="54"/>
        <v/>
      </c>
      <c r="U185" s="275"/>
      <c r="V185" s="288"/>
      <c r="W185" s="288"/>
      <c r="X185" s="288"/>
      <c r="Y185" s="908">
        <f t="shared" si="71"/>
        <v>0</v>
      </c>
      <c r="Z185" s="986">
        <f>tab!$D$62</f>
        <v>0.6</v>
      </c>
      <c r="AA185" s="944">
        <f t="shared" si="56"/>
        <v>0</v>
      </c>
      <c r="AB185" s="944">
        <f t="shared" si="57"/>
        <v>0</v>
      </c>
      <c r="AC185" s="944">
        <f t="shared" si="58"/>
        <v>0</v>
      </c>
      <c r="AD185" s="943" t="e">
        <f t="shared" si="59"/>
        <v>#VALUE!</v>
      </c>
      <c r="AE185" s="943">
        <f t="shared" si="60"/>
        <v>0</v>
      </c>
      <c r="AF185" s="916">
        <f>IF(H185&gt;8,tab!$D$63,tab!$D$65)</f>
        <v>0.5</v>
      </c>
      <c r="AG185" s="925">
        <f t="shared" si="72"/>
        <v>0</v>
      </c>
      <c r="AH185" s="940">
        <f t="shared" si="73"/>
        <v>0</v>
      </c>
      <c r="AI185" s="924" t="e">
        <f>DATE(YEAR(tab!$G$3),MONTH(G185),DAY(G185))&gt;tab!$G$3</f>
        <v>#VALUE!</v>
      </c>
      <c r="AJ185" s="925" t="e">
        <f t="shared" si="74"/>
        <v>#VALUE!</v>
      </c>
      <c r="AK185" s="884">
        <f t="shared" si="75"/>
        <v>30</v>
      </c>
      <c r="AL185" s="884">
        <f t="shared" si="76"/>
        <v>30</v>
      </c>
      <c r="AM185" s="925">
        <f t="shared" si="77"/>
        <v>0</v>
      </c>
    </row>
    <row r="186" spans="3:39" ht="12.75" customHeight="1" x14ac:dyDescent="0.2">
      <c r="C186" s="69"/>
      <c r="D186" s="75" t="str">
        <f>IF(op!D119=0,"",op!D119)</f>
        <v/>
      </c>
      <c r="E186" s="75" t="str">
        <f>IF(op!E119=0,"",op!E119)</f>
        <v/>
      </c>
      <c r="F186" s="88" t="str">
        <f>IF(op!F119="","",op!F119+1)</f>
        <v/>
      </c>
      <c r="G186" s="290" t="str">
        <f>IF(op!G119="","",op!G119)</f>
        <v/>
      </c>
      <c r="H186" s="88" t="str">
        <f>IF(op!H119=0,"",op!H119)</f>
        <v/>
      </c>
      <c r="I186" s="99" t="str">
        <f>IF(J186="","",(IF(op!I119+1&gt;LOOKUP(H186,schaal2019,regels2019),op!I119,op!I119+1)))</f>
        <v/>
      </c>
      <c r="J186" s="291" t="str">
        <f>IF(op!J119="","",op!J119)</f>
        <v/>
      </c>
      <c r="K186" s="971"/>
      <c r="L186" s="859">
        <f t="shared" si="70"/>
        <v>0</v>
      </c>
      <c r="M186" s="859">
        <f t="shared" si="70"/>
        <v>0</v>
      </c>
      <c r="N186" s="867" t="str">
        <f t="shared" si="67"/>
        <v/>
      </c>
      <c r="O186" s="867" t="str">
        <f t="shared" si="68"/>
        <v/>
      </c>
      <c r="P186" s="953" t="str">
        <f t="shared" si="52"/>
        <v/>
      </c>
      <c r="Q186" s="70"/>
      <c r="R186" s="739" t="str">
        <f t="shared" si="69"/>
        <v/>
      </c>
      <c r="S186" s="739" t="str">
        <f t="shared" si="53"/>
        <v/>
      </c>
      <c r="T186" s="740" t="str">
        <f t="shared" si="54"/>
        <v/>
      </c>
      <c r="U186" s="275"/>
      <c r="V186" s="288"/>
      <c r="W186" s="288"/>
      <c r="X186" s="288"/>
      <c r="Y186" s="908">
        <f t="shared" si="71"/>
        <v>0</v>
      </c>
      <c r="Z186" s="986">
        <f>tab!$D$62</f>
        <v>0.6</v>
      </c>
      <c r="AA186" s="944">
        <f t="shared" si="56"/>
        <v>0</v>
      </c>
      <c r="AB186" s="944">
        <f t="shared" si="57"/>
        <v>0</v>
      </c>
      <c r="AC186" s="944">
        <f t="shared" si="58"/>
        <v>0</v>
      </c>
      <c r="AD186" s="943" t="e">
        <f t="shared" si="59"/>
        <v>#VALUE!</v>
      </c>
      <c r="AE186" s="943">
        <f t="shared" si="60"/>
        <v>0</v>
      </c>
      <c r="AF186" s="916">
        <f>IF(H186&gt;8,tab!$D$63,tab!$D$65)</f>
        <v>0.5</v>
      </c>
      <c r="AG186" s="925">
        <f t="shared" si="72"/>
        <v>0</v>
      </c>
      <c r="AH186" s="940">
        <f t="shared" si="73"/>
        <v>0</v>
      </c>
      <c r="AI186" s="924" t="e">
        <f>DATE(YEAR(tab!$G$3),MONTH(G186),DAY(G186))&gt;tab!$G$3</f>
        <v>#VALUE!</v>
      </c>
      <c r="AJ186" s="925" t="e">
        <f t="shared" si="74"/>
        <v>#VALUE!</v>
      </c>
      <c r="AK186" s="884">
        <f t="shared" si="75"/>
        <v>30</v>
      </c>
      <c r="AL186" s="884">
        <f t="shared" si="76"/>
        <v>30</v>
      </c>
      <c r="AM186" s="925">
        <f t="shared" si="77"/>
        <v>0</v>
      </c>
    </row>
    <row r="187" spans="3:39" ht="12.75" customHeight="1" x14ac:dyDescent="0.2">
      <c r="C187" s="69"/>
      <c r="D187" s="75" t="str">
        <f>IF(op!D120=0,"",op!D120)</f>
        <v/>
      </c>
      <c r="E187" s="75" t="str">
        <f>IF(op!E120=0,"",op!E120)</f>
        <v/>
      </c>
      <c r="F187" s="88" t="str">
        <f>IF(op!F120="","",op!F120+1)</f>
        <v/>
      </c>
      <c r="G187" s="290" t="str">
        <f>IF(op!G120="","",op!G120)</f>
        <v/>
      </c>
      <c r="H187" s="88" t="str">
        <f>IF(op!H120=0,"",op!H120)</f>
        <v/>
      </c>
      <c r="I187" s="99" t="str">
        <f>IF(J187="","",(IF(op!I120+1&gt;LOOKUP(H187,schaal2019,regels2019),op!I120,op!I120+1)))</f>
        <v/>
      </c>
      <c r="J187" s="291" t="str">
        <f>IF(op!J120="","",op!J120)</f>
        <v/>
      </c>
      <c r="K187" s="971"/>
      <c r="L187" s="859">
        <f t="shared" si="70"/>
        <v>0</v>
      </c>
      <c r="M187" s="859">
        <f t="shared" si="70"/>
        <v>0</v>
      </c>
      <c r="N187" s="867" t="str">
        <f t="shared" si="67"/>
        <v/>
      </c>
      <c r="O187" s="867" t="str">
        <f t="shared" si="68"/>
        <v/>
      </c>
      <c r="P187" s="953" t="str">
        <f t="shared" si="52"/>
        <v/>
      </c>
      <c r="Q187" s="70"/>
      <c r="R187" s="739" t="str">
        <f t="shared" si="69"/>
        <v/>
      </c>
      <c r="S187" s="739" t="str">
        <f t="shared" si="53"/>
        <v/>
      </c>
      <c r="T187" s="740" t="str">
        <f t="shared" si="54"/>
        <v/>
      </c>
      <c r="U187" s="275"/>
      <c r="V187" s="288"/>
      <c r="W187" s="288"/>
      <c r="X187" s="288"/>
      <c r="Y187" s="908">
        <f t="shared" si="71"/>
        <v>0</v>
      </c>
      <c r="Z187" s="986">
        <f>tab!$D$62</f>
        <v>0.6</v>
      </c>
      <c r="AA187" s="944">
        <f t="shared" si="56"/>
        <v>0</v>
      </c>
      <c r="AB187" s="944">
        <f t="shared" si="57"/>
        <v>0</v>
      </c>
      <c r="AC187" s="944">
        <f t="shared" si="58"/>
        <v>0</v>
      </c>
      <c r="AD187" s="943" t="e">
        <f t="shared" si="59"/>
        <v>#VALUE!</v>
      </c>
      <c r="AE187" s="943">
        <f t="shared" si="60"/>
        <v>0</v>
      </c>
      <c r="AF187" s="916">
        <f>IF(H187&gt;8,tab!$D$63,tab!$D$65)</f>
        <v>0.5</v>
      </c>
      <c r="AG187" s="925">
        <f t="shared" si="72"/>
        <v>0</v>
      </c>
      <c r="AH187" s="940">
        <f t="shared" si="73"/>
        <v>0</v>
      </c>
      <c r="AI187" s="924" t="e">
        <f>DATE(YEAR(tab!$G$3),MONTH(G187),DAY(G187))&gt;tab!$G$3</f>
        <v>#VALUE!</v>
      </c>
      <c r="AJ187" s="925" t="e">
        <f t="shared" si="74"/>
        <v>#VALUE!</v>
      </c>
      <c r="AK187" s="884">
        <f t="shared" si="75"/>
        <v>30</v>
      </c>
      <c r="AL187" s="884">
        <f t="shared" si="76"/>
        <v>30</v>
      </c>
      <c r="AM187" s="925">
        <f t="shared" si="77"/>
        <v>0</v>
      </c>
    </row>
    <row r="188" spans="3:39" ht="12.75" customHeight="1" x14ac:dyDescent="0.2">
      <c r="C188" s="69"/>
      <c r="D188" s="75" t="str">
        <f>IF(op!D121=0,"",op!D121)</f>
        <v/>
      </c>
      <c r="E188" s="75" t="str">
        <f>IF(op!E121=0,"",op!E121)</f>
        <v/>
      </c>
      <c r="F188" s="88" t="str">
        <f>IF(op!F121="","",op!F121+1)</f>
        <v/>
      </c>
      <c r="G188" s="290" t="str">
        <f>IF(op!G121="","",op!G121)</f>
        <v/>
      </c>
      <c r="H188" s="88" t="str">
        <f>IF(op!H121=0,"",op!H121)</f>
        <v/>
      </c>
      <c r="I188" s="99" t="str">
        <f>IF(J188="","",(IF(op!I121+1&gt;LOOKUP(H188,schaal2019,regels2019),op!I121,op!I121+1)))</f>
        <v/>
      </c>
      <c r="J188" s="291" t="str">
        <f>IF(op!J121="","",op!J121)</f>
        <v/>
      </c>
      <c r="K188" s="971"/>
      <c r="L188" s="859">
        <f t="shared" si="70"/>
        <v>0</v>
      </c>
      <c r="M188" s="859">
        <f t="shared" si="70"/>
        <v>0</v>
      </c>
      <c r="N188" s="867" t="str">
        <f t="shared" si="67"/>
        <v/>
      </c>
      <c r="O188" s="867" t="str">
        <f t="shared" si="68"/>
        <v/>
      </c>
      <c r="P188" s="953" t="str">
        <f t="shared" si="52"/>
        <v/>
      </c>
      <c r="Q188" s="70"/>
      <c r="R188" s="739" t="str">
        <f t="shared" si="69"/>
        <v/>
      </c>
      <c r="S188" s="739" t="str">
        <f t="shared" si="53"/>
        <v/>
      </c>
      <c r="T188" s="740" t="str">
        <f t="shared" si="54"/>
        <v/>
      </c>
      <c r="U188" s="275"/>
      <c r="V188" s="288"/>
      <c r="W188" s="288"/>
      <c r="X188" s="288"/>
      <c r="Y188" s="908">
        <f t="shared" si="71"/>
        <v>0</v>
      </c>
      <c r="Z188" s="986">
        <f>tab!$D$62</f>
        <v>0.6</v>
      </c>
      <c r="AA188" s="944">
        <f t="shared" si="56"/>
        <v>0</v>
      </c>
      <c r="AB188" s="944">
        <f t="shared" si="57"/>
        <v>0</v>
      </c>
      <c r="AC188" s="944">
        <f t="shared" si="58"/>
        <v>0</v>
      </c>
      <c r="AD188" s="943" t="e">
        <f t="shared" si="59"/>
        <v>#VALUE!</v>
      </c>
      <c r="AE188" s="943">
        <f t="shared" si="60"/>
        <v>0</v>
      </c>
      <c r="AF188" s="916">
        <f>IF(H188&gt;8,tab!$D$63,tab!$D$65)</f>
        <v>0.5</v>
      </c>
      <c r="AG188" s="925">
        <f t="shared" si="72"/>
        <v>0</v>
      </c>
      <c r="AH188" s="940">
        <f t="shared" si="73"/>
        <v>0</v>
      </c>
      <c r="AI188" s="924" t="e">
        <f>DATE(YEAR(tab!$G$3),MONTH(G188),DAY(G188))&gt;tab!$G$3</f>
        <v>#VALUE!</v>
      </c>
      <c r="AJ188" s="925" t="e">
        <f t="shared" si="74"/>
        <v>#VALUE!</v>
      </c>
      <c r="AK188" s="884">
        <f t="shared" si="75"/>
        <v>30</v>
      </c>
      <c r="AL188" s="884">
        <f t="shared" si="76"/>
        <v>30</v>
      </c>
      <c r="AM188" s="925">
        <f t="shared" si="77"/>
        <v>0</v>
      </c>
    </row>
    <row r="189" spans="3:39" ht="12.75" customHeight="1" x14ac:dyDescent="0.2">
      <c r="C189" s="69"/>
      <c r="D189" s="75" t="str">
        <f>IF(op!D122=0,"",op!D122)</f>
        <v/>
      </c>
      <c r="E189" s="75" t="str">
        <f>IF(op!E122=0,"",op!E122)</f>
        <v/>
      </c>
      <c r="F189" s="88" t="str">
        <f>IF(op!F122="","",op!F122+1)</f>
        <v/>
      </c>
      <c r="G189" s="290" t="str">
        <f>IF(op!G122="","",op!G122)</f>
        <v/>
      </c>
      <c r="H189" s="88" t="str">
        <f>IF(op!H122=0,"",op!H122)</f>
        <v/>
      </c>
      <c r="I189" s="99" t="str">
        <f>IF(J189="","",(IF(op!I122+1&gt;LOOKUP(H189,schaal2019,regels2019),op!I122,op!I122+1)))</f>
        <v/>
      </c>
      <c r="J189" s="291" t="str">
        <f>IF(op!J122="","",op!J122)</f>
        <v/>
      </c>
      <c r="K189" s="971"/>
      <c r="L189" s="859">
        <f t="shared" si="70"/>
        <v>0</v>
      </c>
      <c r="M189" s="859">
        <f t="shared" si="70"/>
        <v>0</v>
      </c>
      <c r="N189" s="867" t="str">
        <f t="shared" si="67"/>
        <v/>
      </c>
      <c r="O189" s="867" t="str">
        <f t="shared" si="68"/>
        <v/>
      </c>
      <c r="P189" s="953" t="str">
        <f t="shared" si="52"/>
        <v/>
      </c>
      <c r="Q189" s="70"/>
      <c r="R189" s="739" t="str">
        <f t="shared" si="69"/>
        <v/>
      </c>
      <c r="S189" s="739" t="str">
        <f t="shared" si="53"/>
        <v/>
      </c>
      <c r="T189" s="740" t="str">
        <f t="shared" si="54"/>
        <v/>
      </c>
      <c r="U189" s="275"/>
      <c r="V189" s="288"/>
      <c r="W189" s="288"/>
      <c r="X189" s="288"/>
      <c r="Y189" s="908">
        <f t="shared" si="71"/>
        <v>0</v>
      </c>
      <c r="Z189" s="986">
        <f>tab!$D$62</f>
        <v>0.6</v>
      </c>
      <c r="AA189" s="944">
        <f t="shared" si="56"/>
        <v>0</v>
      </c>
      <c r="AB189" s="944">
        <f t="shared" si="57"/>
        <v>0</v>
      </c>
      <c r="AC189" s="944">
        <f t="shared" si="58"/>
        <v>0</v>
      </c>
      <c r="AD189" s="943" t="e">
        <f t="shared" si="59"/>
        <v>#VALUE!</v>
      </c>
      <c r="AE189" s="943">
        <f t="shared" si="60"/>
        <v>0</v>
      </c>
      <c r="AF189" s="916">
        <f>IF(H189&gt;8,tab!$D$63,tab!$D$65)</f>
        <v>0.5</v>
      </c>
      <c r="AG189" s="925">
        <f t="shared" si="72"/>
        <v>0</v>
      </c>
      <c r="AH189" s="940">
        <f t="shared" si="73"/>
        <v>0</v>
      </c>
      <c r="AI189" s="924" t="e">
        <f>DATE(YEAR(tab!$G$3),MONTH(G189),DAY(G189))&gt;tab!$G$3</f>
        <v>#VALUE!</v>
      </c>
      <c r="AJ189" s="925" t="e">
        <f t="shared" si="74"/>
        <v>#VALUE!</v>
      </c>
      <c r="AK189" s="884">
        <f t="shared" si="75"/>
        <v>30</v>
      </c>
      <c r="AL189" s="884">
        <f t="shared" si="76"/>
        <v>30</v>
      </c>
      <c r="AM189" s="925">
        <f t="shared" si="77"/>
        <v>0</v>
      </c>
    </row>
    <row r="190" spans="3:39" ht="12.75" customHeight="1" x14ac:dyDescent="0.2">
      <c r="C190" s="69"/>
      <c r="D190" s="75" t="str">
        <f>IF(op!D123=0,"",op!D123)</f>
        <v/>
      </c>
      <c r="E190" s="75" t="str">
        <f>IF(op!E123=0,"",op!E123)</f>
        <v/>
      </c>
      <c r="F190" s="88" t="str">
        <f>IF(op!F123="","",op!F123+1)</f>
        <v/>
      </c>
      <c r="G190" s="290" t="str">
        <f>IF(op!G123="","",op!G123)</f>
        <v/>
      </c>
      <c r="H190" s="88" t="str">
        <f>IF(op!H123=0,"",op!H123)</f>
        <v/>
      </c>
      <c r="I190" s="99" t="str">
        <f>IF(J190="","",(IF(op!I123+1&gt;LOOKUP(H190,schaal2019,regels2019),op!I123,op!I123+1)))</f>
        <v/>
      </c>
      <c r="J190" s="291" t="str">
        <f>IF(op!J123="","",op!J123)</f>
        <v/>
      </c>
      <c r="K190" s="971"/>
      <c r="L190" s="859">
        <f t="shared" si="70"/>
        <v>0</v>
      </c>
      <c r="M190" s="859">
        <f t="shared" si="70"/>
        <v>0</v>
      </c>
      <c r="N190" s="867" t="str">
        <f t="shared" si="67"/>
        <v/>
      </c>
      <c r="O190" s="867" t="str">
        <f t="shared" si="68"/>
        <v/>
      </c>
      <c r="P190" s="953" t="str">
        <f t="shared" si="52"/>
        <v/>
      </c>
      <c r="Q190" s="70"/>
      <c r="R190" s="739" t="str">
        <f t="shared" si="69"/>
        <v/>
      </c>
      <c r="S190" s="739" t="str">
        <f t="shared" si="53"/>
        <v/>
      </c>
      <c r="T190" s="740" t="str">
        <f t="shared" si="54"/>
        <v/>
      </c>
      <c r="U190" s="275"/>
      <c r="V190" s="288"/>
      <c r="W190" s="288"/>
      <c r="X190" s="288"/>
      <c r="Y190" s="908">
        <f t="shared" si="71"/>
        <v>0</v>
      </c>
      <c r="Z190" s="986">
        <f>tab!$D$62</f>
        <v>0.6</v>
      </c>
      <c r="AA190" s="944">
        <f t="shared" si="56"/>
        <v>0</v>
      </c>
      <c r="AB190" s="944">
        <f t="shared" si="57"/>
        <v>0</v>
      </c>
      <c r="AC190" s="944">
        <f t="shared" si="58"/>
        <v>0</v>
      </c>
      <c r="AD190" s="943" t="e">
        <f t="shared" si="59"/>
        <v>#VALUE!</v>
      </c>
      <c r="AE190" s="943">
        <f t="shared" si="60"/>
        <v>0</v>
      </c>
      <c r="AF190" s="916">
        <f>IF(H190&gt;8,tab!$D$63,tab!$D$65)</f>
        <v>0.5</v>
      </c>
      <c r="AG190" s="925">
        <f t="shared" si="72"/>
        <v>0</v>
      </c>
      <c r="AH190" s="940">
        <f t="shared" si="73"/>
        <v>0</v>
      </c>
      <c r="AI190" s="924" t="e">
        <f>DATE(YEAR(tab!$G$3),MONTH(G190),DAY(G190))&gt;tab!$G$3</f>
        <v>#VALUE!</v>
      </c>
      <c r="AJ190" s="925" t="e">
        <f t="shared" si="74"/>
        <v>#VALUE!</v>
      </c>
      <c r="AK190" s="884">
        <f t="shared" si="75"/>
        <v>30</v>
      </c>
      <c r="AL190" s="884">
        <f t="shared" si="76"/>
        <v>30</v>
      </c>
      <c r="AM190" s="925">
        <f t="shared" si="77"/>
        <v>0</v>
      </c>
    </row>
    <row r="191" spans="3:39" ht="12.75" customHeight="1" x14ac:dyDescent="0.2">
      <c r="C191" s="69"/>
      <c r="D191" s="75" t="str">
        <f>IF(op!D124=0,"",op!D124)</f>
        <v/>
      </c>
      <c r="E191" s="75" t="str">
        <f>IF(op!E124=0,"",op!E124)</f>
        <v/>
      </c>
      <c r="F191" s="88" t="str">
        <f>IF(op!F124="","",op!F124+1)</f>
        <v/>
      </c>
      <c r="G191" s="290" t="str">
        <f>IF(op!G124="","",op!G124)</f>
        <v/>
      </c>
      <c r="H191" s="88" t="str">
        <f>IF(op!H124=0,"",op!H124)</f>
        <v/>
      </c>
      <c r="I191" s="99" t="str">
        <f>IF(J191="","",(IF(op!I124+1&gt;LOOKUP(H191,schaal2019,regels2019),op!I124,op!I124+1)))</f>
        <v/>
      </c>
      <c r="J191" s="291" t="str">
        <f>IF(op!J124="","",op!J124)</f>
        <v/>
      </c>
      <c r="K191" s="971"/>
      <c r="L191" s="859">
        <f t="shared" ref="L191:M205" si="78">IF(L124="","",L124)</f>
        <v>0</v>
      </c>
      <c r="M191" s="859">
        <f t="shared" si="78"/>
        <v>0</v>
      </c>
      <c r="N191" s="867" t="str">
        <f t="shared" si="67"/>
        <v/>
      </c>
      <c r="O191" s="867" t="str">
        <f t="shared" si="68"/>
        <v/>
      </c>
      <c r="P191" s="953" t="str">
        <f t="shared" si="52"/>
        <v/>
      </c>
      <c r="Q191" s="70"/>
      <c r="R191" s="739" t="str">
        <f t="shared" si="69"/>
        <v/>
      </c>
      <c r="S191" s="739" t="str">
        <f t="shared" si="53"/>
        <v/>
      </c>
      <c r="T191" s="740" t="str">
        <f t="shared" si="54"/>
        <v/>
      </c>
      <c r="U191" s="275"/>
      <c r="V191" s="288"/>
      <c r="W191" s="288"/>
      <c r="X191" s="288"/>
      <c r="Y191" s="908">
        <f t="shared" si="71"/>
        <v>0</v>
      </c>
      <c r="Z191" s="986">
        <f>tab!$D$62</f>
        <v>0.6</v>
      </c>
      <c r="AA191" s="944">
        <f t="shared" si="56"/>
        <v>0</v>
      </c>
      <c r="AB191" s="944">
        <f t="shared" si="57"/>
        <v>0</v>
      </c>
      <c r="AC191" s="944">
        <f t="shared" si="58"/>
        <v>0</v>
      </c>
      <c r="AD191" s="943" t="e">
        <f t="shared" si="59"/>
        <v>#VALUE!</v>
      </c>
      <c r="AE191" s="943">
        <f t="shared" si="60"/>
        <v>0</v>
      </c>
      <c r="AF191" s="916">
        <f>IF(H191&gt;8,tab!$D$63,tab!$D$65)</f>
        <v>0.5</v>
      </c>
      <c r="AG191" s="925">
        <f t="shared" si="72"/>
        <v>0</v>
      </c>
      <c r="AH191" s="940">
        <f t="shared" si="73"/>
        <v>0</v>
      </c>
      <c r="AI191" s="924" t="e">
        <f>DATE(YEAR(tab!$G$3),MONTH(G191),DAY(G191))&gt;tab!$G$3</f>
        <v>#VALUE!</v>
      </c>
      <c r="AJ191" s="925" t="e">
        <f t="shared" si="74"/>
        <v>#VALUE!</v>
      </c>
      <c r="AK191" s="884">
        <f t="shared" si="75"/>
        <v>30</v>
      </c>
      <c r="AL191" s="884">
        <f t="shared" si="76"/>
        <v>30</v>
      </c>
      <c r="AM191" s="925">
        <f t="shared" si="77"/>
        <v>0</v>
      </c>
    </row>
    <row r="192" spans="3:39" ht="12.75" customHeight="1" x14ac:dyDescent="0.2">
      <c r="C192" s="69"/>
      <c r="D192" s="75" t="str">
        <f>IF(op!D125=0,"",op!D125)</f>
        <v/>
      </c>
      <c r="E192" s="75" t="str">
        <f>IF(op!E125=0,"",op!E125)</f>
        <v/>
      </c>
      <c r="F192" s="88" t="str">
        <f>IF(op!F125="","",op!F125+1)</f>
        <v/>
      </c>
      <c r="G192" s="290" t="str">
        <f>IF(op!G125="","",op!G125)</f>
        <v/>
      </c>
      <c r="H192" s="88" t="str">
        <f>IF(op!H125=0,"",op!H125)</f>
        <v/>
      </c>
      <c r="I192" s="99" t="str">
        <f>IF(J192="","",(IF(op!I125+1&gt;LOOKUP(H192,schaal2019,regels2019),op!I125,op!I125+1)))</f>
        <v/>
      </c>
      <c r="J192" s="291" t="str">
        <f>IF(op!J125="","",op!J125)</f>
        <v/>
      </c>
      <c r="K192" s="971"/>
      <c r="L192" s="859">
        <f t="shared" si="78"/>
        <v>0</v>
      </c>
      <c r="M192" s="859">
        <f t="shared" si="78"/>
        <v>0</v>
      </c>
      <c r="N192" s="867" t="str">
        <f t="shared" si="67"/>
        <v/>
      </c>
      <c r="O192" s="867" t="str">
        <f t="shared" si="68"/>
        <v/>
      </c>
      <c r="P192" s="953" t="str">
        <f t="shared" si="52"/>
        <v/>
      </c>
      <c r="Q192" s="70"/>
      <c r="R192" s="739" t="str">
        <f t="shared" si="69"/>
        <v/>
      </c>
      <c r="S192" s="739" t="str">
        <f t="shared" si="53"/>
        <v/>
      </c>
      <c r="T192" s="740" t="str">
        <f t="shared" si="54"/>
        <v/>
      </c>
      <c r="U192" s="275"/>
      <c r="V192" s="288"/>
      <c r="W192" s="288"/>
      <c r="X192" s="288"/>
      <c r="Y192" s="908">
        <f t="shared" si="71"/>
        <v>0</v>
      </c>
      <c r="Z192" s="986">
        <f>tab!$D$62</f>
        <v>0.6</v>
      </c>
      <c r="AA192" s="944">
        <f t="shared" si="56"/>
        <v>0</v>
      </c>
      <c r="AB192" s="944">
        <f t="shared" si="57"/>
        <v>0</v>
      </c>
      <c r="AC192" s="944">
        <f t="shared" si="58"/>
        <v>0</v>
      </c>
      <c r="AD192" s="943" t="e">
        <f t="shared" si="59"/>
        <v>#VALUE!</v>
      </c>
      <c r="AE192" s="943">
        <f t="shared" si="60"/>
        <v>0</v>
      </c>
      <c r="AF192" s="916">
        <f>IF(H192&gt;8,tab!$D$63,tab!$D$65)</f>
        <v>0.5</v>
      </c>
      <c r="AG192" s="925">
        <f t="shared" si="72"/>
        <v>0</v>
      </c>
      <c r="AH192" s="940">
        <f t="shared" si="73"/>
        <v>0</v>
      </c>
      <c r="AI192" s="924" t="e">
        <f>DATE(YEAR(tab!$G$3),MONTH(G192),DAY(G192))&gt;tab!$G$3</f>
        <v>#VALUE!</v>
      </c>
      <c r="AJ192" s="925" t="e">
        <f t="shared" si="74"/>
        <v>#VALUE!</v>
      </c>
      <c r="AK192" s="884">
        <f t="shared" si="75"/>
        <v>30</v>
      </c>
      <c r="AL192" s="884">
        <f t="shared" si="76"/>
        <v>30</v>
      </c>
      <c r="AM192" s="925">
        <f t="shared" si="77"/>
        <v>0</v>
      </c>
    </row>
    <row r="193" spans="3:39" ht="12.75" customHeight="1" x14ac:dyDescent="0.2">
      <c r="C193" s="69"/>
      <c r="D193" s="75" t="str">
        <f>IF(op!D126=0,"",op!D126)</f>
        <v/>
      </c>
      <c r="E193" s="75" t="str">
        <f>IF(op!E126=0,"",op!E126)</f>
        <v/>
      </c>
      <c r="F193" s="88" t="str">
        <f>IF(op!F126="","",op!F126+1)</f>
        <v/>
      </c>
      <c r="G193" s="290" t="str">
        <f>IF(op!G126="","",op!G126)</f>
        <v/>
      </c>
      <c r="H193" s="88" t="str">
        <f>IF(op!H126=0,"",op!H126)</f>
        <v/>
      </c>
      <c r="I193" s="99" t="str">
        <f>IF(J193="","",(IF(op!I126+1&gt;LOOKUP(H193,schaal2019,regels2019),op!I126,op!I126+1)))</f>
        <v/>
      </c>
      <c r="J193" s="291" t="str">
        <f>IF(op!J126="","",op!J126)</f>
        <v/>
      </c>
      <c r="K193" s="971"/>
      <c r="L193" s="859">
        <f t="shared" si="78"/>
        <v>0</v>
      </c>
      <c r="M193" s="859">
        <f t="shared" si="78"/>
        <v>0</v>
      </c>
      <c r="N193" s="867" t="str">
        <f t="shared" si="67"/>
        <v/>
      </c>
      <c r="O193" s="867" t="str">
        <f t="shared" si="68"/>
        <v/>
      </c>
      <c r="P193" s="953" t="str">
        <f t="shared" si="52"/>
        <v/>
      </c>
      <c r="Q193" s="70"/>
      <c r="R193" s="739" t="str">
        <f t="shared" si="69"/>
        <v/>
      </c>
      <c r="S193" s="739" t="str">
        <f t="shared" si="53"/>
        <v/>
      </c>
      <c r="T193" s="740" t="str">
        <f t="shared" si="54"/>
        <v/>
      </c>
      <c r="U193" s="275"/>
      <c r="V193" s="288"/>
      <c r="W193" s="288"/>
      <c r="X193" s="288"/>
      <c r="Y193" s="908">
        <f t="shared" si="71"/>
        <v>0</v>
      </c>
      <c r="Z193" s="986">
        <f>tab!$D$62</f>
        <v>0.6</v>
      </c>
      <c r="AA193" s="944">
        <f t="shared" si="56"/>
        <v>0</v>
      </c>
      <c r="AB193" s="944">
        <f t="shared" si="57"/>
        <v>0</v>
      </c>
      <c r="AC193" s="944">
        <f t="shared" si="58"/>
        <v>0</v>
      </c>
      <c r="AD193" s="943" t="e">
        <f t="shared" si="59"/>
        <v>#VALUE!</v>
      </c>
      <c r="AE193" s="943">
        <f t="shared" si="60"/>
        <v>0</v>
      </c>
      <c r="AF193" s="916">
        <f>IF(H193&gt;8,tab!$D$63,tab!$D$65)</f>
        <v>0.5</v>
      </c>
      <c r="AG193" s="925">
        <f t="shared" si="72"/>
        <v>0</v>
      </c>
      <c r="AH193" s="940">
        <f t="shared" si="73"/>
        <v>0</v>
      </c>
      <c r="AI193" s="924" t="e">
        <f>DATE(YEAR(tab!$G$3),MONTH(G193),DAY(G193))&gt;tab!$G$3</f>
        <v>#VALUE!</v>
      </c>
      <c r="AJ193" s="925" t="e">
        <f t="shared" si="74"/>
        <v>#VALUE!</v>
      </c>
      <c r="AK193" s="884">
        <f t="shared" si="75"/>
        <v>30</v>
      </c>
      <c r="AL193" s="884">
        <f t="shared" si="76"/>
        <v>30</v>
      </c>
      <c r="AM193" s="925">
        <f t="shared" si="77"/>
        <v>0</v>
      </c>
    </row>
    <row r="194" spans="3:39" ht="12.75" customHeight="1" x14ac:dyDescent="0.2">
      <c r="C194" s="69"/>
      <c r="D194" s="75" t="str">
        <f>IF(op!D127=0,"",op!D127)</f>
        <v/>
      </c>
      <c r="E194" s="75" t="str">
        <f>IF(op!E127=0,"",op!E127)</f>
        <v/>
      </c>
      <c r="F194" s="88" t="str">
        <f>IF(op!F127="","",op!F127+1)</f>
        <v/>
      </c>
      <c r="G194" s="290" t="str">
        <f>IF(op!G127="","",op!G127)</f>
        <v/>
      </c>
      <c r="H194" s="88" t="str">
        <f>IF(op!H127=0,"",op!H127)</f>
        <v/>
      </c>
      <c r="I194" s="99" t="str">
        <f>IF(J194="","",(IF(op!I127+1&gt;LOOKUP(H194,schaal2019,regels2019),op!I127,op!I127+1)))</f>
        <v/>
      </c>
      <c r="J194" s="291" t="str">
        <f>IF(op!J127="","",op!J127)</f>
        <v/>
      </c>
      <c r="K194" s="971"/>
      <c r="L194" s="859">
        <f t="shared" si="78"/>
        <v>0</v>
      </c>
      <c r="M194" s="859">
        <f t="shared" si="78"/>
        <v>0</v>
      </c>
      <c r="N194" s="867" t="str">
        <f t="shared" si="67"/>
        <v/>
      </c>
      <c r="O194" s="867" t="str">
        <f t="shared" si="68"/>
        <v/>
      </c>
      <c r="P194" s="953" t="str">
        <f t="shared" si="52"/>
        <v/>
      </c>
      <c r="Q194" s="70"/>
      <c r="R194" s="739" t="str">
        <f t="shared" si="69"/>
        <v/>
      </c>
      <c r="S194" s="739" t="str">
        <f t="shared" si="53"/>
        <v/>
      </c>
      <c r="T194" s="740" t="str">
        <f t="shared" si="54"/>
        <v/>
      </c>
      <c r="U194" s="275"/>
      <c r="V194" s="288"/>
      <c r="W194" s="288"/>
      <c r="X194" s="288"/>
      <c r="Y194" s="908">
        <f t="shared" si="71"/>
        <v>0</v>
      </c>
      <c r="Z194" s="986">
        <f>tab!$D$62</f>
        <v>0.6</v>
      </c>
      <c r="AA194" s="944">
        <f t="shared" si="56"/>
        <v>0</v>
      </c>
      <c r="AB194" s="944">
        <f t="shared" si="57"/>
        <v>0</v>
      </c>
      <c r="AC194" s="944">
        <f t="shared" si="58"/>
        <v>0</v>
      </c>
      <c r="AD194" s="943" t="e">
        <f t="shared" si="59"/>
        <v>#VALUE!</v>
      </c>
      <c r="AE194" s="943">
        <f t="shared" si="60"/>
        <v>0</v>
      </c>
      <c r="AF194" s="916">
        <f>IF(H194&gt;8,tab!$D$63,tab!$D$65)</f>
        <v>0.5</v>
      </c>
      <c r="AG194" s="925">
        <f t="shared" si="72"/>
        <v>0</v>
      </c>
      <c r="AH194" s="940">
        <f t="shared" si="73"/>
        <v>0</v>
      </c>
      <c r="AI194" s="924" t="e">
        <f>DATE(YEAR(tab!$G$3),MONTH(G194),DAY(G194))&gt;tab!$G$3</f>
        <v>#VALUE!</v>
      </c>
      <c r="AJ194" s="925" t="e">
        <f t="shared" si="74"/>
        <v>#VALUE!</v>
      </c>
      <c r="AK194" s="884">
        <f t="shared" si="75"/>
        <v>30</v>
      </c>
      <c r="AL194" s="884">
        <f t="shared" si="76"/>
        <v>30</v>
      </c>
      <c r="AM194" s="925">
        <f t="shared" si="77"/>
        <v>0</v>
      </c>
    </row>
    <row r="195" spans="3:39" ht="12.75" customHeight="1" x14ac:dyDescent="0.2">
      <c r="C195" s="69"/>
      <c r="D195" s="75" t="str">
        <f>IF(op!D128=0,"",op!D128)</f>
        <v/>
      </c>
      <c r="E195" s="75" t="str">
        <f>IF(op!E128=0,"",op!E128)</f>
        <v/>
      </c>
      <c r="F195" s="88" t="str">
        <f>IF(op!F128="","",op!F128+1)</f>
        <v/>
      </c>
      <c r="G195" s="290" t="str">
        <f>IF(op!G128="","",op!G128)</f>
        <v/>
      </c>
      <c r="H195" s="88" t="str">
        <f>IF(op!H128=0,"",op!H128)</f>
        <v/>
      </c>
      <c r="I195" s="99" t="str">
        <f>IF(J195="","",(IF(op!I128+1&gt;LOOKUP(H195,schaal2019,regels2019),op!I128,op!I128+1)))</f>
        <v/>
      </c>
      <c r="J195" s="291" t="str">
        <f>IF(op!J128="","",op!J128)</f>
        <v/>
      </c>
      <c r="K195" s="971"/>
      <c r="L195" s="859">
        <f t="shared" si="78"/>
        <v>0</v>
      </c>
      <c r="M195" s="859">
        <f t="shared" si="78"/>
        <v>0</v>
      </c>
      <c r="N195" s="867" t="str">
        <f t="shared" si="67"/>
        <v/>
      </c>
      <c r="O195" s="867" t="str">
        <f t="shared" si="68"/>
        <v/>
      </c>
      <c r="P195" s="953" t="str">
        <f t="shared" si="52"/>
        <v/>
      </c>
      <c r="Q195" s="70"/>
      <c r="R195" s="739" t="str">
        <f t="shared" si="69"/>
        <v/>
      </c>
      <c r="S195" s="739" t="str">
        <f t="shared" si="53"/>
        <v/>
      </c>
      <c r="T195" s="740" t="str">
        <f t="shared" si="54"/>
        <v/>
      </c>
      <c r="U195" s="275"/>
      <c r="V195" s="288"/>
      <c r="W195" s="288"/>
      <c r="X195" s="288"/>
      <c r="Y195" s="908">
        <f t="shared" si="71"/>
        <v>0</v>
      </c>
      <c r="Z195" s="986">
        <f>tab!$D$62</f>
        <v>0.6</v>
      </c>
      <c r="AA195" s="944">
        <f t="shared" si="56"/>
        <v>0</v>
      </c>
      <c r="AB195" s="944">
        <f t="shared" si="57"/>
        <v>0</v>
      </c>
      <c r="AC195" s="944">
        <f t="shared" si="58"/>
        <v>0</v>
      </c>
      <c r="AD195" s="943" t="e">
        <f t="shared" si="59"/>
        <v>#VALUE!</v>
      </c>
      <c r="AE195" s="943">
        <f t="shared" si="60"/>
        <v>0</v>
      </c>
      <c r="AF195" s="916">
        <f>IF(H195&gt;8,tab!$D$63,tab!$D$65)</f>
        <v>0.5</v>
      </c>
      <c r="AG195" s="925">
        <f t="shared" si="72"/>
        <v>0</v>
      </c>
      <c r="AH195" s="940">
        <f t="shared" si="73"/>
        <v>0</v>
      </c>
      <c r="AI195" s="924" t="e">
        <f>DATE(YEAR(tab!$G$3),MONTH(G195),DAY(G195))&gt;tab!$G$3</f>
        <v>#VALUE!</v>
      </c>
      <c r="AJ195" s="925" t="e">
        <f t="shared" si="74"/>
        <v>#VALUE!</v>
      </c>
      <c r="AK195" s="884">
        <f t="shared" si="75"/>
        <v>30</v>
      </c>
      <c r="AL195" s="884">
        <f t="shared" si="76"/>
        <v>30</v>
      </c>
      <c r="AM195" s="925">
        <f t="shared" si="77"/>
        <v>0</v>
      </c>
    </row>
    <row r="196" spans="3:39" ht="12.75" customHeight="1" x14ac:dyDescent="0.2">
      <c r="C196" s="69"/>
      <c r="D196" s="75" t="str">
        <f>IF(op!D129=0,"",op!D129)</f>
        <v/>
      </c>
      <c r="E196" s="75" t="str">
        <f>IF(op!E129=0,"",op!E129)</f>
        <v/>
      </c>
      <c r="F196" s="88" t="str">
        <f>IF(op!F129="","",op!F129+1)</f>
        <v/>
      </c>
      <c r="G196" s="290" t="str">
        <f>IF(op!G129="","",op!G129)</f>
        <v/>
      </c>
      <c r="H196" s="88" t="str">
        <f>IF(op!H129=0,"",op!H129)</f>
        <v/>
      </c>
      <c r="I196" s="99" t="str">
        <f>IF(J196="","",(IF(op!I129+1&gt;LOOKUP(H196,schaal2019,regels2019),op!I129,op!I129+1)))</f>
        <v/>
      </c>
      <c r="J196" s="291" t="str">
        <f>IF(op!J129="","",op!J129)</f>
        <v/>
      </c>
      <c r="K196" s="971"/>
      <c r="L196" s="859">
        <f t="shared" si="78"/>
        <v>0</v>
      </c>
      <c r="M196" s="859">
        <f t="shared" si="78"/>
        <v>0</v>
      </c>
      <c r="N196" s="867" t="str">
        <f t="shared" si="67"/>
        <v/>
      </c>
      <c r="O196" s="867" t="str">
        <f t="shared" si="68"/>
        <v/>
      </c>
      <c r="P196" s="953" t="str">
        <f t="shared" si="52"/>
        <v/>
      </c>
      <c r="Q196" s="70"/>
      <c r="R196" s="739" t="str">
        <f t="shared" si="69"/>
        <v/>
      </c>
      <c r="S196" s="739" t="str">
        <f t="shared" si="53"/>
        <v/>
      </c>
      <c r="T196" s="740" t="str">
        <f t="shared" si="54"/>
        <v/>
      </c>
      <c r="U196" s="275"/>
      <c r="V196" s="288"/>
      <c r="W196" s="288"/>
      <c r="X196" s="288"/>
      <c r="Y196" s="908">
        <f t="shared" si="71"/>
        <v>0</v>
      </c>
      <c r="Z196" s="986">
        <f>tab!$D$62</f>
        <v>0.6</v>
      </c>
      <c r="AA196" s="944">
        <f t="shared" si="56"/>
        <v>0</v>
      </c>
      <c r="AB196" s="944">
        <f t="shared" si="57"/>
        <v>0</v>
      </c>
      <c r="AC196" s="944">
        <f t="shared" si="58"/>
        <v>0</v>
      </c>
      <c r="AD196" s="943" t="e">
        <f t="shared" si="59"/>
        <v>#VALUE!</v>
      </c>
      <c r="AE196" s="943">
        <f t="shared" si="60"/>
        <v>0</v>
      </c>
      <c r="AF196" s="916">
        <f>IF(H196&gt;8,tab!$D$63,tab!$D$65)</f>
        <v>0.5</v>
      </c>
      <c r="AG196" s="925">
        <f t="shared" si="72"/>
        <v>0</v>
      </c>
      <c r="AH196" s="940">
        <f t="shared" si="73"/>
        <v>0</v>
      </c>
      <c r="AI196" s="924" t="e">
        <f>DATE(YEAR(tab!$G$3),MONTH(G196),DAY(G196))&gt;tab!$G$3</f>
        <v>#VALUE!</v>
      </c>
      <c r="AJ196" s="925" t="e">
        <f t="shared" si="74"/>
        <v>#VALUE!</v>
      </c>
      <c r="AK196" s="884">
        <f t="shared" si="75"/>
        <v>30</v>
      </c>
      <c r="AL196" s="884">
        <f t="shared" si="76"/>
        <v>30</v>
      </c>
      <c r="AM196" s="925">
        <f t="shared" si="77"/>
        <v>0</v>
      </c>
    </row>
    <row r="197" spans="3:39" ht="12.75" customHeight="1" x14ac:dyDescent="0.2">
      <c r="C197" s="69"/>
      <c r="D197" s="75" t="str">
        <f>IF(op!D130=0,"",op!D130)</f>
        <v/>
      </c>
      <c r="E197" s="75" t="str">
        <f>IF(op!E130=0,"",op!E130)</f>
        <v/>
      </c>
      <c r="F197" s="88" t="str">
        <f>IF(op!F130="","",op!F130+1)</f>
        <v/>
      </c>
      <c r="G197" s="290" t="str">
        <f>IF(op!G130="","",op!G130)</f>
        <v/>
      </c>
      <c r="H197" s="88" t="str">
        <f>IF(op!H130=0,"",op!H130)</f>
        <v/>
      </c>
      <c r="I197" s="99" t="str">
        <f>IF(J197="","",(IF(op!I130+1&gt;LOOKUP(H197,schaal2019,regels2019),op!I130,op!I130+1)))</f>
        <v/>
      </c>
      <c r="J197" s="291" t="str">
        <f>IF(op!J130="","",op!J130)</f>
        <v/>
      </c>
      <c r="K197" s="971"/>
      <c r="L197" s="859">
        <f t="shared" si="78"/>
        <v>0</v>
      </c>
      <c r="M197" s="859">
        <f t="shared" si="78"/>
        <v>0</v>
      </c>
      <c r="N197" s="867" t="str">
        <f t="shared" si="67"/>
        <v/>
      </c>
      <c r="O197" s="867" t="str">
        <f t="shared" si="68"/>
        <v/>
      </c>
      <c r="P197" s="953" t="str">
        <f t="shared" si="52"/>
        <v/>
      </c>
      <c r="Q197" s="70"/>
      <c r="R197" s="739" t="str">
        <f t="shared" si="69"/>
        <v/>
      </c>
      <c r="S197" s="739" t="str">
        <f t="shared" si="53"/>
        <v/>
      </c>
      <c r="T197" s="740" t="str">
        <f t="shared" si="54"/>
        <v/>
      </c>
      <c r="U197" s="275"/>
      <c r="V197" s="288"/>
      <c r="W197" s="288"/>
      <c r="X197" s="288"/>
      <c r="Y197" s="908">
        <f t="shared" si="71"/>
        <v>0</v>
      </c>
      <c r="Z197" s="986">
        <f>tab!$D$62</f>
        <v>0.6</v>
      </c>
      <c r="AA197" s="944">
        <f t="shared" si="56"/>
        <v>0</v>
      </c>
      <c r="AB197" s="944">
        <f t="shared" si="57"/>
        <v>0</v>
      </c>
      <c r="AC197" s="944">
        <f t="shared" si="58"/>
        <v>0</v>
      </c>
      <c r="AD197" s="943" t="e">
        <f t="shared" si="59"/>
        <v>#VALUE!</v>
      </c>
      <c r="AE197" s="943">
        <f t="shared" si="60"/>
        <v>0</v>
      </c>
      <c r="AF197" s="916">
        <f>IF(H197&gt;8,tab!$D$63,tab!$D$65)</f>
        <v>0.5</v>
      </c>
      <c r="AG197" s="925">
        <f t="shared" si="72"/>
        <v>0</v>
      </c>
      <c r="AH197" s="940">
        <f t="shared" si="73"/>
        <v>0</v>
      </c>
      <c r="AI197" s="924" t="e">
        <f>DATE(YEAR(tab!$G$3),MONTH(G197),DAY(G197))&gt;tab!$G$3</f>
        <v>#VALUE!</v>
      </c>
      <c r="AJ197" s="925" t="e">
        <f t="shared" si="74"/>
        <v>#VALUE!</v>
      </c>
      <c r="AK197" s="884">
        <f t="shared" si="75"/>
        <v>30</v>
      </c>
      <c r="AL197" s="884">
        <f t="shared" si="76"/>
        <v>30</v>
      </c>
      <c r="AM197" s="925">
        <f t="shared" si="77"/>
        <v>0</v>
      </c>
    </row>
    <row r="198" spans="3:39" ht="12.75" customHeight="1" x14ac:dyDescent="0.2">
      <c r="C198" s="69"/>
      <c r="D198" s="75" t="str">
        <f>IF(op!D131=0,"",op!D131)</f>
        <v/>
      </c>
      <c r="E198" s="75" t="str">
        <f>IF(op!E131=0,"",op!E131)</f>
        <v/>
      </c>
      <c r="F198" s="88" t="str">
        <f>IF(op!F131="","",op!F131+1)</f>
        <v/>
      </c>
      <c r="G198" s="290" t="str">
        <f>IF(op!G131="","",op!G131)</f>
        <v/>
      </c>
      <c r="H198" s="88" t="str">
        <f>IF(op!H131=0,"",op!H131)</f>
        <v/>
      </c>
      <c r="I198" s="99" t="str">
        <f>IF(J198="","",(IF(op!I131+1&gt;LOOKUP(H198,schaal2019,regels2019),op!I131,op!I131+1)))</f>
        <v/>
      </c>
      <c r="J198" s="291" t="str">
        <f>IF(op!J131="","",op!J131)</f>
        <v/>
      </c>
      <c r="K198" s="971"/>
      <c r="L198" s="859">
        <f t="shared" si="78"/>
        <v>0</v>
      </c>
      <c r="M198" s="859">
        <f t="shared" si="78"/>
        <v>0</v>
      </c>
      <c r="N198" s="867" t="str">
        <f t="shared" si="67"/>
        <v/>
      </c>
      <c r="O198" s="867" t="str">
        <f t="shared" si="68"/>
        <v/>
      </c>
      <c r="P198" s="953" t="str">
        <f t="shared" si="52"/>
        <v/>
      </c>
      <c r="Q198" s="70"/>
      <c r="R198" s="739" t="str">
        <f t="shared" si="69"/>
        <v/>
      </c>
      <c r="S198" s="739" t="str">
        <f t="shared" si="53"/>
        <v/>
      </c>
      <c r="T198" s="740" t="str">
        <f t="shared" si="54"/>
        <v/>
      </c>
      <c r="U198" s="275"/>
      <c r="V198" s="288"/>
      <c r="W198" s="288"/>
      <c r="X198" s="288"/>
      <c r="Y198" s="908">
        <f t="shared" si="71"/>
        <v>0</v>
      </c>
      <c r="Z198" s="986">
        <f>tab!$D$62</f>
        <v>0.6</v>
      </c>
      <c r="AA198" s="944">
        <f t="shared" si="56"/>
        <v>0</v>
      </c>
      <c r="AB198" s="944">
        <f t="shared" si="57"/>
        <v>0</v>
      </c>
      <c r="AC198" s="944">
        <f t="shared" si="58"/>
        <v>0</v>
      </c>
      <c r="AD198" s="943" t="e">
        <f t="shared" si="59"/>
        <v>#VALUE!</v>
      </c>
      <c r="AE198" s="943">
        <f t="shared" si="60"/>
        <v>0</v>
      </c>
      <c r="AF198" s="916">
        <f>IF(H198&gt;8,tab!$D$63,tab!$D$65)</f>
        <v>0.5</v>
      </c>
      <c r="AG198" s="925">
        <f t="shared" si="72"/>
        <v>0</v>
      </c>
      <c r="AH198" s="940">
        <f t="shared" si="73"/>
        <v>0</v>
      </c>
      <c r="AI198" s="924" t="e">
        <f>DATE(YEAR(tab!$G$3),MONTH(G198),DAY(G198))&gt;tab!$G$3</f>
        <v>#VALUE!</v>
      </c>
      <c r="AJ198" s="925" t="e">
        <f t="shared" si="74"/>
        <v>#VALUE!</v>
      </c>
      <c r="AK198" s="884">
        <f t="shared" si="75"/>
        <v>30</v>
      </c>
      <c r="AL198" s="884">
        <f t="shared" si="76"/>
        <v>30</v>
      </c>
      <c r="AM198" s="925">
        <f t="shared" si="77"/>
        <v>0</v>
      </c>
    </row>
    <row r="199" spans="3:39" ht="12.75" customHeight="1" x14ac:dyDescent="0.2">
      <c r="C199" s="69"/>
      <c r="D199" s="75" t="str">
        <f>IF(op!D132=0,"",op!D132)</f>
        <v/>
      </c>
      <c r="E199" s="75" t="str">
        <f>IF(op!E132=0,"",op!E132)</f>
        <v/>
      </c>
      <c r="F199" s="88" t="str">
        <f>IF(op!F132="","",op!F132+1)</f>
        <v/>
      </c>
      <c r="G199" s="290" t="str">
        <f>IF(op!G132="","",op!G132)</f>
        <v/>
      </c>
      <c r="H199" s="88" t="str">
        <f>IF(op!H132=0,"",op!H132)</f>
        <v/>
      </c>
      <c r="I199" s="99" t="str">
        <f>IF(J199="","",(IF(op!I132+1&gt;LOOKUP(H199,schaal2019,regels2019),op!I132,op!I132+1)))</f>
        <v/>
      </c>
      <c r="J199" s="291" t="str">
        <f>IF(op!J132="","",op!J132)</f>
        <v/>
      </c>
      <c r="K199" s="971"/>
      <c r="L199" s="859">
        <f t="shared" si="78"/>
        <v>0</v>
      </c>
      <c r="M199" s="859">
        <f t="shared" si="78"/>
        <v>0</v>
      </c>
      <c r="N199" s="867" t="str">
        <f t="shared" si="67"/>
        <v/>
      </c>
      <c r="O199" s="867" t="str">
        <f t="shared" si="68"/>
        <v/>
      </c>
      <c r="P199" s="953" t="str">
        <f t="shared" si="52"/>
        <v/>
      </c>
      <c r="Q199" s="70"/>
      <c r="R199" s="739" t="str">
        <f t="shared" si="69"/>
        <v/>
      </c>
      <c r="S199" s="739" t="str">
        <f t="shared" si="53"/>
        <v/>
      </c>
      <c r="T199" s="740" t="str">
        <f t="shared" si="54"/>
        <v/>
      </c>
      <c r="U199" s="275"/>
      <c r="V199" s="288"/>
      <c r="W199" s="288"/>
      <c r="X199" s="288"/>
      <c r="Y199" s="908">
        <f t="shared" si="71"/>
        <v>0</v>
      </c>
      <c r="Z199" s="986">
        <f>tab!$D$62</f>
        <v>0.6</v>
      </c>
      <c r="AA199" s="944">
        <f t="shared" si="56"/>
        <v>0</v>
      </c>
      <c r="AB199" s="944">
        <f t="shared" si="57"/>
        <v>0</v>
      </c>
      <c r="AC199" s="944">
        <f t="shared" si="58"/>
        <v>0</v>
      </c>
      <c r="AD199" s="943" t="e">
        <f t="shared" si="59"/>
        <v>#VALUE!</v>
      </c>
      <c r="AE199" s="943">
        <f t="shared" si="60"/>
        <v>0</v>
      </c>
      <c r="AF199" s="916">
        <f>IF(H199&gt;8,tab!$D$63,tab!$D$65)</f>
        <v>0.5</v>
      </c>
      <c r="AG199" s="925">
        <f t="shared" si="72"/>
        <v>0</v>
      </c>
      <c r="AH199" s="940">
        <f t="shared" si="73"/>
        <v>0</v>
      </c>
      <c r="AI199" s="924" t="e">
        <f>DATE(YEAR(tab!$G$3),MONTH(G199),DAY(G199))&gt;tab!$G$3</f>
        <v>#VALUE!</v>
      </c>
      <c r="AJ199" s="925" t="e">
        <f t="shared" si="74"/>
        <v>#VALUE!</v>
      </c>
      <c r="AK199" s="884">
        <f t="shared" si="75"/>
        <v>30</v>
      </c>
      <c r="AL199" s="884">
        <f t="shared" si="76"/>
        <v>30</v>
      </c>
      <c r="AM199" s="925">
        <f t="shared" si="77"/>
        <v>0</v>
      </c>
    </row>
    <row r="200" spans="3:39" ht="12.75" customHeight="1" x14ac:dyDescent="0.2">
      <c r="C200" s="69"/>
      <c r="D200" s="75" t="str">
        <f>IF(op!D133=0,"",op!D133)</f>
        <v/>
      </c>
      <c r="E200" s="75" t="str">
        <f>IF(op!E133=0,"",op!E133)</f>
        <v/>
      </c>
      <c r="F200" s="88" t="str">
        <f>IF(op!F133="","",op!F133+1)</f>
        <v/>
      </c>
      <c r="G200" s="290" t="str">
        <f>IF(op!G133="","",op!G133)</f>
        <v/>
      </c>
      <c r="H200" s="88" t="str">
        <f>IF(op!H133=0,"",op!H133)</f>
        <v/>
      </c>
      <c r="I200" s="99" t="str">
        <f>IF(J200="","",(IF(op!I133+1&gt;LOOKUP(H200,schaal2019,regels2019),op!I133,op!I133+1)))</f>
        <v/>
      </c>
      <c r="J200" s="291" t="str">
        <f>IF(op!J133="","",op!J133)</f>
        <v/>
      </c>
      <c r="K200" s="971"/>
      <c r="L200" s="859">
        <f t="shared" si="78"/>
        <v>0</v>
      </c>
      <c r="M200" s="859">
        <f t="shared" si="78"/>
        <v>0</v>
      </c>
      <c r="N200" s="867" t="str">
        <f t="shared" si="67"/>
        <v/>
      </c>
      <c r="O200" s="867" t="str">
        <f t="shared" si="68"/>
        <v/>
      </c>
      <c r="P200" s="953" t="str">
        <f t="shared" si="52"/>
        <v/>
      </c>
      <c r="Q200" s="70"/>
      <c r="R200" s="739" t="str">
        <f t="shared" si="69"/>
        <v/>
      </c>
      <c r="S200" s="739" t="str">
        <f t="shared" si="53"/>
        <v/>
      </c>
      <c r="T200" s="740" t="str">
        <f t="shared" si="54"/>
        <v/>
      </c>
      <c r="U200" s="275"/>
      <c r="V200" s="288"/>
      <c r="W200" s="288"/>
      <c r="X200" s="288"/>
      <c r="Y200" s="908">
        <f t="shared" si="71"/>
        <v>0</v>
      </c>
      <c r="Z200" s="986">
        <f>tab!$D$62</f>
        <v>0.6</v>
      </c>
      <c r="AA200" s="944">
        <f t="shared" si="56"/>
        <v>0</v>
      </c>
      <c r="AB200" s="944">
        <f t="shared" si="57"/>
        <v>0</v>
      </c>
      <c r="AC200" s="944">
        <f t="shared" si="58"/>
        <v>0</v>
      </c>
      <c r="AD200" s="943" t="e">
        <f t="shared" si="59"/>
        <v>#VALUE!</v>
      </c>
      <c r="AE200" s="943">
        <f t="shared" si="60"/>
        <v>0</v>
      </c>
      <c r="AF200" s="916">
        <f>IF(H200&gt;8,tab!$D$63,tab!$D$65)</f>
        <v>0.5</v>
      </c>
      <c r="AG200" s="925">
        <f t="shared" si="72"/>
        <v>0</v>
      </c>
      <c r="AH200" s="940">
        <f t="shared" si="73"/>
        <v>0</v>
      </c>
      <c r="AI200" s="924" t="e">
        <f>DATE(YEAR(tab!$G$3),MONTH(G200),DAY(G200))&gt;tab!$G$3</f>
        <v>#VALUE!</v>
      </c>
      <c r="AJ200" s="925" t="e">
        <f t="shared" si="74"/>
        <v>#VALUE!</v>
      </c>
      <c r="AK200" s="884">
        <f t="shared" si="75"/>
        <v>30</v>
      </c>
      <c r="AL200" s="884">
        <f t="shared" si="76"/>
        <v>30</v>
      </c>
      <c r="AM200" s="925">
        <f t="shared" si="77"/>
        <v>0</v>
      </c>
    </row>
    <row r="201" spans="3:39" ht="12.75" customHeight="1" x14ac:dyDescent="0.2">
      <c r="C201" s="69"/>
      <c r="D201" s="75" t="str">
        <f>IF(op!D134=0,"",op!D134)</f>
        <v/>
      </c>
      <c r="E201" s="75" t="str">
        <f>IF(op!E134=0,"",op!E134)</f>
        <v/>
      </c>
      <c r="F201" s="88" t="str">
        <f>IF(op!F134="","",op!F134+1)</f>
        <v/>
      </c>
      <c r="G201" s="290" t="str">
        <f>IF(op!G134="","",op!G134)</f>
        <v/>
      </c>
      <c r="H201" s="88" t="str">
        <f>IF(op!H134=0,"",op!H134)</f>
        <v/>
      </c>
      <c r="I201" s="99" t="str">
        <f>IF(J201="","",(IF(op!I134+1&gt;LOOKUP(H201,schaal2019,regels2019),op!I134,op!I134+1)))</f>
        <v/>
      </c>
      <c r="J201" s="291" t="str">
        <f>IF(op!J134="","",op!J134)</f>
        <v/>
      </c>
      <c r="K201" s="971"/>
      <c r="L201" s="859">
        <f t="shared" si="78"/>
        <v>0</v>
      </c>
      <c r="M201" s="859">
        <f t="shared" si="78"/>
        <v>0</v>
      </c>
      <c r="N201" s="867" t="str">
        <f t="shared" si="67"/>
        <v/>
      </c>
      <c r="O201" s="867" t="str">
        <f t="shared" si="68"/>
        <v/>
      </c>
      <c r="P201" s="953" t="str">
        <f t="shared" si="52"/>
        <v/>
      </c>
      <c r="Q201" s="70"/>
      <c r="R201" s="739" t="str">
        <f t="shared" si="69"/>
        <v/>
      </c>
      <c r="S201" s="739" t="str">
        <f t="shared" si="53"/>
        <v/>
      </c>
      <c r="T201" s="740" t="str">
        <f t="shared" si="54"/>
        <v/>
      </c>
      <c r="U201" s="275"/>
      <c r="V201" s="288"/>
      <c r="W201" s="288"/>
      <c r="X201" s="288"/>
      <c r="Y201" s="908">
        <f t="shared" si="71"/>
        <v>0</v>
      </c>
      <c r="Z201" s="986">
        <f>tab!$D$62</f>
        <v>0.6</v>
      </c>
      <c r="AA201" s="944">
        <f t="shared" si="56"/>
        <v>0</v>
      </c>
      <c r="AB201" s="944">
        <f t="shared" si="57"/>
        <v>0</v>
      </c>
      <c r="AC201" s="944">
        <f t="shared" si="58"/>
        <v>0</v>
      </c>
      <c r="AD201" s="943" t="e">
        <f t="shared" si="59"/>
        <v>#VALUE!</v>
      </c>
      <c r="AE201" s="943">
        <f t="shared" si="60"/>
        <v>0</v>
      </c>
      <c r="AF201" s="916">
        <f>IF(H201&gt;8,tab!$D$63,tab!$D$65)</f>
        <v>0.5</v>
      </c>
      <c r="AG201" s="925">
        <f t="shared" si="72"/>
        <v>0</v>
      </c>
      <c r="AH201" s="940">
        <f t="shared" si="73"/>
        <v>0</v>
      </c>
      <c r="AI201" s="924" t="e">
        <f>DATE(YEAR(tab!$G$3),MONTH(G201),DAY(G201))&gt;tab!$G$3</f>
        <v>#VALUE!</v>
      </c>
      <c r="AJ201" s="925" t="e">
        <f t="shared" si="74"/>
        <v>#VALUE!</v>
      </c>
      <c r="AK201" s="884">
        <f t="shared" si="75"/>
        <v>30</v>
      </c>
      <c r="AL201" s="884">
        <f t="shared" si="76"/>
        <v>30</v>
      </c>
      <c r="AM201" s="925">
        <f t="shared" si="77"/>
        <v>0</v>
      </c>
    </row>
    <row r="202" spans="3:39" ht="12.75" customHeight="1" x14ac:dyDescent="0.2">
      <c r="C202" s="69"/>
      <c r="D202" s="75" t="str">
        <f>IF(op!D135=0,"",op!D135)</f>
        <v/>
      </c>
      <c r="E202" s="75" t="str">
        <f>IF(op!E135=0,"",op!E135)</f>
        <v/>
      </c>
      <c r="F202" s="88" t="str">
        <f>IF(op!F135="","",op!F135+1)</f>
        <v/>
      </c>
      <c r="G202" s="290" t="str">
        <f>IF(op!G135="","",op!G135)</f>
        <v/>
      </c>
      <c r="H202" s="88" t="str">
        <f>IF(op!H135=0,"",op!H135)</f>
        <v/>
      </c>
      <c r="I202" s="99" t="str">
        <f>IF(J202="","",(IF(op!I135+1&gt;LOOKUP(H202,schaal2019,regels2019),op!I135,op!I135+1)))</f>
        <v/>
      </c>
      <c r="J202" s="291" t="str">
        <f>IF(op!J135="","",op!J135)</f>
        <v/>
      </c>
      <c r="K202" s="971"/>
      <c r="L202" s="859">
        <f t="shared" si="78"/>
        <v>0</v>
      </c>
      <c r="M202" s="859">
        <f t="shared" si="78"/>
        <v>0</v>
      </c>
      <c r="N202" s="867" t="str">
        <f t="shared" si="67"/>
        <v/>
      </c>
      <c r="O202" s="867" t="str">
        <f t="shared" si="68"/>
        <v/>
      </c>
      <c r="P202" s="953" t="str">
        <f t="shared" si="52"/>
        <v/>
      </c>
      <c r="Q202" s="70"/>
      <c r="R202" s="739" t="str">
        <f t="shared" si="69"/>
        <v/>
      </c>
      <c r="S202" s="739" t="str">
        <f t="shared" si="53"/>
        <v/>
      </c>
      <c r="T202" s="740" t="str">
        <f t="shared" si="54"/>
        <v/>
      </c>
      <c r="U202" s="275"/>
      <c r="V202" s="288"/>
      <c r="W202" s="288"/>
      <c r="X202" s="288"/>
      <c r="Y202" s="908">
        <f t="shared" si="71"/>
        <v>0</v>
      </c>
      <c r="Z202" s="986">
        <f>tab!$D$62</f>
        <v>0.6</v>
      </c>
      <c r="AA202" s="944">
        <f t="shared" si="56"/>
        <v>0</v>
      </c>
      <c r="AB202" s="944">
        <f t="shared" si="57"/>
        <v>0</v>
      </c>
      <c r="AC202" s="944">
        <f t="shared" si="58"/>
        <v>0</v>
      </c>
      <c r="AD202" s="943" t="e">
        <f t="shared" si="59"/>
        <v>#VALUE!</v>
      </c>
      <c r="AE202" s="943">
        <f t="shared" si="60"/>
        <v>0</v>
      </c>
      <c r="AF202" s="916">
        <f>IF(H202&gt;8,tab!$D$63,tab!$D$65)</f>
        <v>0.5</v>
      </c>
      <c r="AG202" s="925">
        <f t="shared" si="72"/>
        <v>0</v>
      </c>
      <c r="AH202" s="940">
        <f t="shared" si="73"/>
        <v>0</v>
      </c>
      <c r="AI202" s="924" t="e">
        <f>DATE(YEAR(tab!$G$3),MONTH(G202),DAY(G202))&gt;tab!$G$3</f>
        <v>#VALUE!</v>
      </c>
      <c r="AJ202" s="925" t="e">
        <f t="shared" si="74"/>
        <v>#VALUE!</v>
      </c>
      <c r="AK202" s="884">
        <f t="shared" si="75"/>
        <v>30</v>
      </c>
      <c r="AL202" s="884">
        <f t="shared" si="76"/>
        <v>30</v>
      </c>
      <c r="AM202" s="925">
        <f t="shared" si="77"/>
        <v>0</v>
      </c>
    </row>
    <row r="203" spans="3:39" ht="12.75" customHeight="1" x14ac:dyDescent="0.2">
      <c r="C203" s="69"/>
      <c r="D203" s="75" t="str">
        <f>IF(op!D136=0,"",op!D136)</f>
        <v/>
      </c>
      <c r="E203" s="75" t="str">
        <f>IF(op!E136=0,"",op!E136)</f>
        <v/>
      </c>
      <c r="F203" s="88" t="str">
        <f>IF(op!F136="","",op!F136+1)</f>
        <v/>
      </c>
      <c r="G203" s="290" t="str">
        <f>IF(op!G136="","",op!G136)</f>
        <v/>
      </c>
      <c r="H203" s="88" t="str">
        <f>IF(op!H136=0,"",op!H136)</f>
        <v/>
      </c>
      <c r="I203" s="99" t="str">
        <f>IF(J203="","",(IF(op!I136+1&gt;LOOKUP(H203,schaal2019,regels2019),op!I136,op!I136+1)))</f>
        <v/>
      </c>
      <c r="J203" s="291" t="str">
        <f>IF(op!J136="","",op!J136)</f>
        <v/>
      </c>
      <c r="K203" s="971"/>
      <c r="L203" s="859">
        <f t="shared" si="78"/>
        <v>0</v>
      </c>
      <c r="M203" s="859">
        <f t="shared" si="78"/>
        <v>0</v>
      </c>
      <c r="N203" s="867" t="str">
        <f t="shared" si="67"/>
        <v/>
      </c>
      <c r="O203" s="867" t="str">
        <f t="shared" si="68"/>
        <v/>
      </c>
      <c r="P203" s="953" t="str">
        <f t="shared" si="52"/>
        <v/>
      </c>
      <c r="Q203" s="70"/>
      <c r="R203" s="739" t="str">
        <f t="shared" si="69"/>
        <v/>
      </c>
      <c r="S203" s="739" t="str">
        <f t="shared" si="53"/>
        <v/>
      </c>
      <c r="T203" s="740" t="str">
        <f t="shared" si="54"/>
        <v/>
      </c>
      <c r="U203" s="275"/>
      <c r="V203" s="288"/>
      <c r="W203" s="288"/>
      <c r="X203" s="288"/>
      <c r="Y203" s="908">
        <f t="shared" si="71"/>
        <v>0</v>
      </c>
      <c r="Z203" s="986">
        <f>tab!$D$62</f>
        <v>0.6</v>
      </c>
      <c r="AA203" s="944">
        <f t="shared" si="56"/>
        <v>0</v>
      </c>
      <c r="AB203" s="944">
        <f t="shared" si="57"/>
        <v>0</v>
      </c>
      <c r="AC203" s="944">
        <f t="shared" si="58"/>
        <v>0</v>
      </c>
      <c r="AD203" s="943" t="e">
        <f t="shared" si="59"/>
        <v>#VALUE!</v>
      </c>
      <c r="AE203" s="943">
        <f t="shared" si="60"/>
        <v>0</v>
      </c>
      <c r="AF203" s="916">
        <f>IF(H203&gt;8,tab!$D$63,tab!$D$65)</f>
        <v>0.5</v>
      </c>
      <c r="AG203" s="925">
        <f t="shared" si="72"/>
        <v>0</v>
      </c>
      <c r="AH203" s="940">
        <f t="shared" si="73"/>
        <v>0</v>
      </c>
      <c r="AI203" s="924" t="e">
        <f>DATE(YEAR(tab!$G$3),MONTH(G203),DAY(G203))&gt;tab!$G$3</f>
        <v>#VALUE!</v>
      </c>
      <c r="AJ203" s="925" t="e">
        <f t="shared" si="74"/>
        <v>#VALUE!</v>
      </c>
      <c r="AK203" s="884">
        <f t="shared" si="75"/>
        <v>30</v>
      </c>
      <c r="AL203" s="884">
        <f t="shared" si="76"/>
        <v>30</v>
      </c>
      <c r="AM203" s="925">
        <f t="shared" si="77"/>
        <v>0</v>
      </c>
    </row>
    <row r="204" spans="3:39" ht="12.75" customHeight="1" x14ac:dyDescent="0.2">
      <c r="C204" s="69"/>
      <c r="D204" s="75" t="str">
        <f>IF(op!D137=0,"",op!D137)</f>
        <v/>
      </c>
      <c r="E204" s="75" t="str">
        <f>IF(op!E137=0,"",op!E137)</f>
        <v/>
      </c>
      <c r="F204" s="88" t="str">
        <f>IF(op!F137="","",op!F137+1)</f>
        <v/>
      </c>
      <c r="G204" s="290" t="str">
        <f>IF(op!G137="","",op!G137)</f>
        <v/>
      </c>
      <c r="H204" s="88" t="str">
        <f>IF(op!H137=0,"",op!H137)</f>
        <v/>
      </c>
      <c r="I204" s="99" t="str">
        <f>IF(J204="","",(IF(op!I137+1&gt;LOOKUP(H204,schaal2019,regels2019),op!I137,op!I137+1)))</f>
        <v/>
      </c>
      <c r="J204" s="291" t="str">
        <f>IF(op!J137="","",op!J137)</f>
        <v/>
      </c>
      <c r="K204" s="971"/>
      <c r="L204" s="859">
        <f t="shared" si="78"/>
        <v>0</v>
      </c>
      <c r="M204" s="859">
        <f t="shared" si="78"/>
        <v>0</v>
      </c>
      <c r="N204" s="867" t="str">
        <f t="shared" si="67"/>
        <v/>
      </c>
      <c r="O204" s="867" t="str">
        <f t="shared" si="68"/>
        <v/>
      </c>
      <c r="P204" s="953" t="str">
        <f t="shared" si="52"/>
        <v/>
      </c>
      <c r="Q204" s="70"/>
      <c r="R204" s="739" t="str">
        <f t="shared" si="69"/>
        <v/>
      </c>
      <c r="S204" s="739" t="str">
        <f t="shared" si="53"/>
        <v/>
      </c>
      <c r="T204" s="740" t="str">
        <f t="shared" si="54"/>
        <v/>
      </c>
      <c r="U204" s="275"/>
      <c r="V204" s="288"/>
      <c r="W204" s="288"/>
      <c r="X204" s="288"/>
      <c r="Y204" s="908">
        <f t="shared" si="71"/>
        <v>0</v>
      </c>
      <c r="Z204" s="986">
        <f>tab!$D$62</f>
        <v>0.6</v>
      </c>
      <c r="AA204" s="944">
        <f t="shared" si="56"/>
        <v>0</v>
      </c>
      <c r="AB204" s="944">
        <f t="shared" si="57"/>
        <v>0</v>
      </c>
      <c r="AC204" s="944">
        <f t="shared" si="58"/>
        <v>0</v>
      </c>
      <c r="AD204" s="943" t="e">
        <f t="shared" si="59"/>
        <v>#VALUE!</v>
      </c>
      <c r="AE204" s="943">
        <f t="shared" si="60"/>
        <v>0</v>
      </c>
      <c r="AF204" s="916">
        <f>IF(H204&gt;8,tab!$D$63,tab!$D$65)</f>
        <v>0.5</v>
      </c>
      <c r="AG204" s="925">
        <f t="shared" si="72"/>
        <v>0</v>
      </c>
      <c r="AH204" s="940">
        <f t="shared" si="73"/>
        <v>0</v>
      </c>
      <c r="AI204" s="924" t="e">
        <f>DATE(YEAR(tab!$G$3),MONTH(G204),DAY(G204))&gt;tab!$G$3</f>
        <v>#VALUE!</v>
      </c>
      <c r="AJ204" s="925" t="e">
        <f t="shared" si="74"/>
        <v>#VALUE!</v>
      </c>
      <c r="AK204" s="884">
        <f t="shared" si="75"/>
        <v>30</v>
      </c>
      <c r="AL204" s="884">
        <f t="shared" si="76"/>
        <v>30</v>
      </c>
      <c r="AM204" s="925">
        <f t="shared" si="77"/>
        <v>0</v>
      </c>
    </row>
    <row r="205" spans="3:39" ht="12.75" customHeight="1" x14ac:dyDescent="0.2">
      <c r="C205" s="69"/>
      <c r="D205" s="75" t="str">
        <f>IF(op!D138=0,"",op!D138)</f>
        <v/>
      </c>
      <c r="E205" s="75" t="str">
        <f>IF(op!E138=0,"",op!E138)</f>
        <v/>
      </c>
      <c r="F205" s="88" t="str">
        <f>IF(op!F138="","",op!F138+1)</f>
        <v/>
      </c>
      <c r="G205" s="290" t="str">
        <f>IF(op!G138="","",op!G138)</f>
        <v/>
      </c>
      <c r="H205" s="88" t="str">
        <f>IF(op!H138=0,"",op!H138)</f>
        <v/>
      </c>
      <c r="I205" s="99" t="str">
        <f>IF(J205="","",(IF(op!I138+1&gt;LOOKUP(H205,schaal2019,regels2019),op!I138,op!I138+1)))</f>
        <v/>
      </c>
      <c r="J205" s="291" t="str">
        <f>IF(op!J138="","",op!J138)</f>
        <v/>
      </c>
      <c r="K205" s="971"/>
      <c r="L205" s="859">
        <f t="shared" si="78"/>
        <v>0</v>
      </c>
      <c r="M205" s="859">
        <f t="shared" si="78"/>
        <v>0</v>
      </c>
      <c r="N205" s="867" t="str">
        <f t="shared" si="67"/>
        <v/>
      </c>
      <c r="O205" s="867" t="str">
        <f t="shared" si="68"/>
        <v/>
      </c>
      <c r="P205" s="953" t="str">
        <f t="shared" si="52"/>
        <v/>
      </c>
      <c r="Q205" s="70"/>
      <c r="R205" s="739" t="str">
        <f t="shared" si="69"/>
        <v/>
      </c>
      <c r="S205" s="739" t="str">
        <f t="shared" si="53"/>
        <v/>
      </c>
      <c r="T205" s="740" t="str">
        <f t="shared" si="54"/>
        <v/>
      </c>
      <c r="U205" s="275"/>
      <c r="V205" s="288"/>
      <c r="W205" s="288"/>
      <c r="X205" s="288"/>
      <c r="Y205" s="908">
        <f t="shared" si="71"/>
        <v>0</v>
      </c>
      <c r="Z205" s="986">
        <f>tab!$D$62</f>
        <v>0.6</v>
      </c>
      <c r="AA205" s="944">
        <f t="shared" si="56"/>
        <v>0</v>
      </c>
      <c r="AB205" s="944">
        <f t="shared" si="57"/>
        <v>0</v>
      </c>
      <c r="AC205" s="944">
        <f t="shared" si="58"/>
        <v>0</v>
      </c>
      <c r="AD205" s="943" t="e">
        <f t="shared" si="59"/>
        <v>#VALUE!</v>
      </c>
      <c r="AE205" s="943">
        <f t="shared" si="60"/>
        <v>0</v>
      </c>
      <c r="AF205" s="916">
        <f>IF(H205&gt;8,tab!$D$63,tab!$D$65)</f>
        <v>0.5</v>
      </c>
      <c r="AG205" s="925">
        <f t="shared" si="72"/>
        <v>0</v>
      </c>
      <c r="AH205" s="940">
        <f t="shared" si="73"/>
        <v>0</v>
      </c>
      <c r="AI205" s="924" t="e">
        <f>DATE(YEAR(tab!$G$3),MONTH(G205),DAY(G205))&gt;tab!$G$3</f>
        <v>#VALUE!</v>
      </c>
      <c r="AJ205" s="925" t="e">
        <f t="shared" si="74"/>
        <v>#VALUE!</v>
      </c>
      <c r="AK205" s="884">
        <f t="shared" si="75"/>
        <v>30</v>
      </c>
      <c r="AL205" s="884">
        <f t="shared" si="76"/>
        <v>30</v>
      </c>
      <c r="AM205" s="925">
        <f t="shared" si="77"/>
        <v>0</v>
      </c>
    </row>
    <row r="206" spans="3:39" x14ac:dyDescent="0.2">
      <c r="C206" s="76"/>
      <c r="D206" s="172"/>
      <c r="E206" s="345"/>
      <c r="F206" s="345"/>
      <c r="G206" s="346"/>
      <c r="H206" s="345"/>
      <c r="I206" s="347"/>
      <c r="J206" s="755">
        <f>SUM(J151:J205)</f>
        <v>0.1</v>
      </c>
      <c r="K206" s="972"/>
      <c r="L206" s="942">
        <f>SUM(L151:L205)</f>
        <v>0</v>
      </c>
      <c r="M206" s="942">
        <f>SUM(M151:M205)</f>
        <v>0</v>
      </c>
      <c r="N206" s="942">
        <f>SUM(N151:N205)</f>
        <v>4</v>
      </c>
      <c r="O206" s="942">
        <f>SUM(O151:O205)</f>
        <v>0</v>
      </c>
      <c r="P206" s="942">
        <f>SUM(P151:P205)</f>
        <v>4</v>
      </c>
      <c r="Q206" s="172"/>
      <c r="R206" s="756">
        <f>SUM(R151:R205)</f>
        <v>7326.1945750452078</v>
      </c>
      <c r="S206" s="756">
        <f>SUM(S151:S205)</f>
        <v>181.00542495479203</v>
      </c>
      <c r="T206" s="756">
        <f>SUM(T151:T205)</f>
        <v>7507.2</v>
      </c>
      <c r="U206" s="81"/>
      <c r="Y206" s="908">
        <f>SUM(Y151:Y205)</f>
        <v>3910</v>
      </c>
      <c r="AA206" s="909">
        <f t="shared" si="56"/>
        <v>28.282097649186255</v>
      </c>
      <c r="AB206" s="909">
        <f>SUM(AB151:AB205)</f>
        <v>45.251356238698008</v>
      </c>
      <c r="AC206" s="909">
        <f t="shared" si="58"/>
        <v>16.969258589511753</v>
      </c>
      <c r="AF206" s="927"/>
      <c r="AG206" s="928">
        <f>SUM(AG151:AG205)</f>
        <v>0</v>
      </c>
      <c r="AH206" s="937">
        <f>SUM(AH151:AH205)</f>
        <v>0</v>
      </c>
      <c r="AI206" s="926"/>
      <c r="AJ206" s="926"/>
    </row>
    <row r="207" spans="3:39" x14ac:dyDescent="0.2">
      <c r="H207" s="127"/>
      <c r="K207" s="973"/>
      <c r="Q207" s="209"/>
      <c r="R207" s="348"/>
      <c r="S207" s="328"/>
      <c r="Y207" s="881"/>
      <c r="AA207" s="909"/>
      <c r="AB207" s="909"/>
      <c r="AC207" s="909"/>
      <c r="AF207" s="927"/>
      <c r="AG207" s="928"/>
      <c r="AH207" s="937"/>
    </row>
    <row r="210" spans="2:40" x14ac:dyDescent="0.2">
      <c r="C210" s="48" t="s">
        <v>165</v>
      </c>
      <c r="E210" s="327" t="str">
        <f>dir!E79</f>
        <v>2022/23</v>
      </c>
    </row>
    <row r="211" spans="2:40" x14ac:dyDescent="0.2">
      <c r="C211" s="48" t="s">
        <v>187</v>
      </c>
      <c r="E211" s="327">
        <f>dir!E80</f>
        <v>44835</v>
      </c>
    </row>
    <row r="213" spans="2:40" ht="12.75" customHeight="1" x14ac:dyDescent="0.2">
      <c r="C213" s="341"/>
      <c r="D213" s="724"/>
      <c r="E213" s="723"/>
      <c r="F213" s="704"/>
      <c r="G213" s="725"/>
      <c r="H213" s="726"/>
      <c r="I213" s="726"/>
      <c r="J213" s="727"/>
      <c r="K213" s="967"/>
      <c r="L213" s="816"/>
      <c r="M213" s="816"/>
      <c r="N213" s="816"/>
      <c r="O213" s="816"/>
      <c r="P213" s="950"/>
      <c r="Q213" s="728"/>
      <c r="R213" s="728"/>
      <c r="S213" s="728"/>
      <c r="T213" s="729"/>
      <c r="U213" s="710"/>
    </row>
    <row r="214" spans="2:40" s="81" customFormat="1" ht="12.75" customHeight="1" x14ac:dyDescent="0.2">
      <c r="B214" s="48"/>
      <c r="C214" s="135"/>
      <c r="D214" s="864" t="s">
        <v>298</v>
      </c>
      <c r="E214" s="865"/>
      <c r="F214" s="865"/>
      <c r="G214" s="865"/>
      <c r="H214" s="866"/>
      <c r="I214" s="866"/>
      <c r="J214" s="866"/>
      <c r="K214" s="968"/>
      <c r="L214" s="864" t="s">
        <v>492</v>
      </c>
      <c r="M214" s="858"/>
      <c r="N214" s="864"/>
      <c r="O214" s="864"/>
      <c r="P214" s="951"/>
      <c r="Q214" s="730"/>
      <c r="R214" s="864" t="s">
        <v>494</v>
      </c>
      <c r="S214" s="866"/>
      <c r="T214" s="935"/>
      <c r="U214" s="746"/>
      <c r="V214" s="48"/>
      <c r="W214" s="48"/>
      <c r="X214" s="48"/>
      <c r="Y214" s="882"/>
      <c r="Z214" s="913"/>
      <c r="AA214" s="882"/>
      <c r="AB214" s="882"/>
      <c r="AC214" s="882"/>
      <c r="AD214" s="912"/>
      <c r="AE214" s="912"/>
      <c r="AF214" s="913"/>
      <c r="AG214" s="933"/>
      <c r="AH214" s="941"/>
      <c r="AI214" s="923"/>
      <c r="AJ214" s="923"/>
      <c r="AK214" s="923"/>
      <c r="AL214" s="923"/>
      <c r="AM214" s="923"/>
      <c r="AN214" s="279"/>
    </row>
    <row r="215" spans="2:40" s="81" customFormat="1" ht="12.75" customHeight="1" x14ac:dyDescent="0.2">
      <c r="B215" s="48"/>
      <c r="C215" s="135"/>
      <c r="D215" s="693" t="s">
        <v>480</v>
      </c>
      <c r="E215" s="693" t="s">
        <v>171</v>
      </c>
      <c r="F215" s="732" t="s">
        <v>119</v>
      </c>
      <c r="G215" s="733" t="s">
        <v>289</v>
      </c>
      <c r="H215" s="732" t="s">
        <v>201</v>
      </c>
      <c r="I215" s="732" t="s">
        <v>229</v>
      </c>
      <c r="J215" s="734" t="s">
        <v>122</v>
      </c>
      <c r="K215" s="969"/>
      <c r="L215" s="735" t="s">
        <v>475</v>
      </c>
      <c r="M215" s="735" t="s">
        <v>468</v>
      </c>
      <c r="N215" s="735" t="s">
        <v>482</v>
      </c>
      <c r="O215" s="735" t="s">
        <v>475</v>
      </c>
      <c r="P215" s="952" t="s">
        <v>487</v>
      </c>
      <c r="Q215" s="702"/>
      <c r="R215" s="863" t="s">
        <v>186</v>
      </c>
      <c r="S215" s="737" t="s">
        <v>493</v>
      </c>
      <c r="T215" s="738" t="s">
        <v>186</v>
      </c>
      <c r="U215" s="747"/>
      <c r="V215" s="48"/>
      <c r="W215" s="48"/>
      <c r="X215" s="48"/>
      <c r="Y215" s="914" t="s">
        <v>322</v>
      </c>
      <c r="Z215" s="960" t="s">
        <v>479</v>
      </c>
      <c r="AA215" s="903" t="s">
        <v>488</v>
      </c>
      <c r="AB215" s="903" t="s">
        <v>488</v>
      </c>
      <c r="AC215" s="903" t="s">
        <v>491</v>
      </c>
      <c r="AD215" s="915" t="s">
        <v>473</v>
      </c>
      <c r="AE215" s="915" t="s">
        <v>474</v>
      </c>
      <c r="AF215" s="902" t="s">
        <v>470</v>
      </c>
      <c r="AG215" s="934" t="s">
        <v>306</v>
      </c>
      <c r="AH215" s="941" t="s">
        <v>415</v>
      </c>
      <c r="AI215" s="902" t="s">
        <v>292</v>
      </c>
      <c r="AJ215" s="902" t="s">
        <v>293</v>
      </c>
      <c r="AK215" s="902" t="s">
        <v>121</v>
      </c>
      <c r="AL215" s="902" t="s">
        <v>198</v>
      </c>
      <c r="AM215" s="915" t="s">
        <v>173</v>
      </c>
      <c r="AN215" s="282"/>
    </row>
    <row r="216" spans="2:40" s="81" customFormat="1" ht="12.75" customHeight="1" x14ac:dyDescent="0.2">
      <c r="B216" s="48"/>
      <c r="C216" s="135"/>
      <c r="D216" s="865"/>
      <c r="E216" s="693"/>
      <c r="F216" s="732" t="s">
        <v>120</v>
      </c>
      <c r="G216" s="733" t="s">
        <v>290</v>
      </c>
      <c r="H216" s="732"/>
      <c r="I216" s="732"/>
      <c r="J216" s="734"/>
      <c r="K216" s="969"/>
      <c r="L216" s="735" t="s">
        <v>476</v>
      </c>
      <c r="M216" s="735" t="s">
        <v>478</v>
      </c>
      <c r="N216" s="735" t="s">
        <v>483</v>
      </c>
      <c r="O216" s="735" t="s">
        <v>477</v>
      </c>
      <c r="P216" s="952" t="s">
        <v>284</v>
      </c>
      <c r="Q216" s="702"/>
      <c r="R216" s="706" t="s">
        <v>485</v>
      </c>
      <c r="S216" s="737" t="s">
        <v>469</v>
      </c>
      <c r="T216" s="738" t="s">
        <v>284</v>
      </c>
      <c r="U216" s="710"/>
      <c r="V216" s="48"/>
      <c r="W216" s="48"/>
      <c r="X216" s="48"/>
      <c r="Y216" s="914" t="s">
        <v>193</v>
      </c>
      <c r="Z216" s="961">
        <f>tab!$D$62</f>
        <v>0.6</v>
      </c>
      <c r="AA216" s="903" t="s">
        <v>489</v>
      </c>
      <c r="AB216" s="903" t="s">
        <v>490</v>
      </c>
      <c r="AC216" s="903" t="s">
        <v>486</v>
      </c>
      <c r="AD216" s="915" t="s">
        <v>472</v>
      </c>
      <c r="AE216" s="915" t="s">
        <v>472</v>
      </c>
      <c r="AF216" s="902" t="s">
        <v>471</v>
      </c>
      <c r="AG216" s="934"/>
      <c r="AH216" s="940" t="s">
        <v>228</v>
      </c>
      <c r="AI216" s="915" t="s">
        <v>291</v>
      </c>
      <c r="AJ216" s="915" t="s">
        <v>291</v>
      </c>
      <c r="AK216" s="902"/>
      <c r="AL216" s="902" t="s">
        <v>173</v>
      </c>
      <c r="AM216" s="915"/>
      <c r="AN216" s="343"/>
    </row>
    <row r="217" spans="2:40" ht="12.75" customHeight="1" x14ac:dyDescent="0.2">
      <c r="C217" s="69"/>
      <c r="D217" s="745"/>
      <c r="E217" s="745"/>
      <c r="F217" s="703"/>
      <c r="G217" s="748"/>
      <c r="H217" s="732"/>
      <c r="I217" s="732"/>
      <c r="J217" s="734"/>
      <c r="K217" s="970"/>
      <c r="L217" s="735"/>
      <c r="M217" s="735"/>
      <c r="N217" s="735"/>
      <c r="O217" s="735"/>
      <c r="P217" s="952"/>
      <c r="Q217" s="862"/>
      <c r="R217" s="749"/>
      <c r="S217" s="749"/>
      <c r="T217" s="750"/>
      <c r="U217" s="710"/>
      <c r="Y217" s="914"/>
      <c r="Z217" s="901"/>
      <c r="AA217" s="901"/>
      <c r="AB217" s="901"/>
      <c r="AC217" s="901"/>
      <c r="AD217" s="915"/>
      <c r="AE217" s="915"/>
      <c r="AF217" s="901"/>
      <c r="AG217" s="934"/>
      <c r="AH217" s="940"/>
      <c r="AM217" s="915"/>
      <c r="AN217" s="288"/>
    </row>
    <row r="218" spans="2:40" ht="12.75" customHeight="1" x14ac:dyDescent="0.2">
      <c r="C218" s="69"/>
      <c r="D218" s="75" t="str">
        <f>IF(op!D151=0,"",op!D151)</f>
        <v/>
      </c>
      <c r="E218" s="75" t="str">
        <f>IF(op!E151=0,"-",op!E151)</f>
        <v>nn</v>
      </c>
      <c r="F218" s="88">
        <f>IF(op!F151="","",op!F151+1)</f>
        <v>28</v>
      </c>
      <c r="G218" s="290">
        <f>IF(op!G151="","",op!G151)</f>
        <v>27395</v>
      </c>
      <c r="H218" s="88" t="str">
        <f>IF(op!H151=0,"",op!H151)</f>
        <v>L10</v>
      </c>
      <c r="I218" s="99">
        <f>IF(J218="","",(IF(op!I151+1&gt;LOOKUP(H218,schaal2019,regels2019),op!I151,op!I151+1)))</f>
        <v>15</v>
      </c>
      <c r="J218" s="291">
        <f>IF(op!J151="","",op!J151)</f>
        <v>0.1</v>
      </c>
      <c r="K218" s="971"/>
      <c r="L218" s="859">
        <f t="shared" ref="L218:M237" si="79">IF(L151="","",L151)</f>
        <v>0</v>
      </c>
      <c r="M218" s="859">
        <f t="shared" si="79"/>
        <v>0</v>
      </c>
      <c r="N218" s="867">
        <f>IF(J218="","",IF((J218*40)&gt;40,40,((J218*40))))</f>
        <v>4</v>
      </c>
      <c r="O218" s="867">
        <f>IF(J218="","",IF(I218&lt;4,(40*J218),0))</f>
        <v>0</v>
      </c>
      <c r="P218" s="953">
        <f t="shared" ref="P218:P272" si="80">IF(J218="","",(SUM(L218:O218)))</f>
        <v>4</v>
      </c>
      <c r="Q218" s="70"/>
      <c r="R218" s="739">
        <f>IF(J218="","",(((1659*J218)-P218)*AB218))</f>
        <v>7326.1945750452078</v>
      </c>
      <c r="S218" s="739">
        <f t="shared" ref="S218:S272" si="81">IF(J218="","",(P218*AC218)+(AA218*AD218)+((AE218*AA218*(1-AF218))))</f>
        <v>181.00542495479203</v>
      </c>
      <c r="T218" s="740">
        <f t="shared" ref="T218:T272" si="82">IF(J218="","",(R218+S218))</f>
        <v>7507.2</v>
      </c>
      <c r="U218" s="275"/>
      <c r="V218" s="288"/>
      <c r="W218" s="288"/>
      <c r="X218" s="288"/>
      <c r="Y218" s="908">
        <f t="shared" ref="Y218:Y249" si="83">IF(H218="",0,VLOOKUP(H218,salaris2020,I218+1,FALSE))</f>
        <v>3910</v>
      </c>
      <c r="Z218" s="986">
        <f>tab!$D$62</f>
        <v>0.6</v>
      </c>
      <c r="AA218" s="944">
        <f t="shared" ref="AA218:AA272" si="84">(Y218*12/1659)</f>
        <v>28.282097649186255</v>
      </c>
      <c r="AB218" s="944">
        <f t="shared" ref="AB218:AB272" si="85">(Y218*12*(1+Z218))/1659</f>
        <v>45.251356238698008</v>
      </c>
      <c r="AC218" s="944">
        <f t="shared" ref="AC218:AC272" si="86">AB218-AA218</f>
        <v>16.969258589511753</v>
      </c>
      <c r="AD218" s="943">
        <f t="shared" ref="AD218:AD272" si="87">(N218+O218)</f>
        <v>4</v>
      </c>
      <c r="AE218" s="943">
        <f t="shared" ref="AE218:AE272" si="88">(L218+M218)</f>
        <v>0</v>
      </c>
      <c r="AF218" s="916">
        <f>IF(H218&gt;8,tab!$D$63,tab!$D$65)</f>
        <v>0.5</v>
      </c>
      <c r="AG218" s="925">
        <f t="shared" ref="AG218:AG249" si="89">IF(F218&lt;25,0,IF(F218=25,25,IF(F218&lt;40,0,IF(F218=40,40,IF(F218&gt;=40,0)))))</f>
        <v>0</v>
      </c>
      <c r="AH218" s="940">
        <f t="shared" ref="AH218:AH249" si="90">IF(AG218=25,(Y218*1.08*(J218)/2),IF(AG218=40,(Y218*1.08*(J218)),IF(AG218=0,0)))</f>
        <v>0</v>
      </c>
      <c r="AI218" s="924" t="b">
        <f>DATE(YEAR(tab!$H$3),MONTH(G218),DAY(G218))&gt;tab!$H$3</f>
        <v>0</v>
      </c>
      <c r="AJ218" s="925">
        <f t="shared" ref="AJ218:AJ249" si="91">YEAR($E$211)-YEAR(G218)-AI218</f>
        <v>47</v>
      </c>
      <c r="AK218" s="884">
        <f t="shared" ref="AK218:AK249" si="92">IF((G218=""),30,AJ218)</f>
        <v>47</v>
      </c>
      <c r="AL218" s="884">
        <f>IF((AK218)&gt;50,50,(AK218))</f>
        <v>47</v>
      </c>
      <c r="AM218" s="925">
        <f t="shared" ref="AM218:AM249" si="93">ROUND((AL218*(SUM(J218:J218))),2)</f>
        <v>4.7</v>
      </c>
    </row>
    <row r="219" spans="2:40" ht="12.75" customHeight="1" x14ac:dyDescent="0.2">
      <c r="C219" s="69"/>
      <c r="D219" s="75" t="str">
        <f>IF(op!D152=0,"",op!D152)</f>
        <v/>
      </c>
      <c r="E219" s="75" t="str">
        <f>IF(op!E152=0,"-",op!E152)</f>
        <v/>
      </c>
      <c r="F219" s="88" t="str">
        <f>IF(op!F152="","",op!F152+1)</f>
        <v/>
      </c>
      <c r="G219" s="290" t="str">
        <f>IF(op!G152="","",op!G152)</f>
        <v/>
      </c>
      <c r="H219" s="88" t="str">
        <f>IF(op!H152=0,"",op!H152)</f>
        <v/>
      </c>
      <c r="I219" s="99" t="str">
        <f>IF(J219="","",(IF(op!I152+1&gt;LOOKUP(H219,schaal2019,regels2019),op!I152,op!I152+1)))</f>
        <v/>
      </c>
      <c r="J219" s="291" t="str">
        <f>IF(op!J152="","",op!J152)</f>
        <v/>
      </c>
      <c r="K219" s="971"/>
      <c r="L219" s="859">
        <f t="shared" si="79"/>
        <v>0</v>
      </c>
      <c r="M219" s="859">
        <f t="shared" si="79"/>
        <v>0</v>
      </c>
      <c r="N219" s="867" t="str">
        <f t="shared" ref="N219:N272" si="94">IF(J219="","",IF((J219*40)&gt;40,40,((J219*40))))</f>
        <v/>
      </c>
      <c r="O219" s="867" t="str">
        <f t="shared" ref="O219:O272" si="95">IF(J219="","",IF(I219&lt;4,(40*J219),0))</f>
        <v/>
      </c>
      <c r="P219" s="953" t="str">
        <f t="shared" si="80"/>
        <v/>
      </c>
      <c r="Q219" s="70"/>
      <c r="R219" s="739" t="str">
        <f t="shared" ref="R219:R272" si="96">IF(J219="","",(((1659*J219)-P219)*AB219))</f>
        <v/>
      </c>
      <c r="S219" s="739" t="str">
        <f t="shared" si="81"/>
        <v/>
      </c>
      <c r="T219" s="740" t="str">
        <f t="shared" si="82"/>
        <v/>
      </c>
      <c r="U219" s="275"/>
      <c r="V219" s="288"/>
      <c r="W219" s="288"/>
      <c r="X219" s="288"/>
      <c r="Y219" s="908">
        <f t="shared" si="83"/>
        <v>0</v>
      </c>
      <c r="Z219" s="986">
        <f>tab!$D$62</f>
        <v>0.6</v>
      </c>
      <c r="AA219" s="944">
        <f t="shared" si="84"/>
        <v>0</v>
      </c>
      <c r="AB219" s="944">
        <f t="shared" si="85"/>
        <v>0</v>
      </c>
      <c r="AC219" s="944">
        <f t="shared" si="86"/>
        <v>0</v>
      </c>
      <c r="AD219" s="943" t="e">
        <f t="shared" si="87"/>
        <v>#VALUE!</v>
      </c>
      <c r="AE219" s="943">
        <f t="shared" si="88"/>
        <v>0</v>
      </c>
      <c r="AF219" s="916">
        <f>IF(H219&gt;8,tab!$D$63,tab!$D$65)</f>
        <v>0.5</v>
      </c>
      <c r="AG219" s="925">
        <f t="shared" si="89"/>
        <v>0</v>
      </c>
      <c r="AH219" s="940">
        <f t="shared" si="90"/>
        <v>0</v>
      </c>
      <c r="AI219" s="924" t="e">
        <f>DATE(YEAR(tab!$H$3),MONTH(G219),DAY(G219))&gt;tab!$H$3</f>
        <v>#VALUE!</v>
      </c>
      <c r="AJ219" s="924" t="e">
        <f t="shared" si="91"/>
        <v>#VALUE!</v>
      </c>
      <c r="AK219" s="884">
        <f t="shared" si="92"/>
        <v>30</v>
      </c>
      <c r="AL219" s="884">
        <f t="shared" ref="AL219:AL249" si="97">IF((AK219)&gt;50,50,(AK219))</f>
        <v>30</v>
      </c>
      <c r="AM219" s="925">
        <f t="shared" si="93"/>
        <v>0</v>
      </c>
    </row>
    <row r="220" spans="2:40" ht="12.75" customHeight="1" x14ac:dyDescent="0.2">
      <c r="C220" s="69"/>
      <c r="D220" s="75" t="str">
        <f>IF(op!D153=0,"",op!D153)</f>
        <v/>
      </c>
      <c r="E220" s="75" t="str">
        <f>IF(op!E153=0,"-",op!E153)</f>
        <v/>
      </c>
      <c r="F220" s="88" t="str">
        <f>IF(op!F153="","",op!F153+1)</f>
        <v/>
      </c>
      <c r="G220" s="290" t="str">
        <f>IF(op!G153="","",op!G153)</f>
        <v/>
      </c>
      <c r="H220" s="88" t="str">
        <f>IF(op!H153=0,"",op!H153)</f>
        <v/>
      </c>
      <c r="I220" s="99" t="str">
        <f>IF(J220="","",(IF(op!I153+1&gt;LOOKUP(H220,schaal2019,regels2019),op!I153,op!I153+1)))</f>
        <v/>
      </c>
      <c r="J220" s="291" t="str">
        <f>IF(op!J153="","",op!J153)</f>
        <v/>
      </c>
      <c r="K220" s="971"/>
      <c r="L220" s="859">
        <f t="shared" si="79"/>
        <v>0</v>
      </c>
      <c r="M220" s="859">
        <f t="shared" si="79"/>
        <v>0</v>
      </c>
      <c r="N220" s="867" t="str">
        <f t="shared" si="94"/>
        <v/>
      </c>
      <c r="O220" s="867" t="str">
        <f t="shared" si="95"/>
        <v/>
      </c>
      <c r="P220" s="953" t="str">
        <f t="shared" si="80"/>
        <v/>
      </c>
      <c r="Q220" s="70"/>
      <c r="R220" s="739" t="str">
        <f t="shared" si="96"/>
        <v/>
      </c>
      <c r="S220" s="739" t="str">
        <f t="shared" si="81"/>
        <v/>
      </c>
      <c r="T220" s="740" t="str">
        <f t="shared" si="82"/>
        <v/>
      </c>
      <c r="U220" s="275"/>
      <c r="V220" s="288"/>
      <c r="W220" s="288"/>
      <c r="X220" s="288"/>
      <c r="Y220" s="908">
        <f t="shared" si="83"/>
        <v>0</v>
      </c>
      <c r="Z220" s="986">
        <f>tab!$D$62</f>
        <v>0.6</v>
      </c>
      <c r="AA220" s="944">
        <f t="shared" si="84"/>
        <v>0</v>
      </c>
      <c r="AB220" s="944">
        <f t="shared" si="85"/>
        <v>0</v>
      </c>
      <c r="AC220" s="944">
        <f t="shared" si="86"/>
        <v>0</v>
      </c>
      <c r="AD220" s="943" t="e">
        <f t="shared" si="87"/>
        <v>#VALUE!</v>
      </c>
      <c r="AE220" s="943">
        <f t="shared" si="88"/>
        <v>0</v>
      </c>
      <c r="AF220" s="916">
        <f>IF(H220&gt;8,tab!$D$63,tab!$D$65)</f>
        <v>0.5</v>
      </c>
      <c r="AG220" s="925">
        <f t="shared" si="89"/>
        <v>0</v>
      </c>
      <c r="AH220" s="940">
        <f t="shared" si="90"/>
        <v>0</v>
      </c>
      <c r="AI220" s="924" t="e">
        <f>DATE(YEAR(tab!$H$3),MONTH(G220),DAY(G220))&gt;tab!$H$3</f>
        <v>#VALUE!</v>
      </c>
      <c r="AJ220" s="924" t="e">
        <f t="shared" si="91"/>
        <v>#VALUE!</v>
      </c>
      <c r="AK220" s="884">
        <f t="shared" si="92"/>
        <v>30</v>
      </c>
      <c r="AL220" s="884">
        <f t="shared" si="97"/>
        <v>30</v>
      </c>
      <c r="AM220" s="925">
        <f t="shared" si="93"/>
        <v>0</v>
      </c>
    </row>
    <row r="221" spans="2:40" ht="12.75" customHeight="1" x14ac:dyDescent="0.2">
      <c r="C221" s="69"/>
      <c r="D221" s="75" t="str">
        <f>IF(op!D154=0,"",op!D154)</f>
        <v/>
      </c>
      <c r="E221" s="75" t="str">
        <f>IF(op!E154=0,"-",op!E154)</f>
        <v/>
      </c>
      <c r="F221" s="88" t="str">
        <f>IF(op!F154="","",op!F154+1)</f>
        <v/>
      </c>
      <c r="G221" s="290" t="str">
        <f>IF(op!G154="","",op!G154)</f>
        <v/>
      </c>
      <c r="H221" s="88" t="str">
        <f>IF(op!H154=0,"",op!H154)</f>
        <v/>
      </c>
      <c r="I221" s="99" t="str">
        <f>IF(J221="","",(IF(op!I154+1&gt;LOOKUP(H221,schaal2019,regels2019),op!I154,op!I154+1)))</f>
        <v/>
      </c>
      <c r="J221" s="291" t="str">
        <f>IF(op!J154="","",op!J154)</f>
        <v/>
      </c>
      <c r="K221" s="971"/>
      <c r="L221" s="859">
        <f t="shared" si="79"/>
        <v>0</v>
      </c>
      <c r="M221" s="859">
        <f t="shared" si="79"/>
        <v>0</v>
      </c>
      <c r="N221" s="867" t="str">
        <f t="shared" si="94"/>
        <v/>
      </c>
      <c r="O221" s="867" t="str">
        <f t="shared" si="95"/>
        <v/>
      </c>
      <c r="P221" s="953" t="str">
        <f t="shared" si="80"/>
        <v/>
      </c>
      <c r="Q221" s="70"/>
      <c r="R221" s="739" t="str">
        <f t="shared" si="96"/>
        <v/>
      </c>
      <c r="S221" s="739" t="str">
        <f t="shared" si="81"/>
        <v/>
      </c>
      <c r="T221" s="740" t="str">
        <f t="shared" si="82"/>
        <v/>
      </c>
      <c r="U221" s="275"/>
      <c r="V221" s="288"/>
      <c r="W221" s="288"/>
      <c r="X221" s="288"/>
      <c r="Y221" s="908">
        <f t="shared" si="83"/>
        <v>0</v>
      </c>
      <c r="Z221" s="986">
        <f>tab!$D$62</f>
        <v>0.6</v>
      </c>
      <c r="AA221" s="944">
        <f t="shared" si="84"/>
        <v>0</v>
      </c>
      <c r="AB221" s="944">
        <f t="shared" si="85"/>
        <v>0</v>
      </c>
      <c r="AC221" s="944">
        <f t="shared" si="86"/>
        <v>0</v>
      </c>
      <c r="AD221" s="943" t="e">
        <f t="shared" si="87"/>
        <v>#VALUE!</v>
      </c>
      <c r="AE221" s="943">
        <f t="shared" si="88"/>
        <v>0</v>
      </c>
      <c r="AF221" s="916">
        <f>IF(H221&gt;8,tab!$D$63,tab!$D$65)</f>
        <v>0.5</v>
      </c>
      <c r="AG221" s="925">
        <f t="shared" si="89"/>
        <v>0</v>
      </c>
      <c r="AH221" s="940">
        <f t="shared" si="90"/>
        <v>0</v>
      </c>
      <c r="AI221" s="924" t="e">
        <f>DATE(YEAR(tab!$H$3),MONTH(G221),DAY(G221))&gt;tab!$H$3</f>
        <v>#VALUE!</v>
      </c>
      <c r="AJ221" s="924" t="e">
        <f t="shared" si="91"/>
        <v>#VALUE!</v>
      </c>
      <c r="AK221" s="884">
        <f t="shared" si="92"/>
        <v>30</v>
      </c>
      <c r="AL221" s="884">
        <f t="shared" si="97"/>
        <v>30</v>
      </c>
      <c r="AM221" s="925">
        <f t="shared" si="93"/>
        <v>0</v>
      </c>
    </row>
    <row r="222" spans="2:40" ht="12.75" customHeight="1" x14ac:dyDescent="0.2">
      <c r="C222" s="69"/>
      <c r="D222" s="75" t="str">
        <f>IF(op!D155=0,"",op!D155)</f>
        <v/>
      </c>
      <c r="E222" s="75" t="str">
        <f>IF(op!E155=0,"-",op!E155)</f>
        <v/>
      </c>
      <c r="F222" s="88" t="str">
        <f>IF(op!F155="","",op!F155+1)</f>
        <v/>
      </c>
      <c r="G222" s="290" t="str">
        <f>IF(op!G155="","",op!G155)</f>
        <v/>
      </c>
      <c r="H222" s="88" t="str">
        <f>IF(op!H155=0,"",op!H155)</f>
        <v/>
      </c>
      <c r="I222" s="99" t="str">
        <f>IF(J222="","",(IF(op!I155+1&gt;LOOKUP(H222,schaal2019,regels2019),op!I155,op!I155+1)))</f>
        <v/>
      </c>
      <c r="J222" s="291" t="str">
        <f>IF(op!J155="","",op!J155)</f>
        <v/>
      </c>
      <c r="K222" s="971"/>
      <c r="L222" s="859">
        <f t="shared" si="79"/>
        <v>0</v>
      </c>
      <c r="M222" s="859">
        <f t="shared" si="79"/>
        <v>0</v>
      </c>
      <c r="N222" s="867" t="str">
        <f t="shared" si="94"/>
        <v/>
      </c>
      <c r="O222" s="867" t="str">
        <f t="shared" si="95"/>
        <v/>
      </c>
      <c r="P222" s="953" t="str">
        <f t="shared" si="80"/>
        <v/>
      </c>
      <c r="Q222" s="70"/>
      <c r="R222" s="739" t="str">
        <f t="shared" si="96"/>
        <v/>
      </c>
      <c r="S222" s="739" t="str">
        <f t="shared" si="81"/>
        <v/>
      </c>
      <c r="T222" s="740" t="str">
        <f t="shared" si="82"/>
        <v/>
      </c>
      <c r="U222" s="275"/>
      <c r="V222" s="288"/>
      <c r="W222" s="288"/>
      <c r="X222" s="288"/>
      <c r="Y222" s="908">
        <f t="shared" si="83"/>
        <v>0</v>
      </c>
      <c r="Z222" s="986">
        <f>tab!$D$62</f>
        <v>0.6</v>
      </c>
      <c r="AA222" s="944">
        <f t="shared" si="84"/>
        <v>0</v>
      </c>
      <c r="AB222" s="944">
        <f t="shared" si="85"/>
        <v>0</v>
      </c>
      <c r="AC222" s="944">
        <f t="shared" si="86"/>
        <v>0</v>
      </c>
      <c r="AD222" s="943" t="e">
        <f t="shared" si="87"/>
        <v>#VALUE!</v>
      </c>
      <c r="AE222" s="943">
        <f t="shared" si="88"/>
        <v>0</v>
      </c>
      <c r="AF222" s="916">
        <f>IF(H222&gt;8,tab!$D$63,tab!$D$65)</f>
        <v>0.5</v>
      </c>
      <c r="AG222" s="925">
        <f t="shared" si="89"/>
        <v>0</v>
      </c>
      <c r="AH222" s="940">
        <f t="shared" si="90"/>
        <v>0</v>
      </c>
      <c r="AI222" s="924" t="e">
        <f>DATE(YEAR(tab!$H$3),MONTH(G222),DAY(G222))&gt;tab!$H$3</f>
        <v>#VALUE!</v>
      </c>
      <c r="AJ222" s="924" t="e">
        <f t="shared" si="91"/>
        <v>#VALUE!</v>
      </c>
      <c r="AK222" s="884">
        <f t="shared" si="92"/>
        <v>30</v>
      </c>
      <c r="AL222" s="884">
        <f t="shared" si="97"/>
        <v>30</v>
      </c>
      <c r="AM222" s="925">
        <f t="shared" si="93"/>
        <v>0</v>
      </c>
    </row>
    <row r="223" spans="2:40" ht="12.75" customHeight="1" x14ac:dyDescent="0.2">
      <c r="C223" s="69"/>
      <c r="D223" s="75" t="str">
        <f>IF(op!D156=0,"",op!D156)</f>
        <v/>
      </c>
      <c r="E223" s="75" t="str">
        <f>IF(op!E156=0,"-",op!E156)</f>
        <v/>
      </c>
      <c r="F223" s="88" t="str">
        <f>IF(op!F156="","",op!F156+1)</f>
        <v/>
      </c>
      <c r="G223" s="290" t="str">
        <f>IF(op!G156="","",op!G156)</f>
        <v/>
      </c>
      <c r="H223" s="88" t="str">
        <f>IF(op!H156=0,"",op!H156)</f>
        <v/>
      </c>
      <c r="I223" s="99" t="str">
        <f>IF(J223="","",(IF(op!I156+1&gt;LOOKUP(H223,schaal2019,regels2019),op!I156,op!I156+1)))</f>
        <v/>
      </c>
      <c r="J223" s="291" t="str">
        <f>IF(op!J156="","",op!J156)</f>
        <v/>
      </c>
      <c r="K223" s="971"/>
      <c r="L223" s="859">
        <f t="shared" si="79"/>
        <v>0</v>
      </c>
      <c r="M223" s="859">
        <f t="shared" si="79"/>
        <v>0</v>
      </c>
      <c r="N223" s="867" t="str">
        <f t="shared" si="94"/>
        <v/>
      </c>
      <c r="O223" s="867" t="str">
        <f t="shared" si="95"/>
        <v/>
      </c>
      <c r="P223" s="953" t="str">
        <f t="shared" si="80"/>
        <v/>
      </c>
      <c r="Q223" s="70"/>
      <c r="R223" s="739" t="str">
        <f t="shared" si="96"/>
        <v/>
      </c>
      <c r="S223" s="739" t="str">
        <f t="shared" si="81"/>
        <v/>
      </c>
      <c r="T223" s="740" t="str">
        <f t="shared" si="82"/>
        <v/>
      </c>
      <c r="U223" s="275"/>
      <c r="V223" s="288"/>
      <c r="W223" s="288"/>
      <c r="X223" s="288"/>
      <c r="Y223" s="908">
        <f t="shared" si="83"/>
        <v>0</v>
      </c>
      <c r="Z223" s="986">
        <f>tab!$D$62</f>
        <v>0.6</v>
      </c>
      <c r="AA223" s="944">
        <f t="shared" si="84"/>
        <v>0</v>
      </c>
      <c r="AB223" s="944">
        <f t="shared" si="85"/>
        <v>0</v>
      </c>
      <c r="AC223" s="944">
        <f t="shared" si="86"/>
        <v>0</v>
      </c>
      <c r="AD223" s="943" t="e">
        <f t="shared" si="87"/>
        <v>#VALUE!</v>
      </c>
      <c r="AE223" s="943">
        <f t="shared" si="88"/>
        <v>0</v>
      </c>
      <c r="AF223" s="916">
        <f>IF(H223&gt;8,tab!$D$63,tab!$D$65)</f>
        <v>0.5</v>
      </c>
      <c r="AG223" s="925">
        <f t="shared" si="89"/>
        <v>0</v>
      </c>
      <c r="AH223" s="940">
        <f t="shared" si="90"/>
        <v>0</v>
      </c>
      <c r="AI223" s="924" t="e">
        <f>DATE(YEAR(tab!$H$3),MONTH(G223),DAY(G223))&gt;tab!$H$3</f>
        <v>#VALUE!</v>
      </c>
      <c r="AJ223" s="924" t="e">
        <f t="shared" si="91"/>
        <v>#VALUE!</v>
      </c>
      <c r="AK223" s="884">
        <f t="shared" si="92"/>
        <v>30</v>
      </c>
      <c r="AL223" s="884">
        <f t="shared" si="97"/>
        <v>30</v>
      </c>
      <c r="AM223" s="925">
        <f t="shared" si="93"/>
        <v>0</v>
      </c>
    </row>
    <row r="224" spans="2:40" ht="12.75" customHeight="1" x14ac:dyDescent="0.2">
      <c r="C224" s="69"/>
      <c r="D224" s="75" t="str">
        <f>IF(op!D157=0,"",op!D157)</f>
        <v/>
      </c>
      <c r="E224" s="75" t="str">
        <f>IF(op!E157=0,"-",op!E157)</f>
        <v/>
      </c>
      <c r="F224" s="88" t="str">
        <f>IF(op!F157="","",op!F157+1)</f>
        <v/>
      </c>
      <c r="G224" s="290" t="str">
        <f>IF(op!G157="","",op!G157)</f>
        <v/>
      </c>
      <c r="H224" s="88" t="str">
        <f>IF(op!H157=0,"",op!H157)</f>
        <v/>
      </c>
      <c r="I224" s="99" t="str">
        <f>IF(J224="","",(IF(op!I157+1&gt;LOOKUP(H224,schaal2019,regels2019),op!I157,op!I157+1)))</f>
        <v/>
      </c>
      <c r="J224" s="291" t="str">
        <f>IF(op!J157="","",op!J157)</f>
        <v/>
      </c>
      <c r="K224" s="971"/>
      <c r="L224" s="859">
        <f t="shared" si="79"/>
        <v>0</v>
      </c>
      <c r="M224" s="859">
        <f t="shared" si="79"/>
        <v>0</v>
      </c>
      <c r="N224" s="867" t="str">
        <f t="shared" si="94"/>
        <v/>
      </c>
      <c r="O224" s="867" t="str">
        <f t="shared" si="95"/>
        <v/>
      </c>
      <c r="P224" s="953" t="str">
        <f t="shared" si="80"/>
        <v/>
      </c>
      <c r="Q224" s="70"/>
      <c r="R224" s="739" t="str">
        <f t="shared" si="96"/>
        <v/>
      </c>
      <c r="S224" s="739" t="str">
        <f t="shared" si="81"/>
        <v/>
      </c>
      <c r="T224" s="740" t="str">
        <f t="shared" si="82"/>
        <v/>
      </c>
      <c r="U224" s="275"/>
      <c r="V224" s="288"/>
      <c r="W224" s="288"/>
      <c r="X224" s="288"/>
      <c r="Y224" s="908">
        <f t="shared" si="83"/>
        <v>0</v>
      </c>
      <c r="Z224" s="986">
        <f>tab!$D$62</f>
        <v>0.6</v>
      </c>
      <c r="AA224" s="944">
        <f t="shared" si="84"/>
        <v>0</v>
      </c>
      <c r="AB224" s="944">
        <f t="shared" si="85"/>
        <v>0</v>
      </c>
      <c r="AC224" s="944">
        <f t="shared" si="86"/>
        <v>0</v>
      </c>
      <c r="AD224" s="943" t="e">
        <f t="shared" si="87"/>
        <v>#VALUE!</v>
      </c>
      <c r="AE224" s="943">
        <f t="shared" si="88"/>
        <v>0</v>
      </c>
      <c r="AF224" s="916">
        <f>IF(H224&gt;8,tab!$D$63,tab!$D$65)</f>
        <v>0.5</v>
      </c>
      <c r="AG224" s="925">
        <f t="shared" si="89"/>
        <v>0</v>
      </c>
      <c r="AH224" s="940">
        <f t="shared" si="90"/>
        <v>0</v>
      </c>
      <c r="AI224" s="924" t="e">
        <f>DATE(YEAR(tab!$H$3),MONTH(G224),DAY(G224))&gt;tab!$H$3</f>
        <v>#VALUE!</v>
      </c>
      <c r="AJ224" s="924" t="e">
        <f t="shared" si="91"/>
        <v>#VALUE!</v>
      </c>
      <c r="AK224" s="884">
        <f t="shared" si="92"/>
        <v>30</v>
      </c>
      <c r="AL224" s="884">
        <f t="shared" si="97"/>
        <v>30</v>
      </c>
      <c r="AM224" s="925">
        <f t="shared" si="93"/>
        <v>0</v>
      </c>
    </row>
    <row r="225" spans="3:39" ht="12.75" customHeight="1" x14ac:dyDescent="0.2">
      <c r="C225" s="69"/>
      <c r="D225" s="75" t="str">
        <f>IF(op!D158=0,"",op!D158)</f>
        <v/>
      </c>
      <c r="E225" s="75" t="str">
        <f>IF(op!E158=0,"-",op!E158)</f>
        <v/>
      </c>
      <c r="F225" s="88" t="str">
        <f>IF(op!F158="","",op!F158+1)</f>
        <v/>
      </c>
      <c r="G225" s="290" t="str">
        <f>IF(op!G158="","",op!G158)</f>
        <v/>
      </c>
      <c r="H225" s="88" t="str">
        <f>IF(op!H158=0,"",op!H158)</f>
        <v/>
      </c>
      <c r="I225" s="99" t="str">
        <f>IF(J225="","",(IF(op!I158+1&gt;LOOKUP(H225,schaal2019,regels2019),op!I158,op!I158+1)))</f>
        <v/>
      </c>
      <c r="J225" s="291" t="str">
        <f>IF(op!J158="","",op!J158)</f>
        <v/>
      </c>
      <c r="K225" s="971"/>
      <c r="L225" s="859">
        <f t="shared" si="79"/>
        <v>0</v>
      </c>
      <c r="M225" s="859">
        <f t="shared" si="79"/>
        <v>0</v>
      </c>
      <c r="N225" s="867" t="str">
        <f t="shared" si="94"/>
        <v/>
      </c>
      <c r="O225" s="867" t="str">
        <f t="shared" si="95"/>
        <v/>
      </c>
      <c r="P225" s="953" t="str">
        <f t="shared" si="80"/>
        <v/>
      </c>
      <c r="Q225" s="70"/>
      <c r="R225" s="739" t="str">
        <f t="shared" si="96"/>
        <v/>
      </c>
      <c r="S225" s="739" t="str">
        <f t="shared" si="81"/>
        <v/>
      </c>
      <c r="T225" s="740" t="str">
        <f t="shared" si="82"/>
        <v/>
      </c>
      <c r="U225" s="275"/>
      <c r="V225" s="288"/>
      <c r="W225" s="288"/>
      <c r="X225" s="288"/>
      <c r="Y225" s="908">
        <f t="shared" si="83"/>
        <v>0</v>
      </c>
      <c r="Z225" s="986">
        <f>tab!$D$62</f>
        <v>0.6</v>
      </c>
      <c r="AA225" s="944">
        <f t="shared" si="84"/>
        <v>0</v>
      </c>
      <c r="AB225" s="944">
        <f t="shared" si="85"/>
        <v>0</v>
      </c>
      <c r="AC225" s="944">
        <f t="shared" si="86"/>
        <v>0</v>
      </c>
      <c r="AD225" s="943" t="e">
        <f t="shared" si="87"/>
        <v>#VALUE!</v>
      </c>
      <c r="AE225" s="943">
        <f t="shared" si="88"/>
        <v>0</v>
      </c>
      <c r="AF225" s="916">
        <f>IF(H225&gt;8,tab!$D$63,tab!$D$65)</f>
        <v>0.5</v>
      </c>
      <c r="AG225" s="925">
        <f t="shared" si="89"/>
        <v>0</v>
      </c>
      <c r="AH225" s="940">
        <f t="shared" si="90"/>
        <v>0</v>
      </c>
      <c r="AI225" s="924" t="e">
        <f>DATE(YEAR(tab!$H$3),MONTH(G225),DAY(G225))&gt;tab!$H$3</f>
        <v>#VALUE!</v>
      </c>
      <c r="AJ225" s="924" t="e">
        <f t="shared" si="91"/>
        <v>#VALUE!</v>
      </c>
      <c r="AK225" s="884">
        <f t="shared" si="92"/>
        <v>30</v>
      </c>
      <c r="AL225" s="884">
        <f t="shared" si="97"/>
        <v>30</v>
      </c>
      <c r="AM225" s="925">
        <f t="shared" si="93"/>
        <v>0</v>
      </c>
    </row>
    <row r="226" spans="3:39" ht="12.75" customHeight="1" x14ac:dyDescent="0.2">
      <c r="C226" s="69"/>
      <c r="D226" s="75" t="str">
        <f>IF(op!D159=0,"",op!D159)</f>
        <v/>
      </c>
      <c r="E226" s="75" t="str">
        <f>IF(op!E159=0,"-",op!E159)</f>
        <v/>
      </c>
      <c r="F226" s="88" t="str">
        <f>IF(op!F159="","",op!F159+1)</f>
        <v/>
      </c>
      <c r="G226" s="290" t="str">
        <f>IF(op!G159="","",op!G159)</f>
        <v/>
      </c>
      <c r="H226" s="88" t="str">
        <f>IF(op!H159=0,"",op!H159)</f>
        <v/>
      </c>
      <c r="I226" s="99" t="str">
        <f>IF(J226="","",(IF(op!I159+1&gt;LOOKUP(H226,schaal2019,regels2019),op!I159,op!I159+1)))</f>
        <v/>
      </c>
      <c r="J226" s="291" t="str">
        <f>IF(op!J159="","",op!J159)</f>
        <v/>
      </c>
      <c r="K226" s="971"/>
      <c r="L226" s="859">
        <f t="shared" si="79"/>
        <v>0</v>
      </c>
      <c r="M226" s="859">
        <f t="shared" si="79"/>
        <v>0</v>
      </c>
      <c r="N226" s="867" t="str">
        <f t="shared" si="94"/>
        <v/>
      </c>
      <c r="O226" s="867" t="str">
        <f t="shared" si="95"/>
        <v/>
      </c>
      <c r="P226" s="953" t="str">
        <f t="shared" si="80"/>
        <v/>
      </c>
      <c r="Q226" s="70"/>
      <c r="R226" s="739" t="str">
        <f t="shared" si="96"/>
        <v/>
      </c>
      <c r="S226" s="739" t="str">
        <f t="shared" si="81"/>
        <v/>
      </c>
      <c r="T226" s="740" t="str">
        <f t="shared" si="82"/>
        <v/>
      </c>
      <c r="U226" s="275"/>
      <c r="V226" s="288"/>
      <c r="W226" s="288"/>
      <c r="X226" s="288"/>
      <c r="Y226" s="908">
        <f t="shared" si="83"/>
        <v>0</v>
      </c>
      <c r="Z226" s="986">
        <f>tab!$D$62</f>
        <v>0.6</v>
      </c>
      <c r="AA226" s="944">
        <f t="shared" si="84"/>
        <v>0</v>
      </c>
      <c r="AB226" s="944">
        <f t="shared" si="85"/>
        <v>0</v>
      </c>
      <c r="AC226" s="944">
        <f t="shared" si="86"/>
        <v>0</v>
      </c>
      <c r="AD226" s="943" t="e">
        <f t="shared" si="87"/>
        <v>#VALUE!</v>
      </c>
      <c r="AE226" s="943">
        <f t="shared" si="88"/>
        <v>0</v>
      </c>
      <c r="AF226" s="916">
        <f>IF(H226&gt;8,tab!$D$63,tab!$D$65)</f>
        <v>0.5</v>
      </c>
      <c r="AG226" s="925">
        <f t="shared" si="89"/>
        <v>0</v>
      </c>
      <c r="AH226" s="940">
        <f t="shared" si="90"/>
        <v>0</v>
      </c>
      <c r="AI226" s="924" t="e">
        <f>DATE(YEAR(tab!$H$3),MONTH(G226),DAY(G226))&gt;tab!$H$3</f>
        <v>#VALUE!</v>
      </c>
      <c r="AJ226" s="924" t="e">
        <f t="shared" si="91"/>
        <v>#VALUE!</v>
      </c>
      <c r="AK226" s="884">
        <f t="shared" si="92"/>
        <v>30</v>
      </c>
      <c r="AL226" s="884">
        <f t="shared" si="97"/>
        <v>30</v>
      </c>
      <c r="AM226" s="925">
        <f t="shared" si="93"/>
        <v>0</v>
      </c>
    </row>
    <row r="227" spans="3:39" ht="12.75" customHeight="1" x14ac:dyDescent="0.2">
      <c r="C227" s="69"/>
      <c r="D227" s="75" t="str">
        <f>IF(op!D160=0,"",op!D160)</f>
        <v/>
      </c>
      <c r="E227" s="75" t="str">
        <f>IF(op!E160=0,"-",op!E160)</f>
        <v/>
      </c>
      <c r="F227" s="88" t="str">
        <f>IF(op!F160="","",op!F160+1)</f>
        <v/>
      </c>
      <c r="G227" s="290" t="str">
        <f>IF(op!G160="","",op!G160)</f>
        <v/>
      </c>
      <c r="H227" s="88" t="str">
        <f>IF(op!H160=0,"",op!H160)</f>
        <v/>
      </c>
      <c r="I227" s="99" t="str">
        <f>IF(J227="","",(IF(op!I160+1&gt;LOOKUP(H227,schaal2019,regels2019),op!I160,op!I160+1)))</f>
        <v/>
      </c>
      <c r="J227" s="291" t="str">
        <f>IF(op!J160="","",op!J160)</f>
        <v/>
      </c>
      <c r="K227" s="971"/>
      <c r="L227" s="859">
        <f t="shared" si="79"/>
        <v>0</v>
      </c>
      <c r="M227" s="859">
        <f t="shared" si="79"/>
        <v>0</v>
      </c>
      <c r="N227" s="867" t="str">
        <f t="shared" si="94"/>
        <v/>
      </c>
      <c r="O227" s="867" t="str">
        <f t="shared" si="95"/>
        <v/>
      </c>
      <c r="P227" s="953" t="str">
        <f t="shared" si="80"/>
        <v/>
      </c>
      <c r="Q227" s="70"/>
      <c r="R227" s="739" t="str">
        <f t="shared" si="96"/>
        <v/>
      </c>
      <c r="S227" s="739" t="str">
        <f t="shared" si="81"/>
        <v/>
      </c>
      <c r="T227" s="740" t="str">
        <f t="shared" si="82"/>
        <v/>
      </c>
      <c r="U227" s="275"/>
      <c r="V227" s="288"/>
      <c r="W227" s="288"/>
      <c r="X227" s="288"/>
      <c r="Y227" s="908">
        <f t="shared" si="83"/>
        <v>0</v>
      </c>
      <c r="Z227" s="986">
        <f>tab!$D$62</f>
        <v>0.6</v>
      </c>
      <c r="AA227" s="944">
        <f t="shared" si="84"/>
        <v>0</v>
      </c>
      <c r="AB227" s="944">
        <f t="shared" si="85"/>
        <v>0</v>
      </c>
      <c r="AC227" s="944">
        <f t="shared" si="86"/>
        <v>0</v>
      </c>
      <c r="AD227" s="943" t="e">
        <f t="shared" si="87"/>
        <v>#VALUE!</v>
      </c>
      <c r="AE227" s="943">
        <f t="shared" si="88"/>
        <v>0</v>
      </c>
      <c r="AF227" s="916">
        <f>IF(H227&gt;8,tab!$D$63,tab!$D$65)</f>
        <v>0.5</v>
      </c>
      <c r="AG227" s="925">
        <f t="shared" si="89"/>
        <v>0</v>
      </c>
      <c r="AH227" s="940">
        <f t="shared" si="90"/>
        <v>0</v>
      </c>
      <c r="AI227" s="924" t="e">
        <f>DATE(YEAR(tab!$H$3),MONTH(G227),DAY(G227))&gt;tab!$H$3</f>
        <v>#VALUE!</v>
      </c>
      <c r="AJ227" s="924" t="e">
        <f t="shared" si="91"/>
        <v>#VALUE!</v>
      </c>
      <c r="AK227" s="884">
        <f t="shared" si="92"/>
        <v>30</v>
      </c>
      <c r="AL227" s="884">
        <f t="shared" si="97"/>
        <v>30</v>
      </c>
      <c r="AM227" s="925">
        <f t="shared" si="93"/>
        <v>0</v>
      </c>
    </row>
    <row r="228" spans="3:39" ht="12.75" customHeight="1" x14ac:dyDescent="0.2">
      <c r="C228" s="69"/>
      <c r="D228" s="75" t="str">
        <f>IF(op!D161=0,"",op!D161)</f>
        <v/>
      </c>
      <c r="E228" s="75" t="str">
        <f>IF(op!E161=0,"-",op!E161)</f>
        <v/>
      </c>
      <c r="F228" s="88" t="str">
        <f>IF(op!F161="","",op!F161+1)</f>
        <v/>
      </c>
      <c r="G228" s="290" t="str">
        <f>IF(op!G161="","",op!G161)</f>
        <v/>
      </c>
      <c r="H228" s="88" t="str">
        <f>IF(op!H161=0,"",op!H161)</f>
        <v/>
      </c>
      <c r="I228" s="99" t="str">
        <f>IF(J228="","",(IF(op!I161+1&gt;LOOKUP(H228,schaal2019,regels2019),op!I161,op!I161+1)))</f>
        <v/>
      </c>
      <c r="J228" s="291" t="str">
        <f>IF(op!J161="","",op!J161)</f>
        <v/>
      </c>
      <c r="K228" s="971"/>
      <c r="L228" s="859">
        <f t="shared" si="79"/>
        <v>0</v>
      </c>
      <c r="M228" s="859">
        <f t="shared" si="79"/>
        <v>0</v>
      </c>
      <c r="N228" s="867" t="str">
        <f t="shared" si="94"/>
        <v/>
      </c>
      <c r="O228" s="867" t="str">
        <f t="shared" si="95"/>
        <v/>
      </c>
      <c r="P228" s="953" t="str">
        <f t="shared" si="80"/>
        <v/>
      </c>
      <c r="Q228" s="70"/>
      <c r="R228" s="739" t="str">
        <f t="shared" si="96"/>
        <v/>
      </c>
      <c r="S228" s="739" t="str">
        <f t="shared" si="81"/>
        <v/>
      </c>
      <c r="T228" s="740" t="str">
        <f t="shared" si="82"/>
        <v/>
      </c>
      <c r="U228" s="275"/>
      <c r="V228" s="288"/>
      <c r="W228" s="288"/>
      <c r="X228" s="288"/>
      <c r="Y228" s="908">
        <f t="shared" si="83"/>
        <v>0</v>
      </c>
      <c r="Z228" s="986">
        <f>tab!$D$62</f>
        <v>0.6</v>
      </c>
      <c r="AA228" s="944">
        <f t="shared" si="84"/>
        <v>0</v>
      </c>
      <c r="AB228" s="944">
        <f t="shared" si="85"/>
        <v>0</v>
      </c>
      <c r="AC228" s="944">
        <f t="shared" si="86"/>
        <v>0</v>
      </c>
      <c r="AD228" s="943" t="e">
        <f t="shared" si="87"/>
        <v>#VALUE!</v>
      </c>
      <c r="AE228" s="943">
        <f t="shared" si="88"/>
        <v>0</v>
      </c>
      <c r="AF228" s="916">
        <f>IF(H228&gt;8,tab!$D$63,tab!$D$65)</f>
        <v>0.5</v>
      </c>
      <c r="AG228" s="925">
        <f t="shared" si="89"/>
        <v>0</v>
      </c>
      <c r="AH228" s="940">
        <f t="shared" si="90"/>
        <v>0</v>
      </c>
      <c r="AI228" s="924" t="e">
        <f>DATE(YEAR(tab!$H$3),MONTH(G228),DAY(G228))&gt;tab!$H$3</f>
        <v>#VALUE!</v>
      </c>
      <c r="AJ228" s="924" t="e">
        <f t="shared" si="91"/>
        <v>#VALUE!</v>
      </c>
      <c r="AK228" s="884">
        <f t="shared" si="92"/>
        <v>30</v>
      </c>
      <c r="AL228" s="884">
        <f t="shared" si="97"/>
        <v>30</v>
      </c>
      <c r="AM228" s="925">
        <f t="shared" si="93"/>
        <v>0</v>
      </c>
    </row>
    <row r="229" spans="3:39" ht="12.75" customHeight="1" x14ac:dyDescent="0.2">
      <c r="C229" s="69"/>
      <c r="D229" s="75" t="str">
        <f>IF(op!D162=0,"",op!D162)</f>
        <v/>
      </c>
      <c r="E229" s="75" t="str">
        <f>IF(op!E162=0,"-",op!E162)</f>
        <v/>
      </c>
      <c r="F229" s="88" t="str">
        <f>IF(op!F162="","",op!F162+1)</f>
        <v/>
      </c>
      <c r="G229" s="290" t="str">
        <f>IF(op!G162="","",op!G162)</f>
        <v/>
      </c>
      <c r="H229" s="88" t="str">
        <f>IF(op!H162=0,"",op!H162)</f>
        <v/>
      </c>
      <c r="I229" s="99" t="str">
        <f>IF(J229="","",(IF(op!I162+1&gt;LOOKUP(H229,schaal2019,regels2019),op!I162,op!I162+1)))</f>
        <v/>
      </c>
      <c r="J229" s="291" t="str">
        <f>IF(op!J162="","",op!J162)</f>
        <v/>
      </c>
      <c r="K229" s="971"/>
      <c r="L229" s="859">
        <f t="shared" si="79"/>
        <v>0</v>
      </c>
      <c r="M229" s="859">
        <f t="shared" si="79"/>
        <v>0</v>
      </c>
      <c r="N229" s="867" t="str">
        <f t="shared" si="94"/>
        <v/>
      </c>
      <c r="O229" s="867" t="str">
        <f t="shared" si="95"/>
        <v/>
      </c>
      <c r="P229" s="953" t="str">
        <f t="shared" si="80"/>
        <v/>
      </c>
      <c r="Q229" s="70"/>
      <c r="R229" s="739" t="str">
        <f t="shared" si="96"/>
        <v/>
      </c>
      <c r="S229" s="739" t="str">
        <f t="shared" si="81"/>
        <v/>
      </c>
      <c r="T229" s="740" t="str">
        <f t="shared" si="82"/>
        <v/>
      </c>
      <c r="U229" s="275"/>
      <c r="V229" s="288"/>
      <c r="W229" s="288"/>
      <c r="X229" s="288"/>
      <c r="Y229" s="908">
        <f t="shared" si="83"/>
        <v>0</v>
      </c>
      <c r="Z229" s="986">
        <f>tab!$D$62</f>
        <v>0.6</v>
      </c>
      <c r="AA229" s="944">
        <f t="shared" si="84"/>
        <v>0</v>
      </c>
      <c r="AB229" s="944">
        <f t="shared" si="85"/>
        <v>0</v>
      </c>
      <c r="AC229" s="944">
        <f t="shared" si="86"/>
        <v>0</v>
      </c>
      <c r="AD229" s="943" t="e">
        <f t="shared" si="87"/>
        <v>#VALUE!</v>
      </c>
      <c r="AE229" s="943">
        <f t="shared" si="88"/>
        <v>0</v>
      </c>
      <c r="AF229" s="916">
        <f>IF(H229&gt;8,tab!$D$63,tab!$D$65)</f>
        <v>0.5</v>
      </c>
      <c r="AG229" s="925">
        <f t="shared" si="89"/>
        <v>0</v>
      </c>
      <c r="AH229" s="940">
        <f t="shared" si="90"/>
        <v>0</v>
      </c>
      <c r="AI229" s="924" t="e">
        <f>DATE(YEAR(tab!$H$3),MONTH(G229),DAY(G229))&gt;tab!$H$3</f>
        <v>#VALUE!</v>
      </c>
      <c r="AJ229" s="924" t="e">
        <f t="shared" si="91"/>
        <v>#VALUE!</v>
      </c>
      <c r="AK229" s="884">
        <f t="shared" si="92"/>
        <v>30</v>
      </c>
      <c r="AL229" s="884">
        <f t="shared" si="97"/>
        <v>30</v>
      </c>
      <c r="AM229" s="925">
        <f t="shared" si="93"/>
        <v>0</v>
      </c>
    </row>
    <row r="230" spans="3:39" ht="12.75" customHeight="1" x14ac:dyDescent="0.2">
      <c r="C230" s="69"/>
      <c r="D230" s="75" t="str">
        <f>IF(op!D163=0,"",op!D163)</f>
        <v/>
      </c>
      <c r="E230" s="75" t="str">
        <f>IF(op!E163=0,"-",op!E163)</f>
        <v/>
      </c>
      <c r="F230" s="88" t="str">
        <f>IF(op!F163="","",op!F163+1)</f>
        <v/>
      </c>
      <c r="G230" s="290" t="str">
        <f>IF(op!G163="","",op!G163)</f>
        <v/>
      </c>
      <c r="H230" s="88" t="str">
        <f>IF(op!H163=0,"",op!H163)</f>
        <v/>
      </c>
      <c r="I230" s="99" t="str">
        <f>IF(J230="","",(IF(op!I163+1&gt;LOOKUP(H230,schaal2019,regels2019),op!I163,op!I163+1)))</f>
        <v/>
      </c>
      <c r="J230" s="291" t="str">
        <f>IF(op!J163="","",op!J163)</f>
        <v/>
      </c>
      <c r="K230" s="971"/>
      <c r="L230" s="859">
        <f t="shared" si="79"/>
        <v>0</v>
      </c>
      <c r="M230" s="859">
        <f t="shared" si="79"/>
        <v>0</v>
      </c>
      <c r="N230" s="867" t="str">
        <f t="shared" si="94"/>
        <v/>
      </c>
      <c r="O230" s="867" t="str">
        <f t="shared" si="95"/>
        <v/>
      </c>
      <c r="P230" s="953" t="str">
        <f t="shared" si="80"/>
        <v/>
      </c>
      <c r="Q230" s="70"/>
      <c r="R230" s="739" t="str">
        <f t="shared" si="96"/>
        <v/>
      </c>
      <c r="S230" s="739" t="str">
        <f t="shared" si="81"/>
        <v/>
      </c>
      <c r="T230" s="740" t="str">
        <f t="shared" si="82"/>
        <v/>
      </c>
      <c r="U230" s="275"/>
      <c r="V230" s="288"/>
      <c r="W230" s="288"/>
      <c r="X230" s="288"/>
      <c r="Y230" s="908">
        <f t="shared" si="83"/>
        <v>0</v>
      </c>
      <c r="Z230" s="986">
        <f>tab!$D$62</f>
        <v>0.6</v>
      </c>
      <c r="AA230" s="944">
        <f t="shared" si="84"/>
        <v>0</v>
      </c>
      <c r="AB230" s="944">
        <f t="shared" si="85"/>
        <v>0</v>
      </c>
      <c r="AC230" s="944">
        <f t="shared" si="86"/>
        <v>0</v>
      </c>
      <c r="AD230" s="943" t="e">
        <f t="shared" si="87"/>
        <v>#VALUE!</v>
      </c>
      <c r="AE230" s="943">
        <f t="shared" si="88"/>
        <v>0</v>
      </c>
      <c r="AF230" s="916">
        <f>IF(H230&gt;8,tab!$D$63,tab!$D$65)</f>
        <v>0.5</v>
      </c>
      <c r="AG230" s="925">
        <f t="shared" si="89"/>
        <v>0</v>
      </c>
      <c r="AH230" s="940">
        <f t="shared" si="90"/>
        <v>0</v>
      </c>
      <c r="AI230" s="924" t="e">
        <f>DATE(YEAR(tab!$H$3),MONTH(G230),DAY(G230))&gt;tab!$H$3</f>
        <v>#VALUE!</v>
      </c>
      <c r="AJ230" s="924" t="e">
        <f t="shared" si="91"/>
        <v>#VALUE!</v>
      </c>
      <c r="AK230" s="884">
        <f t="shared" si="92"/>
        <v>30</v>
      </c>
      <c r="AL230" s="884">
        <f t="shared" si="97"/>
        <v>30</v>
      </c>
      <c r="AM230" s="925">
        <f t="shared" si="93"/>
        <v>0</v>
      </c>
    </row>
    <row r="231" spans="3:39" ht="12.75" customHeight="1" x14ac:dyDescent="0.2">
      <c r="C231" s="69"/>
      <c r="D231" s="75" t="str">
        <f>IF(op!D164=0,"",op!D164)</f>
        <v/>
      </c>
      <c r="E231" s="75" t="str">
        <f>IF(op!E164=0,"-",op!E164)</f>
        <v/>
      </c>
      <c r="F231" s="88" t="str">
        <f>IF(op!F164="","",op!F164+1)</f>
        <v/>
      </c>
      <c r="G231" s="290" t="str">
        <f>IF(op!G164="","",op!G164)</f>
        <v/>
      </c>
      <c r="H231" s="88" t="str">
        <f>IF(op!H164=0,"",op!H164)</f>
        <v/>
      </c>
      <c r="I231" s="99" t="str">
        <f>IF(J231="","",(IF(op!I164+1&gt;LOOKUP(H231,schaal2019,regels2019),op!I164,op!I164+1)))</f>
        <v/>
      </c>
      <c r="J231" s="291" t="str">
        <f>IF(op!J164="","",op!J164)</f>
        <v/>
      </c>
      <c r="K231" s="971"/>
      <c r="L231" s="859">
        <f t="shared" si="79"/>
        <v>0</v>
      </c>
      <c r="M231" s="859">
        <f t="shared" si="79"/>
        <v>0</v>
      </c>
      <c r="N231" s="867" t="str">
        <f t="shared" si="94"/>
        <v/>
      </c>
      <c r="O231" s="867" t="str">
        <f t="shared" si="95"/>
        <v/>
      </c>
      <c r="P231" s="953" t="str">
        <f t="shared" si="80"/>
        <v/>
      </c>
      <c r="Q231" s="70"/>
      <c r="R231" s="739" t="str">
        <f t="shared" si="96"/>
        <v/>
      </c>
      <c r="S231" s="739" t="str">
        <f t="shared" si="81"/>
        <v/>
      </c>
      <c r="T231" s="740" t="str">
        <f t="shared" si="82"/>
        <v/>
      </c>
      <c r="U231" s="275"/>
      <c r="V231" s="288"/>
      <c r="W231" s="288"/>
      <c r="X231" s="288"/>
      <c r="Y231" s="908">
        <f t="shared" si="83"/>
        <v>0</v>
      </c>
      <c r="Z231" s="986">
        <f>tab!$D$62</f>
        <v>0.6</v>
      </c>
      <c r="AA231" s="944">
        <f t="shared" si="84"/>
        <v>0</v>
      </c>
      <c r="AB231" s="944">
        <f t="shared" si="85"/>
        <v>0</v>
      </c>
      <c r="AC231" s="944">
        <f t="shared" si="86"/>
        <v>0</v>
      </c>
      <c r="AD231" s="943" t="e">
        <f t="shared" si="87"/>
        <v>#VALUE!</v>
      </c>
      <c r="AE231" s="943">
        <f t="shared" si="88"/>
        <v>0</v>
      </c>
      <c r="AF231" s="916">
        <f>IF(H231&gt;8,tab!$D$63,tab!$D$65)</f>
        <v>0.5</v>
      </c>
      <c r="AG231" s="925">
        <f t="shared" si="89"/>
        <v>0</v>
      </c>
      <c r="AH231" s="940">
        <f t="shared" si="90"/>
        <v>0</v>
      </c>
      <c r="AI231" s="924" t="e">
        <f>DATE(YEAR(tab!$H$3),MONTH(G231),DAY(G231))&gt;tab!$H$3</f>
        <v>#VALUE!</v>
      </c>
      <c r="AJ231" s="924" t="e">
        <f t="shared" si="91"/>
        <v>#VALUE!</v>
      </c>
      <c r="AK231" s="884">
        <f t="shared" si="92"/>
        <v>30</v>
      </c>
      <c r="AL231" s="884">
        <f t="shared" si="97"/>
        <v>30</v>
      </c>
      <c r="AM231" s="925">
        <f t="shared" si="93"/>
        <v>0</v>
      </c>
    </row>
    <row r="232" spans="3:39" ht="12.75" customHeight="1" x14ac:dyDescent="0.2">
      <c r="C232" s="69"/>
      <c r="D232" s="75" t="str">
        <f>IF(op!D165=0,"",op!D165)</f>
        <v/>
      </c>
      <c r="E232" s="75" t="str">
        <f>IF(op!E165=0,"-",op!E165)</f>
        <v/>
      </c>
      <c r="F232" s="88" t="str">
        <f>IF(op!F165="","",op!F165+1)</f>
        <v/>
      </c>
      <c r="G232" s="290" t="str">
        <f>IF(op!G165="","",op!G165)</f>
        <v/>
      </c>
      <c r="H232" s="88" t="str">
        <f>IF(op!H165=0,"",op!H165)</f>
        <v/>
      </c>
      <c r="I232" s="99" t="str">
        <f>IF(J232="","",(IF(op!I165+1&gt;LOOKUP(H232,schaal2019,regels2019),op!I165,op!I165+1)))</f>
        <v/>
      </c>
      <c r="J232" s="291" t="str">
        <f>IF(op!J165="","",op!J165)</f>
        <v/>
      </c>
      <c r="K232" s="971"/>
      <c r="L232" s="859">
        <f t="shared" si="79"/>
        <v>0</v>
      </c>
      <c r="M232" s="859">
        <f t="shared" si="79"/>
        <v>0</v>
      </c>
      <c r="N232" s="867" t="str">
        <f t="shared" si="94"/>
        <v/>
      </c>
      <c r="O232" s="867" t="str">
        <f t="shared" si="95"/>
        <v/>
      </c>
      <c r="P232" s="953" t="str">
        <f t="shared" si="80"/>
        <v/>
      </c>
      <c r="Q232" s="70"/>
      <c r="R232" s="739" t="str">
        <f t="shared" si="96"/>
        <v/>
      </c>
      <c r="S232" s="739" t="str">
        <f t="shared" si="81"/>
        <v/>
      </c>
      <c r="T232" s="740" t="str">
        <f t="shared" si="82"/>
        <v/>
      </c>
      <c r="U232" s="275"/>
      <c r="V232" s="288"/>
      <c r="W232" s="288"/>
      <c r="X232" s="288"/>
      <c r="Y232" s="908">
        <f t="shared" si="83"/>
        <v>0</v>
      </c>
      <c r="Z232" s="986">
        <f>tab!$D$62</f>
        <v>0.6</v>
      </c>
      <c r="AA232" s="944">
        <f t="shared" si="84"/>
        <v>0</v>
      </c>
      <c r="AB232" s="944">
        <f t="shared" si="85"/>
        <v>0</v>
      </c>
      <c r="AC232" s="944">
        <f t="shared" si="86"/>
        <v>0</v>
      </c>
      <c r="AD232" s="943" t="e">
        <f t="shared" si="87"/>
        <v>#VALUE!</v>
      </c>
      <c r="AE232" s="943">
        <f t="shared" si="88"/>
        <v>0</v>
      </c>
      <c r="AF232" s="916">
        <f>IF(H232&gt;8,tab!$D$63,tab!$D$65)</f>
        <v>0.5</v>
      </c>
      <c r="AG232" s="925">
        <f t="shared" si="89"/>
        <v>0</v>
      </c>
      <c r="AH232" s="940">
        <f t="shared" si="90"/>
        <v>0</v>
      </c>
      <c r="AI232" s="924" t="e">
        <f>DATE(YEAR(tab!$H$3),MONTH(G232),DAY(G232))&gt;tab!$H$3</f>
        <v>#VALUE!</v>
      </c>
      <c r="AJ232" s="924" t="e">
        <f t="shared" si="91"/>
        <v>#VALUE!</v>
      </c>
      <c r="AK232" s="884">
        <f t="shared" si="92"/>
        <v>30</v>
      </c>
      <c r="AL232" s="884">
        <f t="shared" si="97"/>
        <v>30</v>
      </c>
      <c r="AM232" s="925">
        <f t="shared" si="93"/>
        <v>0</v>
      </c>
    </row>
    <row r="233" spans="3:39" ht="12.75" customHeight="1" x14ac:dyDescent="0.2">
      <c r="C233" s="69"/>
      <c r="D233" s="75" t="str">
        <f>IF(op!D166=0,"",op!D166)</f>
        <v/>
      </c>
      <c r="E233" s="75" t="str">
        <f>IF(op!E166=0,"-",op!E166)</f>
        <v/>
      </c>
      <c r="F233" s="88" t="str">
        <f>IF(op!F166="","",op!F166+1)</f>
        <v/>
      </c>
      <c r="G233" s="290" t="str">
        <f>IF(op!G166="","",op!G166)</f>
        <v/>
      </c>
      <c r="H233" s="88" t="str">
        <f>IF(op!H166=0,"",op!H166)</f>
        <v/>
      </c>
      <c r="I233" s="99" t="str">
        <f>IF(J233="","",(IF(op!I166+1&gt;LOOKUP(H233,schaal2019,regels2019),op!I166,op!I166+1)))</f>
        <v/>
      </c>
      <c r="J233" s="291" t="str">
        <f>IF(op!J166="","",op!J166)</f>
        <v/>
      </c>
      <c r="K233" s="971"/>
      <c r="L233" s="859">
        <f t="shared" si="79"/>
        <v>0</v>
      </c>
      <c r="M233" s="859">
        <f t="shared" si="79"/>
        <v>0</v>
      </c>
      <c r="N233" s="867" t="str">
        <f t="shared" si="94"/>
        <v/>
      </c>
      <c r="O233" s="867" t="str">
        <f t="shared" si="95"/>
        <v/>
      </c>
      <c r="P233" s="953" t="str">
        <f t="shared" si="80"/>
        <v/>
      </c>
      <c r="Q233" s="70"/>
      <c r="R233" s="739" t="str">
        <f t="shared" si="96"/>
        <v/>
      </c>
      <c r="S233" s="739" t="str">
        <f t="shared" si="81"/>
        <v/>
      </c>
      <c r="T233" s="740" t="str">
        <f t="shared" si="82"/>
        <v/>
      </c>
      <c r="U233" s="275"/>
      <c r="V233" s="288"/>
      <c r="W233" s="288"/>
      <c r="X233" s="288"/>
      <c r="Y233" s="908">
        <f t="shared" si="83"/>
        <v>0</v>
      </c>
      <c r="Z233" s="986">
        <f>tab!$D$62</f>
        <v>0.6</v>
      </c>
      <c r="AA233" s="944">
        <f t="shared" si="84"/>
        <v>0</v>
      </c>
      <c r="AB233" s="944">
        <f t="shared" si="85"/>
        <v>0</v>
      </c>
      <c r="AC233" s="944">
        <f t="shared" si="86"/>
        <v>0</v>
      </c>
      <c r="AD233" s="943" t="e">
        <f t="shared" si="87"/>
        <v>#VALUE!</v>
      </c>
      <c r="AE233" s="943">
        <f t="shared" si="88"/>
        <v>0</v>
      </c>
      <c r="AF233" s="916">
        <f>IF(H233&gt;8,tab!$D$63,tab!$D$65)</f>
        <v>0.5</v>
      </c>
      <c r="AG233" s="925">
        <f t="shared" si="89"/>
        <v>0</v>
      </c>
      <c r="AH233" s="940">
        <f t="shared" si="90"/>
        <v>0</v>
      </c>
      <c r="AI233" s="924" t="e">
        <f>DATE(YEAR(tab!$H$3),MONTH(G233),DAY(G233))&gt;tab!$H$3</f>
        <v>#VALUE!</v>
      </c>
      <c r="AJ233" s="924" t="e">
        <f t="shared" si="91"/>
        <v>#VALUE!</v>
      </c>
      <c r="AK233" s="884">
        <f t="shared" si="92"/>
        <v>30</v>
      </c>
      <c r="AL233" s="884">
        <f t="shared" si="97"/>
        <v>30</v>
      </c>
      <c r="AM233" s="925">
        <f t="shared" si="93"/>
        <v>0</v>
      </c>
    </row>
    <row r="234" spans="3:39" ht="12.75" customHeight="1" x14ac:dyDescent="0.2">
      <c r="C234" s="69"/>
      <c r="D234" s="75" t="str">
        <f>IF(op!D167=0,"",op!D167)</f>
        <v/>
      </c>
      <c r="E234" s="75" t="str">
        <f>IF(op!E167=0,"-",op!E167)</f>
        <v/>
      </c>
      <c r="F234" s="88" t="str">
        <f>IF(op!F167="","",op!F167+1)</f>
        <v/>
      </c>
      <c r="G234" s="290" t="str">
        <f>IF(op!G167="","",op!G167)</f>
        <v/>
      </c>
      <c r="H234" s="88" t="str">
        <f>IF(op!H167=0,"",op!H167)</f>
        <v/>
      </c>
      <c r="I234" s="99" t="str">
        <f>IF(J234="","",(IF(op!I167+1&gt;LOOKUP(H234,schaal2019,regels2019),op!I167,op!I167+1)))</f>
        <v/>
      </c>
      <c r="J234" s="291" t="str">
        <f>IF(op!J167="","",op!J167)</f>
        <v/>
      </c>
      <c r="K234" s="971"/>
      <c r="L234" s="859">
        <f t="shared" si="79"/>
        <v>0</v>
      </c>
      <c r="M234" s="859">
        <f t="shared" si="79"/>
        <v>0</v>
      </c>
      <c r="N234" s="867" t="str">
        <f t="shared" si="94"/>
        <v/>
      </c>
      <c r="O234" s="867" t="str">
        <f t="shared" si="95"/>
        <v/>
      </c>
      <c r="P234" s="953" t="str">
        <f t="shared" si="80"/>
        <v/>
      </c>
      <c r="Q234" s="70"/>
      <c r="R234" s="739" t="str">
        <f t="shared" si="96"/>
        <v/>
      </c>
      <c r="S234" s="739" t="str">
        <f t="shared" si="81"/>
        <v/>
      </c>
      <c r="T234" s="740" t="str">
        <f t="shared" si="82"/>
        <v/>
      </c>
      <c r="U234" s="275"/>
      <c r="V234" s="288"/>
      <c r="W234" s="288"/>
      <c r="X234" s="288"/>
      <c r="Y234" s="908">
        <f t="shared" si="83"/>
        <v>0</v>
      </c>
      <c r="Z234" s="986">
        <f>tab!$D$62</f>
        <v>0.6</v>
      </c>
      <c r="AA234" s="944">
        <f t="shared" si="84"/>
        <v>0</v>
      </c>
      <c r="AB234" s="944">
        <f t="shared" si="85"/>
        <v>0</v>
      </c>
      <c r="AC234" s="944">
        <f t="shared" si="86"/>
        <v>0</v>
      </c>
      <c r="AD234" s="943" t="e">
        <f t="shared" si="87"/>
        <v>#VALUE!</v>
      </c>
      <c r="AE234" s="943">
        <f t="shared" si="88"/>
        <v>0</v>
      </c>
      <c r="AF234" s="916">
        <f>IF(H234&gt;8,tab!$D$63,tab!$D$65)</f>
        <v>0.5</v>
      </c>
      <c r="AG234" s="925">
        <f t="shared" si="89"/>
        <v>0</v>
      </c>
      <c r="AH234" s="940">
        <f t="shared" si="90"/>
        <v>0</v>
      </c>
      <c r="AI234" s="924" t="e">
        <f>DATE(YEAR(tab!$H$3),MONTH(G234),DAY(G234))&gt;tab!$H$3</f>
        <v>#VALUE!</v>
      </c>
      <c r="AJ234" s="924" t="e">
        <f t="shared" si="91"/>
        <v>#VALUE!</v>
      </c>
      <c r="AK234" s="884">
        <f t="shared" si="92"/>
        <v>30</v>
      </c>
      <c r="AL234" s="884">
        <f t="shared" si="97"/>
        <v>30</v>
      </c>
      <c r="AM234" s="925">
        <f t="shared" si="93"/>
        <v>0</v>
      </c>
    </row>
    <row r="235" spans="3:39" ht="12.75" customHeight="1" x14ac:dyDescent="0.2">
      <c r="C235" s="69"/>
      <c r="D235" s="75" t="str">
        <f>IF(op!D168=0,"",op!D168)</f>
        <v/>
      </c>
      <c r="E235" s="75" t="str">
        <f>IF(op!E168=0,"-",op!E168)</f>
        <v/>
      </c>
      <c r="F235" s="88" t="str">
        <f>IF(op!F168="","",op!F168+1)</f>
        <v/>
      </c>
      <c r="G235" s="290" t="str">
        <f>IF(op!G168="","",op!G168)</f>
        <v/>
      </c>
      <c r="H235" s="88" t="str">
        <f>IF(op!H168=0,"",op!H168)</f>
        <v/>
      </c>
      <c r="I235" s="99" t="str">
        <f>IF(J235="","",(IF(op!I168+1&gt;LOOKUP(H235,schaal2019,regels2019),op!I168,op!I168+1)))</f>
        <v/>
      </c>
      <c r="J235" s="291" t="str">
        <f>IF(op!J168="","",op!J168)</f>
        <v/>
      </c>
      <c r="K235" s="971"/>
      <c r="L235" s="859">
        <f t="shared" si="79"/>
        <v>0</v>
      </c>
      <c r="M235" s="859">
        <f t="shared" si="79"/>
        <v>0</v>
      </c>
      <c r="N235" s="867" t="str">
        <f t="shared" si="94"/>
        <v/>
      </c>
      <c r="O235" s="867" t="str">
        <f t="shared" si="95"/>
        <v/>
      </c>
      <c r="P235" s="953" t="str">
        <f t="shared" si="80"/>
        <v/>
      </c>
      <c r="Q235" s="70"/>
      <c r="R235" s="739" t="str">
        <f t="shared" si="96"/>
        <v/>
      </c>
      <c r="S235" s="739" t="str">
        <f t="shared" si="81"/>
        <v/>
      </c>
      <c r="T235" s="740" t="str">
        <f t="shared" si="82"/>
        <v/>
      </c>
      <c r="U235" s="275"/>
      <c r="V235" s="288"/>
      <c r="W235" s="288"/>
      <c r="X235" s="288"/>
      <c r="Y235" s="908">
        <f t="shared" si="83"/>
        <v>0</v>
      </c>
      <c r="Z235" s="986">
        <f>tab!$D$62</f>
        <v>0.6</v>
      </c>
      <c r="AA235" s="944">
        <f t="shared" si="84"/>
        <v>0</v>
      </c>
      <c r="AB235" s="944">
        <f t="shared" si="85"/>
        <v>0</v>
      </c>
      <c r="AC235" s="944">
        <f t="shared" si="86"/>
        <v>0</v>
      </c>
      <c r="AD235" s="943" t="e">
        <f t="shared" si="87"/>
        <v>#VALUE!</v>
      </c>
      <c r="AE235" s="943">
        <f t="shared" si="88"/>
        <v>0</v>
      </c>
      <c r="AF235" s="916">
        <f>IF(H235&gt;8,tab!$D$63,tab!$D$65)</f>
        <v>0.5</v>
      </c>
      <c r="AG235" s="925">
        <f t="shared" si="89"/>
        <v>0</v>
      </c>
      <c r="AH235" s="940">
        <f t="shared" si="90"/>
        <v>0</v>
      </c>
      <c r="AI235" s="924" t="e">
        <f>DATE(YEAR(tab!$H$3),MONTH(G235),DAY(G235))&gt;tab!$H$3</f>
        <v>#VALUE!</v>
      </c>
      <c r="AJ235" s="924" t="e">
        <f t="shared" si="91"/>
        <v>#VALUE!</v>
      </c>
      <c r="AK235" s="884">
        <f t="shared" si="92"/>
        <v>30</v>
      </c>
      <c r="AL235" s="884">
        <f t="shared" si="97"/>
        <v>30</v>
      </c>
      <c r="AM235" s="925">
        <f t="shared" si="93"/>
        <v>0</v>
      </c>
    </row>
    <row r="236" spans="3:39" ht="12.75" customHeight="1" x14ac:dyDescent="0.2">
      <c r="C236" s="69"/>
      <c r="D236" s="75" t="str">
        <f>IF(op!D169=0,"",op!D169)</f>
        <v/>
      </c>
      <c r="E236" s="75" t="str">
        <f>IF(op!E169=0,"-",op!E169)</f>
        <v/>
      </c>
      <c r="F236" s="88" t="str">
        <f>IF(op!F169="","",op!F169+1)</f>
        <v/>
      </c>
      <c r="G236" s="290" t="str">
        <f>IF(op!G169="","",op!G169)</f>
        <v/>
      </c>
      <c r="H236" s="88" t="str">
        <f>IF(op!H169=0,"",op!H169)</f>
        <v/>
      </c>
      <c r="I236" s="99" t="str">
        <f>IF(J236="","",(IF(op!I169+1&gt;LOOKUP(H236,schaal2019,regels2019),op!I169,op!I169+1)))</f>
        <v/>
      </c>
      <c r="J236" s="291" t="str">
        <f>IF(op!J169="","",op!J169)</f>
        <v/>
      </c>
      <c r="K236" s="971"/>
      <c r="L236" s="859">
        <f t="shared" si="79"/>
        <v>0</v>
      </c>
      <c r="M236" s="859">
        <f t="shared" si="79"/>
        <v>0</v>
      </c>
      <c r="N236" s="867" t="str">
        <f t="shared" si="94"/>
        <v/>
      </c>
      <c r="O236" s="867" t="str">
        <f t="shared" si="95"/>
        <v/>
      </c>
      <c r="P236" s="953" t="str">
        <f t="shared" si="80"/>
        <v/>
      </c>
      <c r="Q236" s="70"/>
      <c r="R236" s="739" t="str">
        <f t="shared" si="96"/>
        <v/>
      </c>
      <c r="S236" s="739" t="str">
        <f t="shared" si="81"/>
        <v/>
      </c>
      <c r="T236" s="740" t="str">
        <f t="shared" si="82"/>
        <v/>
      </c>
      <c r="U236" s="275"/>
      <c r="V236" s="288"/>
      <c r="W236" s="288"/>
      <c r="X236" s="288"/>
      <c r="Y236" s="908">
        <f t="shared" si="83"/>
        <v>0</v>
      </c>
      <c r="Z236" s="986">
        <f>tab!$D$62</f>
        <v>0.6</v>
      </c>
      <c r="AA236" s="944">
        <f t="shared" si="84"/>
        <v>0</v>
      </c>
      <c r="AB236" s="944">
        <f t="shared" si="85"/>
        <v>0</v>
      </c>
      <c r="AC236" s="944">
        <f t="shared" si="86"/>
        <v>0</v>
      </c>
      <c r="AD236" s="943" t="e">
        <f t="shared" si="87"/>
        <v>#VALUE!</v>
      </c>
      <c r="AE236" s="943">
        <f t="shared" si="88"/>
        <v>0</v>
      </c>
      <c r="AF236" s="916">
        <f>IF(H236&gt;8,tab!$D$63,tab!$D$65)</f>
        <v>0.5</v>
      </c>
      <c r="AG236" s="925">
        <f t="shared" si="89"/>
        <v>0</v>
      </c>
      <c r="AH236" s="940">
        <f t="shared" si="90"/>
        <v>0</v>
      </c>
      <c r="AI236" s="924" t="e">
        <f>DATE(YEAR(tab!$H$3),MONTH(G236),DAY(G236))&gt;tab!$H$3</f>
        <v>#VALUE!</v>
      </c>
      <c r="AJ236" s="924" t="e">
        <f t="shared" si="91"/>
        <v>#VALUE!</v>
      </c>
      <c r="AK236" s="884">
        <f t="shared" si="92"/>
        <v>30</v>
      </c>
      <c r="AL236" s="884">
        <f t="shared" si="97"/>
        <v>30</v>
      </c>
      <c r="AM236" s="925">
        <f t="shared" si="93"/>
        <v>0</v>
      </c>
    </row>
    <row r="237" spans="3:39" ht="12.75" customHeight="1" x14ac:dyDescent="0.2">
      <c r="C237" s="69"/>
      <c r="D237" s="75" t="str">
        <f>IF(op!D170=0,"",op!D170)</f>
        <v/>
      </c>
      <c r="E237" s="75" t="str">
        <f>IF(op!E170=0,"-",op!E170)</f>
        <v/>
      </c>
      <c r="F237" s="88" t="str">
        <f>IF(op!F170="","",op!F170+1)</f>
        <v/>
      </c>
      <c r="G237" s="290" t="str">
        <f>IF(op!G170="","",op!G170)</f>
        <v/>
      </c>
      <c r="H237" s="88" t="str">
        <f>IF(op!H170=0,"",op!H170)</f>
        <v/>
      </c>
      <c r="I237" s="99" t="str">
        <f>IF(J237="","",(IF(op!I170+1&gt;LOOKUP(H237,schaal2019,regels2019),op!I170,op!I170+1)))</f>
        <v/>
      </c>
      <c r="J237" s="291" t="str">
        <f>IF(op!J170="","",op!J170)</f>
        <v/>
      </c>
      <c r="K237" s="971"/>
      <c r="L237" s="859">
        <f t="shared" si="79"/>
        <v>0</v>
      </c>
      <c r="M237" s="859">
        <f t="shared" si="79"/>
        <v>0</v>
      </c>
      <c r="N237" s="867" t="str">
        <f t="shared" si="94"/>
        <v/>
      </c>
      <c r="O237" s="867" t="str">
        <f t="shared" si="95"/>
        <v/>
      </c>
      <c r="P237" s="953" t="str">
        <f t="shared" si="80"/>
        <v/>
      </c>
      <c r="Q237" s="70"/>
      <c r="R237" s="739" t="str">
        <f t="shared" si="96"/>
        <v/>
      </c>
      <c r="S237" s="739" t="str">
        <f t="shared" si="81"/>
        <v/>
      </c>
      <c r="T237" s="740" t="str">
        <f t="shared" si="82"/>
        <v/>
      </c>
      <c r="U237" s="275"/>
      <c r="V237" s="288"/>
      <c r="W237" s="288"/>
      <c r="X237" s="288"/>
      <c r="Y237" s="908">
        <f t="shared" si="83"/>
        <v>0</v>
      </c>
      <c r="Z237" s="986">
        <f>tab!$D$62</f>
        <v>0.6</v>
      </c>
      <c r="AA237" s="944">
        <f t="shared" si="84"/>
        <v>0</v>
      </c>
      <c r="AB237" s="944">
        <f t="shared" si="85"/>
        <v>0</v>
      </c>
      <c r="AC237" s="944">
        <f t="shared" si="86"/>
        <v>0</v>
      </c>
      <c r="AD237" s="943" t="e">
        <f t="shared" si="87"/>
        <v>#VALUE!</v>
      </c>
      <c r="AE237" s="943">
        <f t="shared" si="88"/>
        <v>0</v>
      </c>
      <c r="AF237" s="916">
        <f>IF(H237&gt;8,tab!$D$63,tab!$D$65)</f>
        <v>0.5</v>
      </c>
      <c r="AG237" s="925">
        <f t="shared" si="89"/>
        <v>0</v>
      </c>
      <c r="AH237" s="940">
        <f t="shared" si="90"/>
        <v>0</v>
      </c>
      <c r="AI237" s="924" t="e">
        <f>DATE(YEAR(tab!$H$3),MONTH(G237),DAY(G237))&gt;tab!$H$3</f>
        <v>#VALUE!</v>
      </c>
      <c r="AJ237" s="924" t="e">
        <f t="shared" si="91"/>
        <v>#VALUE!</v>
      </c>
      <c r="AK237" s="884">
        <f t="shared" si="92"/>
        <v>30</v>
      </c>
      <c r="AL237" s="884">
        <f t="shared" si="97"/>
        <v>30</v>
      </c>
      <c r="AM237" s="925">
        <f t="shared" si="93"/>
        <v>0</v>
      </c>
    </row>
    <row r="238" spans="3:39" ht="12.75" customHeight="1" x14ac:dyDescent="0.2">
      <c r="C238" s="69"/>
      <c r="D238" s="75" t="str">
        <f>IF(op!D171=0,"",op!D171)</f>
        <v/>
      </c>
      <c r="E238" s="75" t="str">
        <f>IF(op!E171=0,"-",op!E171)</f>
        <v/>
      </c>
      <c r="F238" s="88" t="str">
        <f>IF(op!F171="","",op!F171+1)</f>
        <v/>
      </c>
      <c r="G238" s="290" t="str">
        <f>IF(op!G171="","",op!G171)</f>
        <v/>
      </c>
      <c r="H238" s="88" t="str">
        <f>IF(op!H171=0,"",op!H171)</f>
        <v/>
      </c>
      <c r="I238" s="99" t="str">
        <f>IF(J238="","",(IF(op!I171+1&gt;LOOKUP(H238,schaal2019,regels2019),op!I171,op!I171+1)))</f>
        <v/>
      </c>
      <c r="J238" s="291" t="str">
        <f>IF(op!J171="","",op!J171)</f>
        <v/>
      </c>
      <c r="K238" s="971"/>
      <c r="L238" s="859">
        <f t="shared" ref="L238:M257" si="98">IF(L171="","",L171)</f>
        <v>0</v>
      </c>
      <c r="M238" s="859">
        <f t="shared" si="98"/>
        <v>0</v>
      </c>
      <c r="N238" s="867" t="str">
        <f t="shared" si="94"/>
        <v/>
      </c>
      <c r="O238" s="867" t="str">
        <f t="shared" si="95"/>
        <v/>
      </c>
      <c r="P238" s="953" t="str">
        <f t="shared" si="80"/>
        <v/>
      </c>
      <c r="Q238" s="70"/>
      <c r="R238" s="739" t="str">
        <f t="shared" si="96"/>
        <v/>
      </c>
      <c r="S238" s="739" t="str">
        <f t="shared" si="81"/>
        <v/>
      </c>
      <c r="T238" s="740" t="str">
        <f t="shared" si="82"/>
        <v/>
      </c>
      <c r="U238" s="275"/>
      <c r="V238" s="288"/>
      <c r="W238" s="288"/>
      <c r="X238" s="288"/>
      <c r="Y238" s="908">
        <f t="shared" si="83"/>
        <v>0</v>
      </c>
      <c r="Z238" s="986">
        <f>tab!$D$62</f>
        <v>0.6</v>
      </c>
      <c r="AA238" s="944">
        <f t="shared" si="84"/>
        <v>0</v>
      </c>
      <c r="AB238" s="944">
        <f t="shared" si="85"/>
        <v>0</v>
      </c>
      <c r="AC238" s="944">
        <f t="shared" si="86"/>
        <v>0</v>
      </c>
      <c r="AD238" s="943" t="e">
        <f t="shared" si="87"/>
        <v>#VALUE!</v>
      </c>
      <c r="AE238" s="943">
        <f t="shared" si="88"/>
        <v>0</v>
      </c>
      <c r="AF238" s="916">
        <f>IF(H238&gt;8,tab!$D$63,tab!$D$65)</f>
        <v>0.5</v>
      </c>
      <c r="AG238" s="925">
        <f t="shared" si="89"/>
        <v>0</v>
      </c>
      <c r="AH238" s="940">
        <f t="shared" si="90"/>
        <v>0</v>
      </c>
      <c r="AI238" s="924" t="e">
        <f>DATE(YEAR(tab!$H$3),MONTH(G238),DAY(G238))&gt;tab!$H$3</f>
        <v>#VALUE!</v>
      </c>
      <c r="AJ238" s="924" t="e">
        <f t="shared" si="91"/>
        <v>#VALUE!</v>
      </c>
      <c r="AK238" s="884">
        <f t="shared" si="92"/>
        <v>30</v>
      </c>
      <c r="AL238" s="884">
        <f t="shared" si="97"/>
        <v>30</v>
      </c>
      <c r="AM238" s="925">
        <f t="shared" si="93"/>
        <v>0</v>
      </c>
    </row>
    <row r="239" spans="3:39" ht="12.75" customHeight="1" x14ac:dyDescent="0.2">
      <c r="C239" s="69"/>
      <c r="D239" s="75" t="str">
        <f>IF(op!D172=0,"",op!D172)</f>
        <v/>
      </c>
      <c r="E239" s="75" t="str">
        <f>IF(op!E172=0,"-",op!E172)</f>
        <v/>
      </c>
      <c r="F239" s="88" t="str">
        <f>IF(op!F172="","",op!F172+1)</f>
        <v/>
      </c>
      <c r="G239" s="290" t="str">
        <f>IF(op!G172="","",op!G172)</f>
        <v/>
      </c>
      <c r="H239" s="88" t="str">
        <f>IF(op!H172=0,"",op!H172)</f>
        <v/>
      </c>
      <c r="I239" s="99" t="str">
        <f>IF(J239="","",(IF(op!I172+1&gt;LOOKUP(H239,schaal2019,regels2019),op!I172,op!I172+1)))</f>
        <v/>
      </c>
      <c r="J239" s="291" t="str">
        <f>IF(op!J172="","",op!J172)</f>
        <v/>
      </c>
      <c r="K239" s="971"/>
      <c r="L239" s="859">
        <f t="shared" si="98"/>
        <v>0</v>
      </c>
      <c r="M239" s="859">
        <f t="shared" si="98"/>
        <v>0</v>
      </c>
      <c r="N239" s="867" t="str">
        <f t="shared" si="94"/>
        <v/>
      </c>
      <c r="O239" s="867" t="str">
        <f t="shared" si="95"/>
        <v/>
      </c>
      <c r="P239" s="953" t="str">
        <f t="shared" si="80"/>
        <v/>
      </c>
      <c r="Q239" s="70"/>
      <c r="R239" s="739" t="str">
        <f t="shared" si="96"/>
        <v/>
      </c>
      <c r="S239" s="739" t="str">
        <f t="shared" si="81"/>
        <v/>
      </c>
      <c r="T239" s="740" t="str">
        <f t="shared" si="82"/>
        <v/>
      </c>
      <c r="U239" s="275"/>
      <c r="V239" s="288"/>
      <c r="W239" s="288"/>
      <c r="X239" s="288"/>
      <c r="Y239" s="908">
        <f t="shared" si="83"/>
        <v>0</v>
      </c>
      <c r="Z239" s="986">
        <f>tab!$D$62</f>
        <v>0.6</v>
      </c>
      <c r="AA239" s="944">
        <f t="shared" si="84"/>
        <v>0</v>
      </c>
      <c r="AB239" s="944">
        <f t="shared" si="85"/>
        <v>0</v>
      </c>
      <c r="AC239" s="944">
        <f t="shared" si="86"/>
        <v>0</v>
      </c>
      <c r="AD239" s="943" t="e">
        <f t="shared" si="87"/>
        <v>#VALUE!</v>
      </c>
      <c r="AE239" s="943">
        <f t="shared" si="88"/>
        <v>0</v>
      </c>
      <c r="AF239" s="916">
        <f>IF(H239&gt;8,tab!$D$63,tab!$D$65)</f>
        <v>0.5</v>
      </c>
      <c r="AG239" s="925">
        <f t="shared" si="89"/>
        <v>0</v>
      </c>
      <c r="AH239" s="940">
        <f t="shared" si="90"/>
        <v>0</v>
      </c>
      <c r="AI239" s="924" t="e">
        <f>DATE(YEAR(tab!$H$3),MONTH(G239),DAY(G239))&gt;tab!$H$3</f>
        <v>#VALUE!</v>
      </c>
      <c r="AJ239" s="924" t="e">
        <f t="shared" si="91"/>
        <v>#VALUE!</v>
      </c>
      <c r="AK239" s="884">
        <f t="shared" si="92"/>
        <v>30</v>
      </c>
      <c r="AL239" s="884">
        <f t="shared" si="97"/>
        <v>30</v>
      </c>
      <c r="AM239" s="925">
        <f t="shared" si="93"/>
        <v>0</v>
      </c>
    </row>
    <row r="240" spans="3:39" ht="12.75" customHeight="1" x14ac:dyDescent="0.2">
      <c r="C240" s="69"/>
      <c r="D240" s="75" t="str">
        <f>IF(op!D173=0,"",op!D173)</f>
        <v/>
      </c>
      <c r="E240" s="75" t="str">
        <f>IF(op!E173=0,"-",op!E173)</f>
        <v/>
      </c>
      <c r="F240" s="88" t="str">
        <f>IF(op!F173="","",op!F173+1)</f>
        <v/>
      </c>
      <c r="G240" s="290" t="str">
        <f>IF(op!G173="","",op!G173)</f>
        <v/>
      </c>
      <c r="H240" s="88" t="str">
        <f>IF(op!H173=0,"",op!H173)</f>
        <v/>
      </c>
      <c r="I240" s="99" t="str">
        <f>IF(J240="","",(IF(op!I173+1&gt;LOOKUP(H240,schaal2019,regels2019),op!I173,op!I173+1)))</f>
        <v/>
      </c>
      <c r="J240" s="291" t="str">
        <f>IF(op!J173="","",op!J173)</f>
        <v/>
      </c>
      <c r="K240" s="971"/>
      <c r="L240" s="859">
        <f t="shared" si="98"/>
        <v>0</v>
      </c>
      <c r="M240" s="859">
        <f t="shared" si="98"/>
        <v>0</v>
      </c>
      <c r="N240" s="867" t="str">
        <f t="shared" si="94"/>
        <v/>
      </c>
      <c r="O240" s="867" t="str">
        <f t="shared" si="95"/>
        <v/>
      </c>
      <c r="P240" s="953" t="str">
        <f t="shared" si="80"/>
        <v/>
      </c>
      <c r="Q240" s="70"/>
      <c r="R240" s="739" t="str">
        <f t="shared" si="96"/>
        <v/>
      </c>
      <c r="S240" s="739" t="str">
        <f t="shared" si="81"/>
        <v/>
      </c>
      <c r="T240" s="740" t="str">
        <f t="shared" si="82"/>
        <v/>
      </c>
      <c r="U240" s="275"/>
      <c r="V240" s="288"/>
      <c r="W240" s="288"/>
      <c r="X240" s="288"/>
      <c r="Y240" s="908">
        <f t="shared" si="83"/>
        <v>0</v>
      </c>
      <c r="Z240" s="986">
        <f>tab!$D$62</f>
        <v>0.6</v>
      </c>
      <c r="AA240" s="944">
        <f t="shared" si="84"/>
        <v>0</v>
      </c>
      <c r="AB240" s="944">
        <f t="shared" si="85"/>
        <v>0</v>
      </c>
      <c r="AC240" s="944">
        <f t="shared" si="86"/>
        <v>0</v>
      </c>
      <c r="AD240" s="943" t="e">
        <f t="shared" si="87"/>
        <v>#VALUE!</v>
      </c>
      <c r="AE240" s="943">
        <f t="shared" si="88"/>
        <v>0</v>
      </c>
      <c r="AF240" s="916">
        <f>IF(H240&gt;8,tab!$D$63,tab!$D$65)</f>
        <v>0.5</v>
      </c>
      <c r="AG240" s="925">
        <f t="shared" si="89"/>
        <v>0</v>
      </c>
      <c r="AH240" s="940">
        <f t="shared" si="90"/>
        <v>0</v>
      </c>
      <c r="AI240" s="924" t="e">
        <f>DATE(YEAR(tab!$H$3),MONTH(G240),DAY(G240))&gt;tab!$H$3</f>
        <v>#VALUE!</v>
      </c>
      <c r="AJ240" s="924" t="e">
        <f t="shared" si="91"/>
        <v>#VALUE!</v>
      </c>
      <c r="AK240" s="884">
        <f t="shared" si="92"/>
        <v>30</v>
      </c>
      <c r="AL240" s="884">
        <f t="shared" si="97"/>
        <v>30</v>
      </c>
      <c r="AM240" s="925">
        <f t="shared" si="93"/>
        <v>0</v>
      </c>
    </row>
    <row r="241" spans="3:39" ht="12.75" customHeight="1" x14ac:dyDescent="0.2">
      <c r="C241" s="69"/>
      <c r="D241" s="75" t="str">
        <f>IF(op!D174=0,"",op!D174)</f>
        <v/>
      </c>
      <c r="E241" s="75" t="str">
        <f>IF(op!E174=0,"-",op!E174)</f>
        <v/>
      </c>
      <c r="F241" s="88" t="str">
        <f>IF(op!F174="","",op!F174+1)</f>
        <v/>
      </c>
      <c r="G241" s="290" t="str">
        <f>IF(op!G174="","",op!G174)</f>
        <v/>
      </c>
      <c r="H241" s="88" t="str">
        <f>IF(op!H174=0,"",op!H174)</f>
        <v/>
      </c>
      <c r="I241" s="99" t="str">
        <f>IF(J241="","",(IF(op!I174+1&gt;LOOKUP(H241,schaal2019,regels2019),op!I174,op!I174+1)))</f>
        <v/>
      </c>
      <c r="J241" s="291" t="str">
        <f>IF(op!J174="","",op!J174)</f>
        <v/>
      </c>
      <c r="K241" s="971"/>
      <c r="L241" s="859">
        <f t="shared" si="98"/>
        <v>0</v>
      </c>
      <c r="M241" s="859">
        <f t="shared" si="98"/>
        <v>0</v>
      </c>
      <c r="N241" s="867" t="str">
        <f t="shared" si="94"/>
        <v/>
      </c>
      <c r="O241" s="867" t="str">
        <f t="shared" si="95"/>
        <v/>
      </c>
      <c r="P241" s="953" t="str">
        <f t="shared" si="80"/>
        <v/>
      </c>
      <c r="Q241" s="70"/>
      <c r="R241" s="739" t="str">
        <f t="shared" si="96"/>
        <v/>
      </c>
      <c r="S241" s="739" t="str">
        <f t="shared" si="81"/>
        <v/>
      </c>
      <c r="T241" s="740" t="str">
        <f t="shared" si="82"/>
        <v/>
      </c>
      <c r="U241" s="275"/>
      <c r="V241" s="288"/>
      <c r="W241" s="288"/>
      <c r="X241" s="288"/>
      <c r="Y241" s="908">
        <f t="shared" si="83"/>
        <v>0</v>
      </c>
      <c r="Z241" s="986">
        <f>tab!$D$62</f>
        <v>0.6</v>
      </c>
      <c r="AA241" s="944">
        <f t="shared" si="84"/>
        <v>0</v>
      </c>
      <c r="AB241" s="944">
        <f t="shared" si="85"/>
        <v>0</v>
      </c>
      <c r="AC241" s="944">
        <f t="shared" si="86"/>
        <v>0</v>
      </c>
      <c r="AD241" s="943" t="e">
        <f t="shared" si="87"/>
        <v>#VALUE!</v>
      </c>
      <c r="AE241" s="943">
        <f t="shared" si="88"/>
        <v>0</v>
      </c>
      <c r="AF241" s="916">
        <f>IF(H241&gt;8,tab!$D$63,tab!$D$65)</f>
        <v>0.5</v>
      </c>
      <c r="AG241" s="925">
        <f t="shared" si="89"/>
        <v>0</v>
      </c>
      <c r="AH241" s="940">
        <f t="shared" si="90"/>
        <v>0</v>
      </c>
      <c r="AI241" s="924" t="e">
        <f>DATE(YEAR(tab!$H$3),MONTH(G241),DAY(G241))&gt;tab!$H$3</f>
        <v>#VALUE!</v>
      </c>
      <c r="AJ241" s="924" t="e">
        <f t="shared" si="91"/>
        <v>#VALUE!</v>
      </c>
      <c r="AK241" s="884">
        <f t="shared" si="92"/>
        <v>30</v>
      </c>
      <c r="AL241" s="884">
        <f t="shared" si="97"/>
        <v>30</v>
      </c>
      <c r="AM241" s="925">
        <f t="shared" si="93"/>
        <v>0</v>
      </c>
    </row>
    <row r="242" spans="3:39" ht="12.75" customHeight="1" x14ac:dyDescent="0.2">
      <c r="C242" s="69"/>
      <c r="D242" s="75" t="str">
        <f>IF(op!D175=0,"",op!D175)</f>
        <v/>
      </c>
      <c r="E242" s="75" t="str">
        <f>IF(op!E175=0,"-",op!E175)</f>
        <v/>
      </c>
      <c r="F242" s="88" t="str">
        <f>IF(op!F175="","",op!F175+1)</f>
        <v/>
      </c>
      <c r="G242" s="290" t="str">
        <f>IF(op!G175="","",op!G175)</f>
        <v/>
      </c>
      <c r="H242" s="88" t="str">
        <f>IF(op!H175=0,"",op!H175)</f>
        <v/>
      </c>
      <c r="I242" s="99" t="str">
        <f>IF(J242="","",(IF(op!I175+1&gt;LOOKUP(H242,schaal2019,regels2019),op!I175,op!I175+1)))</f>
        <v/>
      </c>
      <c r="J242" s="291" t="str">
        <f>IF(op!J175="","",op!J175)</f>
        <v/>
      </c>
      <c r="K242" s="971"/>
      <c r="L242" s="859">
        <f t="shared" si="98"/>
        <v>0</v>
      </c>
      <c r="M242" s="859">
        <f t="shared" si="98"/>
        <v>0</v>
      </c>
      <c r="N242" s="867" t="str">
        <f t="shared" si="94"/>
        <v/>
      </c>
      <c r="O242" s="867" t="str">
        <f t="shared" si="95"/>
        <v/>
      </c>
      <c r="P242" s="953" t="str">
        <f t="shared" si="80"/>
        <v/>
      </c>
      <c r="Q242" s="70"/>
      <c r="R242" s="739" t="str">
        <f t="shared" si="96"/>
        <v/>
      </c>
      <c r="S242" s="739" t="str">
        <f t="shared" si="81"/>
        <v/>
      </c>
      <c r="T242" s="740" t="str">
        <f t="shared" si="82"/>
        <v/>
      </c>
      <c r="U242" s="275"/>
      <c r="V242" s="288"/>
      <c r="W242" s="288"/>
      <c r="X242" s="288"/>
      <c r="Y242" s="908">
        <f t="shared" si="83"/>
        <v>0</v>
      </c>
      <c r="Z242" s="986">
        <f>tab!$D$62</f>
        <v>0.6</v>
      </c>
      <c r="AA242" s="944">
        <f t="shared" si="84"/>
        <v>0</v>
      </c>
      <c r="AB242" s="944">
        <f t="shared" si="85"/>
        <v>0</v>
      </c>
      <c r="AC242" s="944">
        <f t="shared" si="86"/>
        <v>0</v>
      </c>
      <c r="AD242" s="943" t="e">
        <f t="shared" si="87"/>
        <v>#VALUE!</v>
      </c>
      <c r="AE242" s="943">
        <f t="shared" si="88"/>
        <v>0</v>
      </c>
      <c r="AF242" s="916">
        <f>IF(H242&gt;8,tab!$D$63,tab!$D$65)</f>
        <v>0.5</v>
      </c>
      <c r="AG242" s="925">
        <f t="shared" si="89"/>
        <v>0</v>
      </c>
      <c r="AH242" s="940">
        <f t="shared" si="90"/>
        <v>0</v>
      </c>
      <c r="AI242" s="924" t="e">
        <f>DATE(YEAR(tab!$H$3),MONTH(G242),DAY(G242))&gt;tab!$H$3</f>
        <v>#VALUE!</v>
      </c>
      <c r="AJ242" s="924" t="e">
        <f t="shared" si="91"/>
        <v>#VALUE!</v>
      </c>
      <c r="AK242" s="884">
        <f t="shared" si="92"/>
        <v>30</v>
      </c>
      <c r="AL242" s="884">
        <f t="shared" si="97"/>
        <v>30</v>
      </c>
      <c r="AM242" s="925">
        <f t="shared" si="93"/>
        <v>0</v>
      </c>
    </row>
    <row r="243" spans="3:39" ht="12.75" customHeight="1" x14ac:dyDescent="0.2">
      <c r="C243" s="69"/>
      <c r="D243" s="75" t="str">
        <f>IF(op!D176=0,"",op!D176)</f>
        <v/>
      </c>
      <c r="E243" s="75" t="str">
        <f>IF(op!E176=0,"-",op!E176)</f>
        <v/>
      </c>
      <c r="F243" s="88" t="str">
        <f>IF(op!F176="","",op!F176+1)</f>
        <v/>
      </c>
      <c r="G243" s="290" t="str">
        <f>IF(op!G176="","",op!G176)</f>
        <v/>
      </c>
      <c r="H243" s="88" t="str">
        <f>IF(op!H176=0,"",op!H176)</f>
        <v/>
      </c>
      <c r="I243" s="99" t="str">
        <f>IF(J243="","",(IF(op!I176+1&gt;LOOKUP(H243,schaal2019,regels2019),op!I176,op!I176+1)))</f>
        <v/>
      </c>
      <c r="J243" s="291" t="str">
        <f>IF(op!J176="","",op!J176)</f>
        <v/>
      </c>
      <c r="K243" s="971"/>
      <c r="L243" s="859">
        <f t="shared" si="98"/>
        <v>0</v>
      </c>
      <c r="M243" s="859">
        <f t="shared" si="98"/>
        <v>0</v>
      </c>
      <c r="N243" s="867" t="str">
        <f t="shared" si="94"/>
        <v/>
      </c>
      <c r="O243" s="867" t="str">
        <f t="shared" si="95"/>
        <v/>
      </c>
      <c r="P243" s="953" t="str">
        <f t="shared" si="80"/>
        <v/>
      </c>
      <c r="Q243" s="70"/>
      <c r="R243" s="739" t="str">
        <f t="shared" si="96"/>
        <v/>
      </c>
      <c r="S243" s="739" t="str">
        <f t="shared" si="81"/>
        <v/>
      </c>
      <c r="T243" s="740" t="str">
        <f t="shared" si="82"/>
        <v/>
      </c>
      <c r="U243" s="275"/>
      <c r="V243" s="288"/>
      <c r="W243" s="288"/>
      <c r="X243" s="288"/>
      <c r="Y243" s="908">
        <f t="shared" si="83"/>
        <v>0</v>
      </c>
      <c r="Z243" s="986">
        <f>tab!$D$62</f>
        <v>0.6</v>
      </c>
      <c r="AA243" s="944">
        <f t="shared" si="84"/>
        <v>0</v>
      </c>
      <c r="AB243" s="944">
        <f t="shared" si="85"/>
        <v>0</v>
      </c>
      <c r="AC243" s="944">
        <f t="shared" si="86"/>
        <v>0</v>
      </c>
      <c r="AD243" s="943" t="e">
        <f t="shared" si="87"/>
        <v>#VALUE!</v>
      </c>
      <c r="AE243" s="943">
        <f t="shared" si="88"/>
        <v>0</v>
      </c>
      <c r="AF243" s="916">
        <f>IF(H243&gt;8,tab!$D$63,tab!$D$65)</f>
        <v>0.5</v>
      </c>
      <c r="AG243" s="925">
        <f t="shared" si="89"/>
        <v>0</v>
      </c>
      <c r="AH243" s="940">
        <f t="shared" si="90"/>
        <v>0</v>
      </c>
      <c r="AI243" s="924" t="e">
        <f>DATE(YEAR(tab!$H$3),MONTH(G243),DAY(G243))&gt;tab!$H$3</f>
        <v>#VALUE!</v>
      </c>
      <c r="AJ243" s="924" t="e">
        <f t="shared" si="91"/>
        <v>#VALUE!</v>
      </c>
      <c r="AK243" s="884">
        <f t="shared" si="92"/>
        <v>30</v>
      </c>
      <c r="AL243" s="884">
        <f t="shared" si="97"/>
        <v>30</v>
      </c>
      <c r="AM243" s="925">
        <f t="shared" si="93"/>
        <v>0</v>
      </c>
    </row>
    <row r="244" spans="3:39" ht="12.75" customHeight="1" x14ac:dyDescent="0.2">
      <c r="C244" s="69"/>
      <c r="D244" s="75" t="str">
        <f>IF(op!D177=0,"",op!D177)</f>
        <v/>
      </c>
      <c r="E244" s="75" t="str">
        <f>IF(op!E177=0,"-",op!E177)</f>
        <v/>
      </c>
      <c r="F244" s="88" t="str">
        <f>IF(op!F177="","",op!F177+1)</f>
        <v/>
      </c>
      <c r="G244" s="290" t="str">
        <f>IF(op!G177="","",op!G177)</f>
        <v/>
      </c>
      <c r="H244" s="88" t="str">
        <f>IF(op!H177=0,"",op!H177)</f>
        <v/>
      </c>
      <c r="I244" s="99" t="str">
        <f>IF(J244="","",(IF(op!I177+1&gt;LOOKUP(H244,schaal2019,regels2019),op!I177,op!I177+1)))</f>
        <v/>
      </c>
      <c r="J244" s="291" t="str">
        <f>IF(op!J177="","",op!J177)</f>
        <v/>
      </c>
      <c r="K244" s="971"/>
      <c r="L244" s="859">
        <f t="shared" si="98"/>
        <v>0</v>
      </c>
      <c r="M244" s="859">
        <f t="shared" si="98"/>
        <v>0</v>
      </c>
      <c r="N244" s="867" t="str">
        <f t="shared" si="94"/>
        <v/>
      </c>
      <c r="O244" s="867" t="str">
        <f t="shared" si="95"/>
        <v/>
      </c>
      <c r="P244" s="953" t="str">
        <f t="shared" si="80"/>
        <v/>
      </c>
      <c r="Q244" s="70"/>
      <c r="R244" s="739" t="str">
        <f t="shared" si="96"/>
        <v/>
      </c>
      <c r="S244" s="739" t="str">
        <f t="shared" si="81"/>
        <v/>
      </c>
      <c r="T244" s="740" t="str">
        <f t="shared" si="82"/>
        <v/>
      </c>
      <c r="U244" s="275"/>
      <c r="V244" s="288"/>
      <c r="W244" s="288"/>
      <c r="X244" s="288"/>
      <c r="Y244" s="908">
        <f t="shared" si="83"/>
        <v>0</v>
      </c>
      <c r="Z244" s="986">
        <f>tab!$D$62</f>
        <v>0.6</v>
      </c>
      <c r="AA244" s="944">
        <f t="shared" si="84"/>
        <v>0</v>
      </c>
      <c r="AB244" s="944">
        <f t="shared" si="85"/>
        <v>0</v>
      </c>
      <c r="AC244" s="944">
        <f t="shared" si="86"/>
        <v>0</v>
      </c>
      <c r="AD244" s="943" t="e">
        <f t="shared" si="87"/>
        <v>#VALUE!</v>
      </c>
      <c r="AE244" s="943">
        <f t="shared" si="88"/>
        <v>0</v>
      </c>
      <c r="AF244" s="916">
        <f>IF(H244&gt;8,tab!$D$63,tab!$D$65)</f>
        <v>0.5</v>
      </c>
      <c r="AG244" s="925">
        <f t="shared" si="89"/>
        <v>0</v>
      </c>
      <c r="AH244" s="940">
        <f t="shared" si="90"/>
        <v>0</v>
      </c>
      <c r="AI244" s="924" t="e">
        <f>DATE(YEAR(tab!$H$3),MONTH(G244),DAY(G244))&gt;tab!$H$3</f>
        <v>#VALUE!</v>
      </c>
      <c r="AJ244" s="924" t="e">
        <f t="shared" si="91"/>
        <v>#VALUE!</v>
      </c>
      <c r="AK244" s="884">
        <f t="shared" si="92"/>
        <v>30</v>
      </c>
      <c r="AL244" s="884">
        <f t="shared" si="97"/>
        <v>30</v>
      </c>
      <c r="AM244" s="925">
        <f t="shared" si="93"/>
        <v>0</v>
      </c>
    </row>
    <row r="245" spans="3:39" ht="12.75" customHeight="1" x14ac:dyDescent="0.2">
      <c r="C245" s="69"/>
      <c r="D245" s="75" t="str">
        <f>IF(op!D178=0,"",op!D178)</f>
        <v/>
      </c>
      <c r="E245" s="75" t="str">
        <f>IF(op!E178=0,"-",op!E178)</f>
        <v/>
      </c>
      <c r="F245" s="88" t="str">
        <f>IF(op!F178="","",op!F178+1)</f>
        <v/>
      </c>
      <c r="G245" s="290" t="str">
        <f>IF(op!G178="","",op!G178)</f>
        <v/>
      </c>
      <c r="H245" s="88" t="str">
        <f>IF(op!H178=0,"",op!H178)</f>
        <v/>
      </c>
      <c r="I245" s="99" t="str">
        <f>IF(J245="","",(IF(op!I178+1&gt;LOOKUP(H245,schaal2019,regels2019),op!I178,op!I178+1)))</f>
        <v/>
      </c>
      <c r="J245" s="291" t="str">
        <f>IF(op!J178="","",op!J178)</f>
        <v/>
      </c>
      <c r="K245" s="971"/>
      <c r="L245" s="859">
        <f t="shared" si="98"/>
        <v>0</v>
      </c>
      <c r="M245" s="859">
        <f t="shared" si="98"/>
        <v>0</v>
      </c>
      <c r="N245" s="867" t="str">
        <f t="shared" si="94"/>
        <v/>
      </c>
      <c r="O245" s="867" t="str">
        <f t="shared" si="95"/>
        <v/>
      </c>
      <c r="P245" s="953" t="str">
        <f t="shared" si="80"/>
        <v/>
      </c>
      <c r="Q245" s="70"/>
      <c r="R245" s="739" t="str">
        <f t="shared" si="96"/>
        <v/>
      </c>
      <c r="S245" s="739" t="str">
        <f t="shared" si="81"/>
        <v/>
      </c>
      <c r="T245" s="740" t="str">
        <f t="shared" si="82"/>
        <v/>
      </c>
      <c r="U245" s="275"/>
      <c r="V245" s="288"/>
      <c r="W245" s="288"/>
      <c r="X245" s="288"/>
      <c r="Y245" s="908">
        <f t="shared" si="83"/>
        <v>0</v>
      </c>
      <c r="Z245" s="986">
        <f>tab!$D$62</f>
        <v>0.6</v>
      </c>
      <c r="AA245" s="944">
        <f t="shared" si="84"/>
        <v>0</v>
      </c>
      <c r="AB245" s="944">
        <f t="shared" si="85"/>
        <v>0</v>
      </c>
      <c r="AC245" s="944">
        <f t="shared" si="86"/>
        <v>0</v>
      </c>
      <c r="AD245" s="943" t="e">
        <f t="shared" si="87"/>
        <v>#VALUE!</v>
      </c>
      <c r="AE245" s="943">
        <f t="shared" si="88"/>
        <v>0</v>
      </c>
      <c r="AF245" s="916">
        <f>IF(H245&gt;8,tab!$D$63,tab!$D$65)</f>
        <v>0.5</v>
      </c>
      <c r="AG245" s="925">
        <f t="shared" si="89"/>
        <v>0</v>
      </c>
      <c r="AH245" s="940">
        <f t="shared" si="90"/>
        <v>0</v>
      </c>
      <c r="AI245" s="924" t="e">
        <f>DATE(YEAR(tab!$H$3),MONTH(G245),DAY(G245))&gt;tab!$H$3</f>
        <v>#VALUE!</v>
      </c>
      <c r="AJ245" s="924" t="e">
        <f t="shared" si="91"/>
        <v>#VALUE!</v>
      </c>
      <c r="AK245" s="884">
        <f t="shared" si="92"/>
        <v>30</v>
      </c>
      <c r="AL245" s="884">
        <f t="shared" si="97"/>
        <v>30</v>
      </c>
      <c r="AM245" s="925">
        <f t="shared" si="93"/>
        <v>0</v>
      </c>
    </row>
    <row r="246" spans="3:39" ht="12.75" customHeight="1" x14ac:dyDescent="0.2">
      <c r="C246" s="69"/>
      <c r="D246" s="75" t="str">
        <f>IF(op!D179=0,"",op!D179)</f>
        <v/>
      </c>
      <c r="E246" s="75" t="str">
        <f>IF(op!E179=0,"-",op!E179)</f>
        <v/>
      </c>
      <c r="F246" s="88" t="str">
        <f>IF(op!F179="","",op!F179+1)</f>
        <v/>
      </c>
      <c r="G246" s="290" t="str">
        <f>IF(op!G179="","",op!G179)</f>
        <v/>
      </c>
      <c r="H246" s="88" t="str">
        <f>IF(op!H179=0,"",op!H179)</f>
        <v/>
      </c>
      <c r="I246" s="99" t="str">
        <f>IF(J246="","",(IF(op!I179+1&gt;LOOKUP(H246,schaal2019,regels2019),op!I179,op!I179+1)))</f>
        <v/>
      </c>
      <c r="J246" s="291" t="str">
        <f>IF(op!J179="","",op!J179)</f>
        <v/>
      </c>
      <c r="K246" s="971"/>
      <c r="L246" s="859">
        <f t="shared" si="98"/>
        <v>0</v>
      </c>
      <c r="M246" s="859">
        <f t="shared" si="98"/>
        <v>0</v>
      </c>
      <c r="N246" s="867" t="str">
        <f t="shared" si="94"/>
        <v/>
      </c>
      <c r="O246" s="867" t="str">
        <f t="shared" si="95"/>
        <v/>
      </c>
      <c r="P246" s="953" t="str">
        <f t="shared" si="80"/>
        <v/>
      </c>
      <c r="Q246" s="70"/>
      <c r="R246" s="739" t="str">
        <f t="shared" si="96"/>
        <v/>
      </c>
      <c r="S246" s="739" t="str">
        <f t="shared" si="81"/>
        <v/>
      </c>
      <c r="T246" s="740" t="str">
        <f t="shared" si="82"/>
        <v/>
      </c>
      <c r="U246" s="275"/>
      <c r="V246" s="288"/>
      <c r="W246" s="288"/>
      <c r="X246" s="288"/>
      <c r="Y246" s="908">
        <f t="shared" si="83"/>
        <v>0</v>
      </c>
      <c r="Z246" s="986">
        <f>tab!$D$62</f>
        <v>0.6</v>
      </c>
      <c r="AA246" s="944">
        <f t="shared" si="84"/>
        <v>0</v>
      </c>
      <c r="AB246" s="944">
        <f t="shared" si="85"/>
        <v>0</v>
      </c>
      <c r="AC246" s="944">
        <f t="shared" si="86"/>
        <v>0</v>
      </c>
      <c r="AD246" s="943" t="e">
        <f t="shared" si="87"/>
        <v>#VALUE!</v>
      </c>
      <c r="AE246" s="943">
        <f t="shared" si="88"/>
        <v>0</v>
      </c>
      <c r="AF246" s="916">
        <f>IF(H246&gt;8,tab!$D$63,tab!$D$65)</f>
        <v>0.5</v>
      </c>
      <c r="AG246" s="925">
        <f t="shared" si="89"/>
        <v>0</v>
      </c>
      <c r="AH246" s="940">
        <f t="shared" si="90"/>
        <v>0</v>
      </c>
      <c r="AI246" s="924" t="e">
        <f>DATE(YEAR(tab!$H$3),MONTH(G246),DAY(G246))&gt;tab!$H$3</f>
        <v>#VALUE!</v>
      </c>
      <c r="AJ246" s="924" t="e">
        <f t="shared" si="91"/>
        <v>#VALUE!</v>
      </c>
      <c r="AK246" s="884">
        <f t="shared" si="92"/>
        <v>30</v>
      </c>
      <c r="AL246" s="884">
        <f t="shared" si="97"/>
        <v>30</v>
      </c>
      <c r="AM246" s="925">
        <f t="shared" si="93"/>
        <v>0</v>
      </c>
    </row>
    <row r="247" spans="3:39" ht="12.75" customHeight="1" x14ac:dyDescent="0.2">
      <c r="C247" s="69"/>
      <c r="D247" s="75" t="str">
        <f>IF(op!D180=0,"",op!D180)</f>
        <v/>
      </c>
      <c r="E247" s="75" t="str">
        <f>IF(op!E180=0,"-",op!E180)</f>
        <v/>
      </c>
      <c r="F247" s="88" t="str">
        <f>IF(op!F180="","",op!F180+1)</f>
        <v/>
      </c>
      <c r="G247" s="290" t="str">
        <f>IF(op!G180="","",op!G180)</f>
        <v/>
      </c>
      <c r="H247" s="88" t="str">
        <f>IF(op!H180=0,"",op!H180)</f>
        <v/>
      </c>
      <c r="I247" s="99" t="str">
        <f>IF(J247="","",(IF(op!I180+1&gt;LOOKUP(H247,schaal2019,regels2019),op!I180,op!I180+1)))</f>
        <v/>
      </c>
      <c r="J247" s="291" t="str">
        <f>IF(op!J180="","",op!J180)</f>
        <v/>
      </c>
      <c r="K247" s="971"/>
      <c r="L247" s="859">
        <f t="shared" si="98"/>
        <v>0</v>
      </c>
      <c r="M247" s="859">
        <f t="shared" si="98"/>
        <v>0</v>
      </c>
      <c r="N247" s="867" t="str">
        <f t="shared" si="94"/>
        <v/>
      </c>
      <c r="O247" s="867" t="str">
        <f t="shared" si="95"/>
        <v/>
      </c>
      <c r="P247" s="953" t="str">
        <f t="shared" si="80"/>
        <v/>
      </c>
      <c r="Q247" s="70"/>
      <c r="R247" s="739" t="str">
        <f t="shared" si="96"/>
        <v/>
      </c>
      <c r="S247" s="739" t="str">
        <f t="shared" si="81"/>
        <v/>
      </c>
      <c r="T247" s="740" t="str">
        <f t="shared" si="82"/>
        <v/>
      </c>
      <c r="U247" s="275"/>
      <c r="V247" s="288"/>
      <c r="W247" s="288"/>
      <c r="X247" s="288"/>
      <c r="Y247" s="908">
        <f t="shared" si="83"/>
        <v>0</v>
      </c>
      <c r="Z247" s="986">
        <f>tab!$D$62</f>
        <v>0.6</v>
      </c>
      <c r="AA247" s="944">
        <f t="shared" si="84"/>
        <v>0</v>
      </c>
      <c r="AB247" s="944">
        <f t="shared" si="85"/>
        <v>0</v>
      </c>
      <c r="AC247" s="944">
        <f t="shared" si="86"/>
        <v>0</v>
      </c>
      <c r="AD247" s="943" t="e">
        <f t="shared" si="87"/>
        <v>#VALUE!</v>
      </c>
      <c r="AE247" s="943">
        <f t="shared" si="88"/>
        <v>0</v>
      </c>
      <c r="AF247" s="916">
        <f>IF(H247&gt;8,tab!$D$63,tab!$D$65)</f>
        <v>0.5</v>
      </c>
      <c r="AG247" s="925">
        <f t="shared" si="89"/>
        <v>0</v>
      </c>
      <c r="AH247" s="940">
        <f t="shared" si="90"/>
        <v>0</v>
      </c>
      <c r="AI247" s="924" t="e">
        <f>DATE(YEAR(tab!$H$3),MONTH(G247),DAY(G247))&gt;tab!$H$3</f>
        <v>#VALUE!</v>
      </c>
      <c r="AJ247" s="924" t="e">
        <f t="shared" si="91"/>
        <v>#VALUE!</v>
      </c>
      <c r="AK247" s="884">
        <f t="shared" si="92"/>
        <v>30</v>
      </c>
      <c r="AL247" s="884">
        <f t="shared" si="97"/>
        <v>30</v>
      </c>
      <c r="AM247" s="925">
        <f t="shared" si="93"/>
        <v>0</v>
      </c>
    </row>
    <row r="248" spans="3:39" ht="12.75" customHeight="1" x14ac:dyDescent="0.2">
      <c r="C248" s="69"/>
      <c r="D248" s="75" t="str">
        <f>IF(op!D181=0,"",op!D181)</f>
        <v/>
      </c>
      <c r="E248" s="75" t="str">
        <f>IF(op!E181=0,"-",op!E181)</f>
        <v/>
      </c>
      <c r="F248" s="88" t="str">
        <f>IF(op!F181="","",op!F181+1)</f>
        <v/>
      </c>
      <c r="G248" s="290" t="str">
        <f>IF(op!G181="","",op!G181)</f>
        <v/>
      </c>
      <c r="H248" s="88" t="str">
        <f>IF(op!H181=0,"",op!H181)</f>
        <v/>
      </c>
      <c r="I248" s="99" t="str">
        <f>IF(J248="","",(IF(op!I181+1&gt;LOOKUP(H248,schaal2019,regels2019),op!I181,op!I181+1)))</f>
        <v/>
      </c>
      <c r="J248" s="291" t="str">
        <f>IF(op!J181="","",op!J181)</f>
        <v/>
      </c>
      <c r="K248" s="971"/>
      <c r="L248" s="859">
        <f t="shared" si="98"/>
        <v>0</v>
      </c>
      <c r="M248" s="859">
        <f t="shared" si="98"/>
        <v>0</v>
      </c>
      <c r="N248" s="867" t="str">
        <f t="shared" si="94"/>
        <v/>
      </c>
      <c r="O248" s="867" t="str">
        <f t="shared" si="95"/>
        <v/>
      </c>
      <c r="P248" s="953" t="str">
        <f t="shared" si="80"/>
        <v/>
      </c>
      <c r="Q248" s="70"/>
      <c r="R248" s="739" t="str">
        <f t="shared" si="96"/>
        <v/>
      </c>
      <c r="S248" s="739" t="str">
        <f t="shared" si="81"/>
        <v/>
      </c>
      <c r="T248" s="740" t="str">
        <f t="shared" si="82"/>
        <v/>
      </c>
      <c r="U248" s="275"/>
      <c r="V248" s="288"/>
      <c r="W248" s="288"/>
      <c r="X248" s="288"/>
      <c r="Y248" s="908">
        <f t="shared" si="83"/>
        <v>0</v>
      </c>
      <c r="Z248" s="986">
        <f>tab!$D$62</f>
        <v>0.6</v>
      </c>
      <c r="AA248" s="944">
        <f t="shared" si="84"/>
        <v>0</v>
      </c>
      <c r="AB248" s="944">
        <f t="shared" si="85"/>
        <v>0</v>
      </c>
      <c r="AC248" s="944">
        <f t="shared" si="86"/>
        <v>0</v>
      </c>
      <c r="AD248" s="943" t="e">
        <f t="shared" si="87"/>
        <v>#VALUE!</v>
      </c>
      <c r="AE248" s="943">
        <f t="shared" si="88"/>
        <v>0</v>
      </c>
      <c r="AF248" s="916">
        <f>IF(H248&gt;8,tab!$D$63,tab!$D$65)</f>
        <v>0.5</v>
      </c>
      <c r="AG248" s="925">
        <f t="shared" si="89"/>
        <v>0</v>
      </c>
      <c r="AH248" s="940">
        <f t="shared" si="90"/>
        <v>0</v>
      </c>
      <c r="AI248" s="924" t="e">
        <f>DATE(YEAR(tab!$H$3),MONTH(G248),DAY(G248))&gt;tab!$H$3</f>
        <v>#VALUE!</v>
      </c>
      <c r="AJ248" s="924" t="e">
        <f t="shared" si="91"/>
        <v>#VALUE!</v>
      </c>
      <c r="AK248" s="884">
        <f t="shared" si="92"/>
        <v>30</v>
      </c>
      <c r="AL248" s="884">
        <f t="shared" si="97"/>
        <v>30</v>
      </c>
      <c r="AM248" s="925">
        <f t="shared" si="93"/>
        <v>0</v>
      </c>
    </row>
    <row r="249" spans="3:39" ht="12.75" customHeight="1" x14ac:dyDescent="0.2">
      <c r="C249" s="69"/>
      <c r="D249" s="75" t="str">
        <f>IF(op!D182=0,"",op!D182)</f>
        <v/>
      </c>
      <c r="E249" s="75" t="str">
        <f>IF(op!E182=0,"-",op!E182)</f>
        <v/>
      </c>
      <c r="F249" s="88" t="str">
        <f>IF(op!F182="","",op!F182+1)</f>
        <v/>
      </c>
      <c r="G249" s="290" t="str">
        <f>IF(op!G182="","",op!G182)</f>
        <v/>
      </c>
      <c r="H249" s="88" t="str">
        <f>IF(op!H182=0,"",op!H182)</f>
        <v/>
      </c>
      <c r="I249" s="99" t="str">
        <f>IF(J249="","",(IF(op!I182+1&gt;LOOKUP(H249,schaal2019,regels2019),op!I182,op!I182+1)))</f>
        <v/>
      </c>
      <c r="J249" s="291" t="str">
        <f>IF(op!J182="","",op!J182)</f>
        <v/>
      </c>
      <c r="K249" s="971"/>
      <c r="L249" s="859">
        <f t="shared" si="98"/>
        <v>0</v>
      </c>
      <c r="M249" s="859">
        <f t="shared" si="98"/>
        <v>0</v>
      </c>
      <c r="N249" s="867" t="str">
        <f t="shared" si="94"/>
        <v/>
      </c>
      <c r="O249" s="867" t="str">
        <f t="shared" si="95"/>
        <v/>
      </c>
      <c r="P249" s="953" t="str">
        <f t="shared" si="80"/>
        <v/>
      </c>
      <c r="Q249" s="70"/>
      <c r="R249" s="739" t="str">
        <f t="shared" si="96"/>
        <v/>
      </c>
      <c r="S249" s="739" t="str">
        <f t="shared" si="81"/>
        <v/>
      </c>
      <c r="T249" s="740" t="str">
        <f t="shared" si="82"/>
        <v/>
      </c>
      <c r="U249" s="275"/>
      <c r="V249" s="288"/>
      <c r="W249" s="288"/>
      <c r="X249" s="288"/>
      <c r="Y249" s="908">
        <f t="shared" si="83"/>
        <v>0</v>
      </c>
      <c r="Z249" s="986">
        <f>tab!$D$62</f>
        <v>0.6</v>
      </c>
      <c r="AA249" s="944">
        <f t="shared" si="84"/>
        <v>0</v>
      </c>
      <c r="AB249" s="944">
        <f t="shared" si="85"/>
        <v>0</v>
      </c>
      <c r="AC249" s="944">
        <f t="shared" si="86"/>
        <v>0</v>
      </c>
      <c r="AD249" s="943" t="e">
        <f t="shared" si="87"/>
        <v>#VALUE!</v>
      </c>
      <c r="AE249" s="943">
        <f t="shared" si="88"/>
        <v>0</v>
      </c>
      <c r="AF249" s="916">
        <f>IF(H249&gt;8,tab!$D$63,tab!$D$65)</f>
        <v>0.5</v>
      </c>
      <c r="AG249" s="925">
        <f t="shared" si="89"/>
        <v>0</v>
      </c>
      <c r="AH249" s="940">
        <f t="shared" si="90"/>
        <v>0</v>
      </c>
      <c r="AI249" s="924" t="e">
        <f>DATE(YEAR(tab!$H$3),MONTH(G249),DAY(G249))&gt;tab!$H$3</f>
        <v>#VALUE!</v>
      </c>
      <c r="AJ249" s="924" t="e">
        <f t="shared" si="91"/>
        <v>#VALUE!</v>
      </c>
      <c r="AK249" s="884">
        <f t="shared" si="92"/>
        <v>30</v>
      </c>
      <c r="AL249" s="884">
        <f t="shared" si="97"/>
        <v>30</v>
      </c>
      <c r="AM249" s="925">
        <f t="shared" si="93"/>
        <v>0</v>
      </c>
    </row>
    <row r="250" spans="3:39" ht="12.75" customHeight="1" x14ac:dyDescent="0.2">
      <c r="C250" s="69"/>
      <c r="D250" s="75" t="str">
        <f>IF(op!D183=0,"",op!D183)</f>
        <v/>
      </c>
      <c r="E250" s="75" t="str">
        <f>IF(op!E183=0,"-",op!E183)</f>
        <v/>
      </c>
      <c r="F250" s="88" t="str">
        <f>IF(op!F183="","",op!F183+1)</f>
        <v/>
      </c>
      <c r="G250" s="290" t="str">
        <f>IF(op!G183="","",op!G183)</f>
        <v/>
      </c>
      <c r="H250" s="88" t="str">
        <f>IF(op!H183=0,"",op!H183)</f>
        <v/>
      </c>
      <c r="I250" s="99" t="str">
        <f>IF(J250="","",(IF(op!I183+1&gt;LOOKUP(H250,schaal2019,regels2019),op!I183,op!I183+1)))</f>
        <v/>
      </c>
      <c r="J250" s="291" t="str">
        <f>IF(op!J183="","",op!J183)</f>
        <v/>
      </c>
      <c r="K250" s="971"/>
      <c r="L250" s="859">
        <f t="shared" si="98"/>
        <v>0</v>
      </c>
      <c r="M250" s="859">
        <f t="shared" si="98"/>
        <v>0</v>
      </c>
      <c r="N250" s="867" t="str">
        <f t="shared" si="94"/>
        <v/>
      </c>
      <c r="O250" s="867" t="str">
        <f t="shared" si="95"/>
        <v/>
      </c>
      <c r="P250" s="953" t="str">
        <f t="shared" si="80"/>
        <v/>
      </c>
      <c r="Q250" s="70"/>
      <c r="R250" s="739" t="str">
        <f t="shared" si="96"/>
        <v/>
      </c>
      <c r="S250" s="739" t="str">
        <f t="shared" si="81"/>
        <v/>
      </c>
      <c r="T250" s="740" t="str">
        <f t="shared" si="82"/>
        <v/>
      </c>
      <c r="U250" s="275"/>
      <c r="V250" s="288"/>
      <c r="W250" s="288"/>
      <c r="X250" s="288"/>
      <c r="Y250" s="908">
        <f t="shared" ref="Y250:Y272" si="99">IF(H250="",0,VLOOKUP(H250,salaris2020,I250+1,FALSE))</f>
        <v>0</v>
      </c>
      <c r="Z250" s="986">
        <f>tab!$D$62</f>
        <v>0.6</v>
      </c>
      <c r="AA250" s="944">
        <f t="shared" si="84"/>
        <v>0</v>
      </c>
      <c r="AB250" s="944">
        <f t="shared" si="85"/>
        <v>0</v>
      </c>
      <c r="AC250" s="944">
        <f t="shared" si="86"/>
        <v>0</v>
      </c>
      <c r="AD250" s="943" t="e">
        <f t="shared" si="87"/>
        <v>#VALUE!</v>
      </c>
      <c r="AE250" s="943">
        <f t="shared" si="88"/>
        <v>0</v>
      </c>
      <c r="AF250" s="916">
        <f>IF(H250&gt;8,tab!$D$63,tab!$D$65)</f>
        <v>0.5</v>
      </c>
      <c r="AG250" s="925">
        <f t="shared" ref="AG250:AG272" si="100">IF(F250&lt;25,0,IF(F250=25,25,IF(F250&lt;40,0,IF(F250=40,40,IF(F250&gt;=40,0)))))</f>
        <v>0</v>
      </c>
      <c r="AH250" s="940">
        <f t="shared" ref="AH250:AH272" si="101">IF(AG250=25,(Y250*1.08*(J250)/2),IF(AG250=40,(Y250*1.08*(J250)),IF(AG250=0,0)))</f>
        <v>0</v>
      </c>
      <c r="AI250" s="924" t="e">
        <f>DATE(YEAR(tab!$H$3),MONTH(G250),DAY(G250))&gt;tab!$H$3</f>
        <v>#VALUE!</v>
      </c>
      <c r="AJ250" s="924" t="e">
        <f t="shared" ref="AJ250:AJ272" si="102">YEAR($E$211)-YEAR(G250)-AI250</f>
        <v>#VALUE!</v>
      </c>
      <c r="AK250" s="884">
        <f t="shared" ref="AK250:AK272" si="103">IF((G250=""),30,AJ250)</f>
        <v>30</v>
      </c>
      <c r="AL250" s="884">
        <f t="shared" ref="AL250:AL272" si="104">IF((AK250)&gt;50,50,(AK250))</f>
        <v>30</v>
      </c>
      <c r="AM250" s="925">
        <f t="shared" ref="AM250:AM272" si="105">ROUND((AL250*(SUM(J250:J250))),2)</f>
        <v>0</v>
      </c>
    </row>
    <row r="251" spans="3:39" ht="12.75" customHeight="1" x14ac:dyDescent="0.2">
      <c r="C251" s="69"/>
      <c r="D251" s="75" t="str">
        <f>IF(op!D184=0,"",op!D184)</f>
        <v/>
      </c>
      <c r="E251" s="75" t="str">
        <f>IF(op!E184=0,"-",op!E184)</f>
        <v/>
      </c>
      <c r="F251" s="88" t="str">
        <f>IF(op!F184="","",op!F184+1)</f>
        <v/>
      </c>
      <c r="G251" s="290" t="str">
        <f>IF(op!G184="","",op!G184)</f>
        <v/>
      </c>
      <c r="H251" s="88" t="str">
        <f>IF(op!H184=0,"",op!H184)</f>
        <v/>
      </c>
      <c r="I251" s="99" t="str">
        <f>IF(J251="","",(IF(op!I184+1&gt;LOOKUP(H251,schaal2019,regels2019),op!I184,op!I184+1)))</f>
        <v/>
      </c>
      <c r="J251" s="291" t="str">
        <f>IF(op!J184="","",op!J184)</f>
        <v/>
      </c>
      <c r="K251" s="971"/>
      <c r="L251" s="859">
        <f t="shared" si="98"/>
        <v>0</v>
      </c>
      <c r="M251" s="859">
        <f t="shared" si="98"/>
        <v>0</v>
      </c>
      <c r="N251" s="867" t="str">
        <f t="shared" si="94"/>
        <v/>
      </c>
      <c r="O251" s="867" t="str">
        <f t="shared" si="95"/>
        <v/>
      </c>
      <c r="P251" s="953" t="str">
        <f t="shared" si="80"/>
        <v/>
      </c>
      <c r="Q251" s="70"/>
      <c r="R251" s="739" t="str">
        <f t="shared" si="96"/>
        <v/>
      </c>
      <c r="S251" s="739" t="str">
        <f t="shared" si="81"/>
        <v/>
      </c>
      <c r="T251" s="740" t="str">
        <f t="shared" si="82"/>
        <v/>
      </c>
      <c r="U251" s="275"/>
      <c r="V251" s="288"/>
      <c r="W251" s="288"/>
      <c r="X251" s="288"/>
      <c r="Y251" s="908">
        <f t="shared" si="99"/>
        <v>0</v>
      </c>
      <c r="Z251" s="986">
        <f>tab!$D$62</f>
        <v>0.6</v>
      </c>
      <c r="AA251" s="944">
        <f t="shared" si="84"/>
        <v>0</v>
      </c>
      <c r="AB251" s="944">
        <f t="shared" si="85"/>
        <v>0</v>
      </c>
      <c r="AC251" s="944">
        <f t="shared" si="86"/>
        <v>0</v>
      </c>
      <c r="AD251" s="943" t="e">
        <f t="shared" si="87"/>
        <v>#VALUE!</v>
      </c>
      <c r="AE251" s="943">
        <f t="shared" si="88"/>
        <v>0</v>
      </c>
      <c r="AF251" s="916">
        <f>IF(H251&gt;8,tab!$D$63,tab!$D$65)</f>
        <v>0.5</v>
      </c>
      <c r="AG251" s="925">
        <f t="shared" si="100"/>
        <v>0</v>
      </c>
      <c r="AH251" s="940">
        <f t="shared" si="101"/>
        <v>0</v>
      </c>
      <c r="AI251" s="924" t="e">
        <f>DATE(YEAR(tab!$H$3),MONTH(G251),DAY(G251))&gt;tab!$H$3</f>
        <v>#VALUE!</v>
      </c>
      <c r="AJ251" s="924" t="e">
        <f t="shared" si="102"/>
        <v>#VALUE!</v>
      </c>
      <c r="AK251" s="884">
        <f t="shared" si="103"/>
        <v>30</v>
      </c>
      <c r="AL251" s="884">
        <f t="shared" si="104"/>
        <v>30</v>
      </c>
      <c r="AM251" s="925">
        <f t="shared" si="105"/>
        <v>0</v>
      </c>
    </row>
    <row r="252" spans="3:39" ht="12.75" customHeight="1" x14ac:dyDescent="0.2">
      <c r="C252" s="69"/>
      <c r="D252" s="75" t="str">
        <f>IF(op!D185=0,"",op!D185)</f>
        <v/>
      </c>
      <c r="E252" s="75" t="str">
        <f>IF(op!E185=0,"-",op!E185)</f>
        <v/>
      </c>
      <c r="F252" s="88" t="str">
        <f>IF(op!F185="","",op!F185+1)</f>
        <v/>
      </c>
      <c r="G252" s="290" t="str">
        <f>IF(op!G185="","",op!G185)</f>
        <v/>
      </c>
      <c r="H252" s="88" t="str">
        <f>IF(op!H185=0,"",op!H185)</f>
        <v/>
      </c>
      <c r="I252" s="99" t="str">
        <f>IF(J252="","",(IF(op!I185+1&gt;LOOKUP(H252,schaal2019,regels2019),op!I185,op!I185+1)))</f>
        <v/>
      </c>
      <c r="J252" s="291" t="str">
        <f>IF(op!J185="","",op!J185)</f>
        <v/>
      </c>
      <c r="K252" s="971"/>
      <c r="L252" s="859">
        <f t="shared" si="98"/>
        <v>0</v>
      </c>
      <c r="M252" s="859">
        <f t="shared" si="98"/>
        <v>0</v>
      </c>
      <c r="N252" s="867" t="str">
        <f t="shared" si="94"/>
        <v/>
      </c>
      <c r="O252" s="867" t="str">
        <f t="shared" si="95"/>
        <v/>
      </c>
      <c r="P252" s="953" t="str">
        <f t="shared" si="80"/>
        <v/>
      </c>
      <c r="Q252" s="70"/>
      <c r="R252" s="739" t="str">
        <f t="shared" si="96"/>
        <v/>
      </c>
      <c r="S252" s="739" t="str">
        <f t="shared" si="81"/>
        <v/>
      </c>
      <c r="T252" s="740" t="str">
        <f t="shared" si="82"/>
        <v/>
      </c>
      <c r="U252" s="275"/>
      <c r="V252" s="288"/>
      <c r="W252" s="288"/>
      <c r="X252" s="288"/>
      <c r="Y252" s="908">
        <f t="shared" si="99"/>
        <v>0</v>
      </c>
      <c r="Z252" s="986">
        <f>tab!$D$62</f>
        <v>0.6</v>
      </c>
      <c r="AA252" s="944">
        <f t="shared" si="84"/>
        <v>0</v>
      </c>
      <c r="AB252" s="944">
        <f t="shared" si="85"/>
        <v>0</v>
      </c>
      <c r="AC252" s="944">
        <f t="shared" si="86"/>
        <v>0</v>
      </c>
      <c r="AD252" s="943" t="e">
        <f t="shared" si="87"/>
        <v>#VALUE!</v>
      </c>
      <c r="AE252" s="943">
        <f t="shared" si="88"/>
        <v>0</v>
      </c>
      <c r="AF252" s="916">
        <f>IF(H252&gt;8,tab!$D$63,tab!$D$65)</f>
        <v>0.5</v>
      </c>
      <c r="AG252" s="925">
        <f t="shared" si="100"/>
        <v>0</v>
      </c>
      <c r="AH252" s="940">
        <f t="shared" si="101"/>
        <v>0</v>
      </c>
      <c r="AI252" s="924" t="e">
        <f>DATE(YEAR(tab!$H$3),MONTH(G252),DAY(G252))&gt;tab!$H$3</f>
        <v>#VALUE!</v>
      </c>
      <c r="AJ252" s="924" t="e">
        <f t="shared" si="102"/>
        <v>#VALUE!</v>
      </c>
      <c r="AK252" s="884">
        <f t="shared" si="103"/>
        <v>30</v>
      </c>
      <c r="AL252" s="884">
        <f t="shared" si="104"/>
        <v>30</v>
      </c>
      <c r="AM252" s="925">
        <f t="shared" si="105"/>
        <v>0</v>
      </c>
    </row>
    <row r="253" spans="3:39" ht="12.75" customHeight="1" x14ac:dyDescent="0.2">
      <c r="C253" s="69"/>
      <c r="D253" s="75" t="str">
        <f>IF(op!D186=0,"",op!D186)</f>
        <v/>
      </c>
      <c r="E253" s="75" t="str">
        <f>IF(op!E186=0,"-",op!E186)</f>
        <v/>
      </c>
      <c r="F253" s="88" t="str">
        <f>IF(op!F186="","",op!F186+1)</f>
        <v/>
      </c>
      <c r="G253" s="290" t="str">
        <f>IF(op!G186="","",op!G186)</f>
        <v/>
      </c>
      <c r="H253" s="88" t="str">
        <f>IF(op!H186=0,"",op!H186)</f>
        <v/>
      </c>
      <c r="I253" s="99" t="str">
        <f>IF(J253="","",(IF(op!I186+1&gt;LOOKUP(H253,schaal2019,regels2019),op!I186,op!I186+1)))</f>
        <v/>
      </c>
      <c r="J253" s="291" t="str">
        <f>IF(op!J186="","",op!J186)</f>
        <v/>
      </c>
      <c r="K253" s="971"/>
      <c r="L253" s="859">
        <f t="shared" si="98"/>
        <v>0</v>
      </c>
      <c r="M253" s="859">
        <f t="shared" si="98"/>
        <v>0</v>
      </c>
      <c r="N253" s="867" t="str">
        <f t="shared" si="94"/>
        <v/>
      </c>
      <c r="O253" s="867" t="str">
        <f t="shared" si="95"/>
        <v/>
      </c>
      <c r="P253" s="953" t="str">
        <f t="shared" si="80"/>
        <v/>
      </c>
      <c r="Q253" s="70"/>
      <c r="R253" s="739" t="str">
        <f t="shared" si="96"/>
        <v/>
      </c>
      <c r="S253" s="739" t="str">
        <f t="shared" si="81"/>
        <v/>
      </c>
      <c r="T253" s="740" t="str">
        <f t="shared" si="82"/>
        <v/>
      </c>
      <c r="U253" s="275"/>
      <c r="V253" s="288"/>
      <c r="W253" s="288"/>
      <c r="X253" s="288"/>
      <c r="Y253" s="908">
        <f t="shared" si="99"/>
        <v>0</v>
      </c>
      <c r="Z253" s="986">
        <f>tab!$D$62</f>
        <v>0.6</v>
      </c>
      <c r="AA253" s="944">
        <f t="shared" si="84"/>
        <v>0</v>
      </c>
      <c r="AB253" s="944">
        <f t="shared" si="85"/>
        <v>0</v>
      </c>
      <c r="AC253" s="944">
        <f t="shared" si="86"/>
        <v>0</v>
      </c>
      <c r="AD253" s="943" t="e">
        <f t="shared" si="87"/>
        <v>#VALUE!</v>
      </c>
      <c r="AE253" s="943">
        <f t="shared" si="88"/>
        <v>0</v>
      </c>
      <c r="AF253" s="916">
        <f>IF(H253&gt;8,tab!$D$63,tab!$D$65)</f>
        <v>0.5</v>
      </c>
      <c r="AG253" s="925">
        <f t="shared" si="100"/>
        <v>0</v>
      </c>
      <c r="AH253" s="940">
        <f t="shared" si="101"/>
        <v>0</v>
      </c>
      <c r="AI253" s="924" t="e">
        <f>DATE(YEAR(tab!$H$3),MONTH(G253),DAY(G253))&gt;tab!$H$3</f>
        <v>#VALUE!</v>
      </c>
      <c r="AJ253" s="924" t="e">
        <f t="shared" si="102"/>
        <v>#VALUE!</v>
      </c>
      <c r="AK253" s="884">
        <f t="shared" si="103"/>
        <v>30</v>
      </c>
      <c r="AL253" s="884">
        <f t="shared" si="104"/>
        <v>30</v>
      </c>
      <c r="AM253" s="925">
        <f t="shared" si="105"/>
        <v>0</v>
      </c>
    </row>
    <row r="254" spans="3:39" ht="12.75" customHeight="1" x14ac:dyDescent="0.2">
      <c r="C254" s="69"/>
      <c r="D254" s="75" t="str">
        <f>IF(op!D187=0,"",op!D187)</f>
        <v/>
      </c>
      <c r="E254" s="75" t="str">
        <f>IF(op!E187=0,"-",op!E187)</f>
        <v/>
      </c>
      <c r="F254" s="88" t="str">
        <f>IF(op!F187="","",op!F187+1)</f>
        <v/>
      </c>
      <c r="G254" s="290" t="str">
        <f>IF(op!G187="","",op!G187)</f>
        <v/>
      </c>
      <c r="H254" s="88" t="str">
        <f>IF(op!H187=0,"",op!H187)</f>
        <v/>
      </c>
      <c r="I254" s="99" t="str">
        <f>IF(J254="","",(IF(op!I187+1&gt;LOOKUP(H254,schaal2019,regels2019),op!I187,op!I187+1)))</f>
        <v/>
      </c>
      <c r="J254" s="291" t="str">
        <f>IF(op!J187="","",op!J187)</f>
        <v/>
      </c>
      <c r="K254" s="971"/>
      <c r="L254" s="859">
        <f t="shared" si="98"/>
        <v>0</v>
      </c>
      <c r="M254" s="859">
        <f t="shared" si="98"/>
        <v>0</v>
      </c>
      <c r="N254" s="867" t="str">
        <f t="shared" si="94"/>
        <v/>
      </c>
      <c r="O254" s="867" t="str">
        <f t="shared" si="95"/>
        <v/>
      </c>
      <c r="P254" s="953" t="str">
        <f t="shared" si="80"/>
        <v/>
      </c>
      <c r="Q254" s="70"/>
      <c r="R254" s="739" t="str">
        <f t="shared" si="96"/>
        <v/>
      </c>
      <c r="S254" s="739" t="str">
        <f t="shared" si="81"/>
        <v/>
      </c>
      <c r="T254" s="740" t="str">
        <f t="shared" si="82"/>
        <v/>
      </c>
      <c r="U254" s="275"/>
      <c r="V254" s="288"/>
      <c r="W254" s="288"/>
      <c r="X254" s="288"/>
      <c r="Y254" s="908">
        <f t="shared" si="99"/>
        <v>0</v>
      </c>
      <c r="Z254" s="986">
        <f>tab!$D$62</f>
        <v>0.6</v>
      </c>
      <c r="AA254" s="944">
        <f t="shared" si="84"/>
        <v>0</v>
      </c>
      <c r="AB254" s="944">
        <f t="shared" si="85"/>
        <v>0</v>
      </c>
      <c r="AC254" s="944">
        <f t="shared" si="86"/>
        <v>0</v>
      </c>
      <c r="AD254" s="943" t="e">
        <f t="shared" si="87"/>
        <v>#VALUE!</v>
      </c>
      <c r="AE254" s="943">
        <f t="shared" si="88"/>
        <v>0</v>
      </c>
      <c r="AF254" s="916">
        <f>IF(H254&gt;8,tab!$D$63,tab!$D$65)</f>
        <v>0.5</v>
      </c>
      <c r="AG254" s="925">
        <f t="shared" si="100"/>
        <v>0</v>
      </c>
      <c r="AH254" s="940">
        <f t="shared" si="101"/>
        <v>0</v>
      </c>
      <c r="AI254" s="924" t="e">
        <f>DATE(YEAR(tab!$H$3),MONTH(G254),DAY(G254))&gt;tab!$H$3</f>
        <v>#VALUE!</v>
      </c>
      <c r="AJ254" s="924" t="e">
        <f t="shared" si="102"/>
        <v>#VALUE!</v>
      </c>
      <c r="AK254" s="884">
        <f t="shared" si="103"/>
        <v>30</v>
      </c>
      <c r="AL254" s="884">
        <f t="shared" si="104"/>
        <v>30</v>
      </c>
      <c r="AM254" s="925">
        <f t="shared" si="105"/>
        <v>0</v>
      </c>
    </row>
    <row r="255" spans="3:39" ht="12.75" customHeight="1" x14ac:dyDescent="0.2">
      <c r="C255" s="69"/>
      <c r="D255" s="75" t="str">
        <f>IF(op!D188=0,"",op!D188)</f>
        <v/>
      </c>
      <c r="E255" s="75" t="str">
        <f>IF(op!E188=0,"-",op!E188)</f>
        <v/>
      </c>
      <c r="F255" s="88" t="str">
        <f>IF(op!F188="","",op!F188+1)</f>
        <v/>
      </c>
      <c r="G255" s="290" t="str">
        <f>IF(op!G188="","",op!G188)</f>
        <v/>
      </c>
      <c r="H255" s="88" t="str">
        <f>IF(op!H188=0,"",op!H188)</f>
        <v/>
      </c>
      <c r="I255" s="99" t="str">
        <f>IF(J255="","",(IF(op!I188+1&gt;LOOKUP(H255,schaal2019,regels2019),op!I188,op!I188+1)))</f>
        <v/>
      </c>
      <c r="J255" s="291" t="str">
        <f>IF(op!J188="","",op!J188)</f>
        <v/>
      </c>
      <c r="K255" s="971"/>
      <c r="L255" s="859">
        <f t="shared" si="98"/>
        <v>0</v>
      </c>
      <c r="M255" s="859">
        <f t="shared" si="98"/>
        <v>0</v>
      </c>
      <c r="N255" s="867" t="str">
        <f t="shared" si="94"/>
        <v/>
      </c>
      <c r="O255" s="867" t="str">
        <f t="shared" si="95"/>
        <v/>
      </c>
      <c r="P255" s="953" t="str">
        <f t="shared" si="80"/>
        <v/>
      </c>
      <c r="Q255" s="70"/>
      <c r="R255" s="739" t="str">
        <f t="shared" si="96"/>
        <v/>
      </c>
      <c r="S255" s="739" t="str">
        <f t="shared" si="81"/>
        <v/>
      </c>
      <c r="T255" s="740" t="str">
        <f t="shared" si="82"/>
        <v/>
      </c>
      <c r="U255" s="275"/>
      <c r="V255" s="288"/>
      <c r="W255" s="288"/>
      <c r="X255" s="288"/>
      <c r="Y255" s="908">
        <f t="shared" si="99"/>
        <v>0</v>
      </c>
      <c r="Z255" s="986">
        <f>tab!$D$62</f>
        <v>0.6</v>
      </c>
      <c r="AA255" s="944">
        <f t="shared" si="84"/>
        <v>0</v>
      </c>
      <c r="AB255" s="944">
        <f t="shared" si="85"/>
        <v>0</v>
      </c>
      <c r="AC255" s="944">
        <f t="shared" si="86"/>
        <v>0</v>
      </c>
      <c r="AD255" s="943" t="e">
        <f t="shared" si="87"/>
        <v>#VALUE!</v>
      </c>
      <c r="AE255" s="943">
        <f t="shared" si="88"/>
        <v>0</v>
      </c>
      <c r="AF255" s="916">
        <f>IF(H255&gt;8,tab!$D$63,tab!$D$65)</f>
        <v>0.5</v>
      </c>
      <c r="AG255" s="925">
        <f t="shared" si="100"/>
        <v>0</v>
      </c>
      <c r="AH255" s="940">
        <f t="shared" si="101"/>
        <v>0</v>
      </c>
      <c r="AI255" s="924" t="e">
        <f>DATE(YEAR(tab!$H$3),MONTH(G255),DAY(G255))&gt;tab!$H$3</f>
        <v>#VALUE!</v>
      </c>
      <c r="AJ255" s="924" t="e">
        <f t="shared" si="102"/>
        <v>#VALUE!</v>
      </c>
      <c r="AK255" s="884">
        <f t="shared" si="103"/>
        <v>30</v>
      </c>
      <c r="AL255" s="884">
        <f t="shared" si="104"/>
        <v>30</v>
      </c>
      <c r="AM255" s="925">
        <f t="shared" si="105"/>
        <v>0</v>
      </c>
    </row>
    <row r="256" spans="3:39" ht="12.75" customHeight="1" x14ac:dyDescent="0.2">
      <c r="C256" s="69"/>
      <c r="D256" s="75" t="str">
        <f>IF(op!D189=0,"",op!D189)</f>
        <v/>
      </c>
      <c r="E256" s="75" t="str">
        <f>IF(op!E189=0,"-",op!E189)</f>
        <v/>
      </c>
      <c r="F256" s="88" t="str">
        <f>IF(op!F189="","",op!F189+1)</f>
        <v/>
      </c>
      <c r="G256" s="290" t="str">
        <f>IF(op!G189="","",op!G189)</f>
        <v/>
      </c>
      <c r="H256" s="88" t="str">
        <f>IF(op!H189=0,"",op!H189)</f>
        <v/>
      </c>
      <c r="I256" s="99" t="str">
        <f>IF(J256="","",(IF(op!I189+1&gt;LOOKUP(H256,schaal2019,regels2019),op!I189,op!I189+1)))</f>
        <v/>
      </c>
      <c r="J256" s="291" t="str">
        <f>IF(op!J189="","",op!J189)</f>
        <v/>
      </c>
      <c r="K256" s="971"/>
      <c r="L256" s="859">
        <f t="shared" si="98"/>
        <v>0</v>
      </c>
      <c r="M256" s="859">
        <f t="shared" si="98"/>
        <v>0</v>
      </c>
      <c r="N256" s="867" t="str">
        <f t="shared" si="94"/>
        <v/>
      </c>
      <c r="O256" s="867" t="str">
        <f t="shared" si="95"/>
        <v/>
      </c>
      <c r="P256" s="953" t="str">
        <f t="shared" si="80"/>
        <v/>
      </c>
      <c r="Q256" s="70"/>
      <c r="R256" s="739" t="str">
        <f t="shared" si="96"/>
        <v/>
      </c>
      <c r="S256" s="739" t="str">
        <f t="shared" si="81"/>
        <v/>
      </c>
      <c r="T256" s="740" t="str">
        <f t="shared" si="82"/>
        <v/>
      </c>
      <c r="U256" s="275"/>
      <c r="V256" s="288"/>
      <c r="W256" s="288"/>
      <c r="X256" s="288"/>
      <c r="Y256" s="908">
        <f t="shared" si="99"/>
        <v>0</v>
      </c>
      <c r="Z256" s="986">
        <f>tab!$D$62</f>
        <v>0.6</v>
      </c>
      <c r="AA256" s="944">
        <f t="shared" si="84"/>
        <v>0</v>
      </c>
      <c r="AB256" s="944">
        <f t="shared" si="85"/>
        <v>0</v>
      </c>
      <c r="AC256" s="944">
        <f t="shared" si="86"/>
        <v>0</v>
      </c>
      <c r="AD256" s="943" t="e">
        <f t="shared" si="87"/>
        <v>#VALUE!</v>
      </c>
      <c r="AE256" s="943">
        <f t="shared" si="88"/>
        <v>0</v>
      </c>
      <c r="AF256" s="916">
        <f>IF(H256&gt;8,tab!$D$63,tab!$D$65)</f>
        <v>0.5</v>
      </c>
      <c r="AG256" s="925">
        <f t="shared" si="100"/>
        <v>0</v>
      </c>
      <c r="AH256" s="940">
        <f t="shared" si="101"/>
        <v>0</v>
      </c>
      <c r="AI256" s="924" t="e">
        <f>DATE(YEAR(tab!$H$3),MONTH(G256),DAY(G256))&gt;tab!$H$3</f>
        <v>#VALUE!</v>
      </c>
      <c r="AJ256" s="924" t="e">
        <f t="shared" si="102"/>
        <v>#VALUE!</v>
      </c>
      <c r="AK256" s="884">
        <f t="shared" si="103"/>
        <v>30</v>
      </c>
      <c r="AL256" s="884">
        <f t="shared" si="104"/>
        <v>30</v>
      </c>
      <c r="AM256" s="925">
        <f t="shared" si="105"/>
        <v>0</v>
      </c>
    </row>
    <row r="257" spans="3:39" ht="12.75" customHeight="1" x14ac:dyDescent="0.2">
      <c r="C257" s="69"/>
      <c r="D257" s="75" t="str">
        <f>IF(op!D190=0,"",op!D190)</f>
        <v/>
      </c>
      <c r="E257" s="75" t="str">
        <f>IF(op!E190=0,"-",op!E190)</f>
        <v/>
      </c>
      <c r="F257" s="88" t="str">
        <f>IF(op!F190="","",op!F190+1)</f>
        <v/>
      </c>
      <c r="G257" s="290" t="str">
        <f>IF(op!G190="","",op!G190)</f>
        <v/>
      </c>
      <c r="H257" s="88" t="str">
        <f>IF(op!H190=0,"",op!H190)</f>
        <v/>
      </c>
      <c r="I257" s="99" t="str">
        <f>IF(J257="","",(IF(op!I190+1&gt;LOOKUP(H257,schaal2019,regels2019),op!I190,op!I190+1)))</f>
        <v/>
      </c>
      <c r="J257" s="291" t="str">
        <f>IF(op!J190="","",op!J190)</f>
        <v/>
      </c>
      <c r="K257" s="971"/>
      <c r="L257" s="859">
        <f t="shared" si="98"/>
        <v>0</v>
      </c>
      <c r="M257" s="859">
        <f t="shared" si="98"/>
        <v>0</v>
      </c>
      <c r="N257" s="867" t="str">
        <f t="shared" si="94"/>
        <v/>
      </c>
      <c r="O257" s="867" t="str">
        <f t="shared" si="95"/>
        <v/>
      </c>
      <c r="P257" s="953" t="str">
        <f t="shared" si="80"/>
        <v/>
      </c>
      <c r="Q257" s="70"/>
      <c r="R257" s="739" t="str">
        <f t="shared" si="96"/>
        <v/>
      </c>
      <c r="S257" s="739" t="str">
        <f t="shared" si="81"/>
        <v/>
      </c>
      <c r="T257" s="740" t="str">
        <f t="shared" si="82"/>
        <v/>
      </c>
      <c r="U257" s="275"/>
      <c r="V257" s="288"/>
      <c r="W257" s="288"/>
      <c r="X257" s="288"/>
      <c r="Y257" s="908">
        <f t="shared" si="99"/>
        <v>0</v>
      </c>
      <c r="Z257" s="986">
        <f>tab!$D$62</f>
        <v>0.6</v>
      </c>
      <c r="AA257" s="944">
        <f t="shared" si="84"/>
        <v>0</v>
      </c>
      <c r="AB257" s="944">
        <f t="shared" si="85"/>
        <v>0</v>
      </c>
      <c r="AC257" s="944">
        <f t="shared" si="86"/>
        <v>0</v>
      </c>
      <c r="AD257" s="943" t="e">
        <f t="shared" si="87"/>
        <v>#VALUE!</v>
      </c>
      <c r="AE257" s="943">
        <f t="shared" si="88"/>
        <v>0</v>
      </c>
      <c r="AF257" s="916">
        <f>IF(H257&gt;8,tab!$D$63,tab!$D$65)</f>
        <v>0.5</v>
      </c>
      <c r="AG257" s="925">
        <f t="shared" si="100"/>
        <v>0</v>
      </c>
      <c r="AH257" s="940">
        <f t="shared" si="101"/>
        <v>0</v>
      </c>
      <c r="AI257" s="924" t="e">
        <f>DATE(YEAR(tab!$H$3),MONTH(G257),DAY(G257))&gt;tab!$H$3</f>
        <v>#VALUE!</v>
      </c>
      <c r="AJ257" s="924" t="e">
        <f t="shared" si="102"/>
        <v>#VALUE!</v>
      </c>
      <c r="AK257" s="884">
        <f t="shared" si="103"/>
        <v>30</v>
      </c>
      <c r="AL257" s="884">
        <f t="shared" si="104"/>
        <v>30</v>
      </c>
      <c r="AM257" s="925">
        <f t="shared" si="105"/>
        <v>0</v>
      </c>
    </row>
    <row r="258" spans="3:39" ht="12.75" customHeight="1" x14ac:dyDescent="0.2">
      <c r="C258" s="69"/>
      <c r="D258" s="75" t="str">
        <f>IF(op!D191=0,"",op!D191)</f>
        <v/>
      </c>
      <c r="E258" s="75" t="str">
        <f>IF(op!E191=0,"-",op!E191)</f>
        <v/>
      </c>
      <c r="F258" s="88" t="str">
        <f>IF(op!F191="","",op!F191+1)</f>
        <v/>
      </c>
      <c r="G258" s="290" t="str">
        <f>IF(op!G191="","",op!G191)</f>
        <v/>
      </c>
      <c r="H258" s="88" t="str">
        <f>IF(op!H191=0,"",op!H191)</f>
        <v/>
      </c>
      <c r="I258" s="99" t="str">
        <f>IF(J258="","",(IF(op!I191+1&gt;LOOKUP(H258,schaal2019,regels2019),op!I191,op!I191+1)))</f>
        <v/>
      </c>
      <c r="J258" s="291" t="str">
        <f>IF(op!J191="","",op!J191)</f>
        <v/>
      </c>
      <c r="K258" s="971"/>
      <c r="L258" s="859">
        <f t="shared" ref="L258:M272" si="106">IF(L191="","",L191)</f>
        <v>0</v>
      </c>
      <c r="M258" s="859">
        <f t="shared" si="106"/>
        <v>0</v>
      </c>
      <c r="N258" s="867" t="str">
        <f t="shared" si="94"/>
        <v/>
      </c>
      <c r="O258" s="867" t="str">
        <f t="shared" si="95"/>
        <v/>
      </c>
      <c r="P258" s="953" t="str">
        <f t="shared" si="80"/>
        <v/>
      </c>
      <c r="Q258" s="70"/>
      <c r="R258" s="739" t="str">
        <f t="shared" si="96"/>
        <v/>
      </c>
      <c r="S258" s="739" t="str">
        <f t="shared" si="81"/>
        <v/>
      </c>
      <c r="T258" s="740" t="str">
        <f t="shared" si="82"/>
        <v/>
      </c>
      <c r="U258" s="275"/>
      <c r="V258" s="288"/>
      <c r="W258" s="288"/>
      <c r="X258" s="288"/>
      <c r="Y258" s="908">
        <f t="shared" si="99"/>
        <v>0</v>
      </c>
      <c r="Z258" s="986">
        <f>tab!$D$62</f>
        <v>0.6</v>
      </c>
      <c r="AA258" s="944">
        <f t="shared" si="84"/>
        <v>0</v>
      </c>
      <c r="AB258" s="944">
        <f t="shared" si="85"/>
        <v>0</v>
      </c>
      <c r="AC258" s="944">
        <f t="shared" si="86"/>
        <v>0</v>
      </c>
      <c r="AD258" s="943" t="e">
        <f t="shared" si="87"/>
        <v>#VALUE!</v>
      </c>
      <c r="AE258" s="943">
        <f t="shared" si="88"/>
        <v>0</v>
      </c>
      <c r="AF258" s="916">
        <f>IF(H258&gt;8,tab!$D$63,tab!$D$65)</f>
        <v>0.5</v>
      </c>
      <c r="AG258" s="925">
        <f t="shared" si="100"/>
        <v>0</v>
      </c>
      <c r="AH258" s="940">
        <f t="shared" si="101"/>
        <v>0</v>
      </c>
      <c r="AI258" s="924" t="e">
        <f>DATE(YEAR(tab!$H$3),MONTH(G258),DAY(G258))&gt;tab!$H$3</f>
        <v>#VALUE!</v>
      </c>
      <c r="AJ258" s="924" t="e">
        <f t="shared" si="102"/>
        <v>#VALUE!</v>
      </c>
      <c r="AK258" s="884">
        <f t="shared" si="103"/>
        <v>30</v>
      </c>
      <c r="AL258" s="884">
        <f t="shared" si="104"/>
        <v>30</v>
      </c>
      <c r="AM258" s="925">
        <f t="shared" si="105"/>
        <v>0</v>
      </c>
    </row>
    <row r="259" spans="3:39" ht="12.75" customHeight="1" x14ac:dyDescent="0.2">
      <c r="C259" s="69"/>
      <c r="D259" s="75" t="str">
        <f>IF(op!D192=0,"",op!D192)</f>
        <v/>
      </c>
      <c r="E259" s="75" t="str">
        <f>IF(op!E192=0,"-",op!E192)</f>
        <v/>
      </c>
      <c r="F259" s="88" t="str">
        <f>IF(op!F192="","",op!F192+1)</f>
        <v/>
      </c>
      <c r="G259" s="290" t="str">
        <f>IF(op!G192="","",op!G192)</f>
        <v/>
      </c>
      <c r="H259" s="88" t="str">
        <f>IF(op!H192=0,"",op!H192)</f>
        <v/>
      </c>
      <c r="I259" s="99" t="str">
        <f>IF(J259="","",(IF(op!I192+1&gt;LOOKUP(H259,schaal2019,regels2019),op!I192,op!I192+1)))</f>
        <v/>
      </c>
      <c r="J259" s="291" t="str">
        <f>IF(op!J192="","",op!J192)</f>
        <v/>
      </c>
      <c r="K259" s="971"/>
      <c r="L259" s="859">
        <f t="shared" si="106"/>
        <v>0</v>
      </c>
      <c r="M259" s="859">
        <f t="shared" si="106"/>
        <v>0</v>
      </c>
      <c r="N259" s="867" t="str">
        <f t="shared" si="94"/>
        <v/>
      </c>
      <c r="O259" s="867" t="str">
        <f t="shared" si="95"/>
        <v/>
      </c>
      <c r="P259" s="953" t="str">
        <f t="shared" si="80"/>
        <v/>
      </c>
      <c r="Q259" s="70"/>
      <c r="R259" s="739" t="str">
        <f t="shared" si="96"/>
        <v/>
      </c>
      <c r="S259" s="739" t="str">
        <f t="shared" si="81"/>
        <v/>
      </c>
      <c r="T259" s="740" t="str">
        <f t="shared" si="82"/>
        <v/>
      </c>
      <c r="U259" s="275"/>
      <c r="V259" s="288"/>
      <c r="W259" s="288"/>
      <c r="X259" s="288"/>
      <c r="Y259" s="908">
        <f t="shared" si="99"/>
        <v>0</v>
      </c>
      <c r="Z259" s="986">
        <f>tab!$D$62</f>
        <v>0.6</v>
      </c>
      <c r="AA259" s="944">
        <f t="shared" si="84"/>
        <v>0</v>
      </c>
      <c r="AB259" s="944">
        <f t="shared" si="85"/>
        <v>0</v>
      </c>
      <c r="AC259" s="944">
        <f t="shared" si="86"/>
        <v>0</v>
      </c>
      <c r="AD259" s="943" t="e">
        <f t="shared" si="87"/>
        <v>#VALUE!</v>
      </c>
      <c r="AE259" s="943">
        <f t="shared" si="88"/>
        <v>0</v>
      </c>
      <c r="AF259" s="916">
        <f>IF(H259&gt;8,tab!$D$63,tab!$D$65)</f>
        <v>0.5</v>
      </c>
      <c r="AG259" s="925">
        <f t="shared" si="100"/>
        <v>0</v>
      </c>
      <c r="AH259" s="940">
        <f t="shared" si="101"/>
        <v>0</v>
      </c>
      <c r="AI259" s="924" t="e">
        <f>DATE(YEAR(tab!$H$3),MONTH(G259),DAY(G259))&gt;tab!$H$3</f>
        <v>#VALUE!</v>
      </c>
      <c r="AJ259" s="924" t="e">
        <f t="shared" si="102"/>
        <v>#VALUE!</v>
      </c>
      <c r="AK259" s="884">
        <f t="shared" si="103"/>
        <v>30</v>
      </c>
      <c r="AL259" s="884">
        <f t="shared" si="104"/>
        <v>30</v>
      </c>
      <c r="AM259" s="925">
        <f t="shared" si="105"/>
        <v>0</v>
      </c>
    </row>
    <row r="260" spans="3:39" ht="12.75" customHeight="1" x14ac:dyDescent="0.2">
      <c r="C260" s="69"/>
      <c r="D260" s="75" t="str">
        <f>IF(op!D193=0,"",op!D193)</f>
        <v/>
      </c>
      <c r="E260" s="75" t="str">
        <f>IF(op!E193=0,"-",op!E193)</f>
        <v/>
      </c>
      <c r="F260" s="88" t="str">
        <f>IF(op!F193="","",op!F193+1)</f>
        <v/>
      </c>
      <c r="G260" s="290" t="str">
        <f>IF(op!G193="","",op!G193)</f>
        <v/>
      </c>
      <c r="H260" s="88" t="str">
        <f>IF(op!H193=0,"",op!H193)</f>
        <v/>
      </c>
      <c r="I260" s="99" t="str">
        <f>IF(J260="","",(IF(op!I193+1&gt;LOOKUP(H260,schaal2019,regels2019),op!I193,op!I193+1)))</f>
        <v/>
      </c>
      <c r="J260" s="291" t="str">
        <f>IF(op!J193="","",op!J193)</f>
        <v/>
      </c>
      <c r="K260" s="971"/>
      <c r="L260" s="859">
        <f t="shared" si="106"/>
        <v>0</v>
      </c>
      <c r="M260" s="859">
        <f t="shared" si="106"/>
        <v>0</v>
      </c>
      <c r="N260" s="867" t="str">
        <f t="shared" si="94"/>
        <v/>
      </c>
      <c r="O260" s="867" t="str">
        <f t="shared" si="95"/>
        <v/>
      </c>
      <c r="P260" s="953" t="str">
        <f t="shared" si="80"/>
        <v/>
      </c>
      <c r="Q260" s="70"/>
      <c r="R260" s="739" t="str">
        <f t="shared" si="96"/>
        <v/>
      </c>
      <c r="S260" s="739" t="str">
        <f t="shared" si="81"/>
        <v/>
      </c>
      <c r="T260" s="740" t="str">
        <f t="shared" si="82"/>
        <v/>
      </c>
      <c r="U260" s="275"/>
      <c r="V260" s="288"/>
      <c r="W260" s="288"/>
      <c r="X260" s="288"/>
      <c r="Y260" s="908">
        <f t="shared" si="99"/>
        <v>0</v>
      </c>
      <c r="Z260" s="986">
        <f>tab!$D$62</f>
        <v>0.6</v>
      </c>
      <c r="AA260" s="944">
        <f t="shared" si="84"/>
        <v>0</v>
      </c>
      <c r="AB260" s="944">
        <f t="shared" si="85"/>
        <v>0</v>
      </c>
      <c r="AC260" s="944">
        <f t="shared" si="86"/>
        <v>0</v>
      </c>
      <c r="AD260" s="943" t="e">
        <f t="shared" si="87"/>
        <v>#VALUE!</v>
      </c>
      <c r="AE260" s="943">
        <f t="shared" si="88"/>
        <v>0</v>
      </c>
      <c r="AF260" s="916">
        <f>IF(H260&gt;8,tab!$D$63,tab!$D$65)</f>
        <v>0.5</v>
      </c>
      <c r="AG260" s="925">
        <f t="shared" si="100"/>
        <v>0</v>
      </c>
      <c r="AH260" s="940">
        <f t="shared" si="101"/>
        <v>0</v>
      </c>
      <c r="AI260" s="924" t="e">
        <f>DATE(YEAR(tab!$H$3),MONTH(G260),DAY(G260))&gt;tab!$H$3</f>
        <v>#VALUE!</v>
      </c>
      <c r="AJ260" s="924" t="e">
        <f t="shared" si="102"/>
        <v>#VALUE!</v>
      </c>
      <c r="AK260" s="884">
        <f t="shared" si="103"/>
        <v>30</v>
      </c>
      <c r="AL260" s="884">
        <f t="shared" si="104"/>
        <v>30</v>
      </c>
      <c r="AM260" s="925">
        <f t="shared" si="105"/>
        <v>0</v>
      </c>
    </row>
    <row r="261" spans="3:39" ht="12.75" customHeight="1" x14ac:dyDescent="0.2">
      <c r="C261" s="69"/>
      <c r="D261" s="75" t="str">
        <f>IF(op!D194=0,"",op!D194)</f>
        <v/>
      </c>
      <c r="E261" s="75" t="str">
        <f>IF(op!E194=0,"-",op!E194)</f>
        <v/>
      </c>
      <c r="F261" s="88" t="str">
        <f>IF(op!F194="","",op!F194+1)</f>
        <v/>
      </c>
      <c r="G261" s="290" t="str">
        <f>IF(op!G194="","",op!G194)</f>
        <v/>
      </c>
      <c r="H261" s="88" t="str">
        <f>IF(op!H194=0,"",op!H194)</f>
        <v/>
      </c>
      <c r="I261" s="99" t="str">
        <f>IF(J261="","",(IF(op!I194+1&gt;LOOKUP(H261,schaal2019,regels2019),op!I194,op!I194+1)))</f>
        <v/>
      </c>
      <c r="J261" s="291" t="str">
        <f>IF(op!J194="","",op!J194)</f>
        <v/>
      </c>
      <c r="K261" s="971"/>
      <c r="L261" s="859">
        <f t="shared" si="106"/>
        <v>0</v>
      </c>
      <c r="M261" s="859">
        <f t="shared" si="106"/>
        <v>0</v>
      </c>
      <c r="N261" s="867" t="str">
        <f t="shared" si="94"/>
        <v/>
      </c>
      <c r="O261" s="867" t="str">
        <f t="shared" si="95"/>
        <v/>
      </c>
      <c r="P261" s="953" t="str">
        <f t="shared" si="80"/>
        <v/>
      </c>
      <c r="Q261" s="70"/>
      <c r="R261" s="739" t="str">
        <f t="shared" si="96"/>
        <v/>
      </c>
      <c r="S261" s="739" t="str">
        <f t="shared" si="81"/>
        <v/>
      </c>
      <c r="T261" s="740" t="str">
        <f t="shared" si="82"/>
        <v/>
      </c>
      <c r="U261" s="275"/>
      <c r="V261" s="288"/>
      <c r="W261" s="288"/>
      <c r="X261" s="288"/>
      <c r="Y261" s="908">
        <f t="shared" si="99"/>
        <v>0</v>
      </c>
      <c r="Z261" s="986">
        <f>tab!$D$62</f>
        <v>0.6</v>
      </c>
      <c r="AA261" s="944">
        <f t="shared" si="84"/>
        <v>0</v>
      </c>
      <c r="AB261" s="944">
        <f t="shared" si="85"/>
        <v>0</v>
      </c>
      <c r="AC261" s="944">
        <f t="shared" si="86"/>
        <v>0</v>
      </c>
      <c r="AD261" s="943" t="e">
        <f t="shared" si="87"/>
        <v>#VALUE!</v>
      </c>
      <c r="AE261" s="943">
        <f t="shared" si="88"/>
        <v>0</v>
      </c>
      <c r="AF261" s="916">
        <f>IF(H261&gt;8,tab!$D$63,tab!$D$65)</f>
        <v>0.5</v>
      </c>
      <c r="AG261" s="925">
        <f t="shared" si="100"/>
        <v>0</v>
      </c>
      <c r="AH261" s="940">
        <f t="shared" si="101"/>
        <v>0</v>
      </c>
      <c r="AI261" s="924" t="e">
        <f>DATE(YEAR(tab!$H$3),MONTH(G261),DAY(G261))&gt;tab!$H$3</f>
        <v>#VALUE!</v>
      </c>
      <c r="AJ261" s="924" t="e">
        <f t="shared" si="102"/>
        <v>#VALUE!</v>
      </c>
      <c r="AK261" s="884">
        <f t="shared" si="103"/>
        <v>30</v>
      </c>
      <c r="AL261" s="884">
        <f t="shared" si="104"/>
        <v>30</v>
      </c>
      <c r="AM261" s="925">
        <f t="shared" si="105"/>
        <v>0</v>
      </c>
    </row>
    <row r="262" spans="3:39" ht="12.75" customHeight="1" x14ac:dyDescent="0.2">
      <c r="C262" s="69"/>
      <c r="D262" s="75" t="str">
        <f>IF(op!D195=0,"",op!D195)</f>
        <v/>
      </c>
      <c r="E262" s="75" t="str">
        <f>IF(op!E195=0,"-",op!E195)</f>
        <v/>
      </c>
      <c r="F262" s="88" t="str">
        <f>IF(op!F195="","",op!F195+1)</f>
        <v/>
      </c>
      <c r="G262" s="290" t="str">
        <f>IF(op!G195="","",op!G195)</f>
        <v/>
      </c>
      <c r="H262" s="88" t="str">
        <f>IF(op!H195=0,"",op!H195)</f>
        <v/>
      </c>
      <c r="I262" s="99" t="str">
        <f>IF(J262="","",(IF(op!I195+1&gt;LOOKUP(H262,schaal2019,regels2019),op!I195,op!I195+1)))</f>
        <v/>
      </c>
      <c r="J262" s="291" t="str">
        <f>IF(op!J195="","",op!J195)</f>
        <v/>
      </c>
      <c r="K262" s="971"/>
      <c r="L262" s="859">
        <f t="shared" si="106"/>
        <v>0</v>
      </c>
      <c r="M262" s="859">
        <f t="shared" si="106"/>
        <v>0</v>
      </c>
      <c r="N262" s="867" t="str">
        <f t="shared" si="94"/>
        <v/>
      </c>
      <c r="O262" s="867" t="str">
        <f t="shared" si="95"/>
        <v/>
      </c>
      <c r="P262" s="953" t="str">
        <f t="shared" si="80"/>
        <v/>
      </c>
      <c r="Q262" s="70"/>
      <c r="R262" s="739" t="str">
        <f t="shared" si="96"/>
        <v/>
      </c>
      <c r="S262" s="739" t="str">
        <f t="shared" si="81"/>
        <v/>
      </c>
      <c r="T262" s="740" t="str">
        <f t="shared" si="82"/>
        <v/>
      </c>
      <c r="U262" s="275"/>
      <c r="V262" s="288"/>
      <c r="W262" s="288"/>
      <c r="X262" s="288"/>
      <c r="Y262" s="908">
        <f t="shared" si="99"/>
        <v>0</v>
      </c>
      <c r="Z262" s="986">
        <f>tab!$D$62</f>
        <v>0.6</v>
      </c>
      <c r="AA262" s="944">
        <f t="shared" si="84"/>
        <v>0</v>
      </c>
      <c r="AB262" s="944">
        <f t="shared" si="85"/>
        <v>0</v>
      </c>
      <c r="AC262" s="944">
        <f t="shared" si="86"/>
        <v>0</v>
      </c>
      <c r="AD262" s="943" t="e">
        <f t="shared" si="87"/>
        <v>#VALUE!</v>
      </c>
      <c r="AE262" s="943">
        <f t="shared" si="88"/>
        <v>0</v>
      </c>
      <c r="AF262" s="916">
        <f>IF(H262&gt;8,tab!$D$63,tab!$D$65)</f>
        <v>0.5</v>
      </c>
      <c r="AG262" s="925">
        <f t="shared" si="100"/>
        <v>0</v>
      </c>
      <c r="AH262" s="940">
        <f t="shared" si="101"/>
        <v>0</v>
      </c>
      <c r="AI262" s="924" t="e">
        <f>DATE(YEAR(tab!$H$3),MONTH(G262),DAY(G262))&gt;tab!$H$3</f>
        <v>#VALUE!</v>
      </c>
      <c r="AJ262" s="924" t="e">
        <f t="shared" si="102"/>
        <v>#VALUE!</v>
      </c>
      <c r="AK262" s="884">
        <f t="shared" si="103"/>
        <v>30</v>
      </c>
      <c r="AL262" s="884">
        <f t="shared" si="104"/>
        <v>30</v>
      </c>
      <c r="AM262" s="925">
        <f t="shared" si="105"/>
        <v>0</v>
      </c>
    </row>
    <row r="263" spans="3:39" ht="12.75" customHeight="1" x14ac:dyDescent="0.2">
      <c r="C263" s="69"/>
      <c r="D263" s="75" t="str">
        <f>IF(op!D196=0,"",op!D196)</f>
        <v/>
      </c>
      <c r="E263" s="75" t="str">
        <f>IF(op!E196=0,"-",op!E196)</f>
        <v/>
      </c>
      <c r="F263" s="88" t="str">
        <f>IF(op!F196="","",op!F196+1)</f>
        <v/>
      </c>
      <c r="G263" s="290" t="str">
        <f>IF(op!G196="","",op!G196)</f>
        <v/>
      </c>
      <c r="H263" s="88" t="str">
        <f>IF(op!H196=0,"",op!H196)</f>
        <v/>
      </c>
      <c r="I263" s="99" t="str">
        <f>IF(J263="","",(IF(op!I196+1&gt;LOOKUP(H263,schaal2019,regels2019),op!I196,op!I196+1)))</f>
        <v/>
      </c>
      <c r="J263" s="291" t="str">
        <f>IF(op!J196="","",op!J196)</f>
        <v/>
      </c>
      <c r="K263" s="971"/>
      <c r="L263" s="859">
        <f t="shared" si="106"/>
        <v>0</v>
      </c>
      <c r="M263" s="859">
        <f t="shared" si="106"/>
        <v>0</v>
      </c>
      <c r="N263" s="867" t="str">
        <f t="shared" si="94"/>
        <v/>
      </c>
      <c r="O263" s="867" t="str">
        <f t="shared" si="95"/>
        <v/>
      </c>
      <c r="P263" s="953" t="str">
        <f t="shared" si="80"/>
        <v/>
      </c>
      <c r="Q263" s="70"/>
      <c r="R263" s="739" t="str">
        <f t="shared" si="96"/>
        <v/>
      </c>
      <c r="S263" s="739" t="str">
        <f t="shared" si="81"/>
        <v/>
      </c>
      <c r="T263" s="740" t="str">
        <f t="shared" si="82"/>
        <v/>
      </c>
      <c r="U263" s="275"/>
      <c r="V263" s="288"/>
      <c r="W263" s="288"/>
      <c r="X263" s="288"/>
      <c r="Y263" s="908">
        <f t="shared" si="99"/>
        <v>0</v>
      </c>
      <c r="Z263" s="986">
        <f>tab!$D$62</f>
        <v>0.6</v>
      </c>
      <c r="AA263" s="944">
        <f t="shared" si="84"/>
        <v>0</v>
      </c>
      <c r="AB263" s="944">
        <f t="shared" si="85"/>
        <v>0</v>
      </c>
      <c r="AC263" s="944">
        <f t="shared" si="86"/>
        <v>0</v>
      </c>
      <c r="AD263" s="943" t="e">
        <f t="shared" si="87"/>
        <v>#VALUE!</v>
      </c>
      <c r="AE263" s="943">
        <f t="shared" si="88"/>
        <v>0</v>
      </c>
      <c r="AF263" s="916">
        <f>IF(H263&gt;8,tab!$D$63,tab!$D$65)</f>
        <v>0.5</v>
      </c>
      <c r="AG263" s="925">
        <f t="shared" si="100"/>
        <v>0</v>
      </c>
      <c r="AH263" s="940">
        <f t="shared" si="101"/>
        <v>0</v>
      </c>
      <c r="AI263" s="924" t="e">
        <f>DATE(YEAR(tab!$H$3),MONTH(G263),DAY(G263))&gt;tab!$H$3</f>
        <v>#VALUE!</v>
      </c>
      <c r="AJ263" s="924" t="e">
        <f t="shared" si="102"/>
        <v>#VALUE!</v>
      </c>
      <c r="AK263" s="884">
        <f t="shared" si="103"/>
        <v>30</v>
      </c>
      <c r="AL263" s="884">
        <f t="shared" si="104"/>
        <v>30</v>
      </c>
      <c r="AM263" s="925">
        <f t="shared" si="105"/>
        <v>0</v>
      </c>
    </row>
    <row r="264" spans="3:39" ht="12.75" customHeight="1" x14ac:dyDescent="0.2">
      <c r="C264" s="69"/>
      <c r="D264" s="75" t="str">
        <f>IF(op!D197=0,"",op!D197)</f>
        <v/>
      </c>
      <c r="E264" s="75" t="str">
        <f>IF(op!E197=0,"-",op!E197)</f>
        <v/>
      </c>
      <c r="F264" s="88" t="str">
        <f>IF(op!F197="","",op!F197+1)</f>
        <v/>
      </c>
      <c r="G264" s="290" t="str">
        <f>IF(op!G197="","",op!G197)</f>
        <v/>
      </c>
      <c r="H264" s="88" t="str">
        <f>IF(op!H197=0,"",op!H197)</f>
        <v/>
      </c>
      <c r="I264" s="99" t="str">
        <f>IF(J264="","",(IF(op!I197+1&gt;LOOKUP(H264,schaal2019,regels2019),op!I197,op!I197+1)))</f>
        <v/>
      </c>
      <c r="J264" s="291" t="str">
        <f>IF(op!J197="","",op!J197)</f>
        <v/>
      </c>
      <c r="K264" s="971"/>
      <c r="L264" s="859">
        <f t="shared" si="106"/>
        <v>0</v>
      </c>
      <c r="M264" s="859">
        <f t="shared" si="106"/>
        <v>0</v>
      </c>
      <c r="N264" s="867" t="str">
        <f t="shared" si="94"/>
        <v/>
      </c>
      <c r="O264" s="867" t="str">
        <f t="shared" si="95"/>
        <v/>
      </c>
      <c r="P264" s="953" t="str">
        <f t="shared" si="80"/>
        <v/>
      </c>
      <c r="Q264" s="70"/>
      <c r="R264" s="739" t="str">
        <f t="shared" si="96"/>
        <v/>
      </c>
      <c r="S264" s="739" t="str">
        <f t="shared" si="81"/>
        <v/>
      </c>
      <c r="T264" s="740" t="str">
        <f t="shared" si="82"/>
        <v/>
      </c>
      <c r="U264" s="275"/>
      <c r="V264" s="288"/>
      <c r="W264" s="288"/>
      <c r="X264" s="288"/>
      <c r="Y264" s="908">
        <f t="shared" si="99"/>
        <v>0</v>
      </c>
      <c r="Z264" s="986">
        <f>tab!$D$62</f>
        <v>0.6</v>
      </c>
      <c r="AA264" s="944">
        <f t="shared" si="84"/>
        <v>0</v>
      </c>
      <c r="AB264" s="944">
        <f t="shared" si="85"/>
        <v>0</v>
      </c>
      <c r="AC264" s="944">
        <f t="shared" si="86"/>
        <v>0</v>
      </c>
      <c r="AD264" s="943" t="e">
        <f t="shared" si="87"/>
        <v>#VALUE!</v>
      </c>
      <c r="AE264" s="943">
        <f t="shared" si="88"/>
        <v>0</v>
      </c>
      <c r="AF264" s="916">
        <f>IF(H264&gt;8,tab!$D$63,tab!$D$65)</f>
        <v>0.5</v>
      </c>
      <c r="AG264" s="925">
        <f t="shared" si="100"/>
        <v>0</v>
      </c>
      <c r="AH264" s="940">
        <f t="shared" si="101"/>
        <v>0</v>
      </c>
      <c r="AI264" s="924" t="e">
        <f>DATE(YEAR(tab!$H$3),MONTH(G264),DAY(G264))&gt;tab!$H$3</f>
        <v>#VALUE!</v>
      </c>
      <c r="AJ264" s="924" t="e">
        <f t="shared" si="102"/>
        <v>#VALUE!</v>
      </c>
      <c r="AK264" s="884">
        <f t="shared" si="103"/>
        <v>30</v>
      </c>
      <c r="AL264" s="884">
        <f t="shared" si="104"/>
        <v>30</v>
      </c>
      <c r="AM264" s="925">
        <f t="shared" si="105"/>
        <v>0</v>
      </c>
    </row>
    <row r="265" spans="3:39" ht="12.75" customHeight="1" x14ac:dyDescent="0.2">
      <c r="C265" s="69"/>
      <c r="D265" s="75" t="str">
        <f>IF(op!D198=0,"",op!D198)</f>
        <v/>
      </c>
      <c r="E265" s="75" t="str">
        <f>IF(op!E198=0,"-",op!E198)</f>
        <v/>
      </c>
      <c r="F265" s="88" t="str">
        <f>IF(op!F198="","",op!F198+1)</f>
        <v/>
      </c>
      <c r="G265" s="290" t="str">
        <f>IF(op!G198="","",op!G198)</f>
        <v/>
      </c>
      <c r="H265" s="88" t="str">
        <f>IF(op!H198=0,"",op!H198)</f>
        <v/>
      </c>
      <c r="I265" s="99" t="str">
        <f>IF(J265="","",(IF(op!I198+1&gt;LOOKUP(H265,schaal2019,regels2019),op!I198,op!I198+1)))</f>
        <v/>
      </c>
      <c r="J265" s="291" t="str">
        <f>IF(op!J198="","",op!J198)</f>
        <v/>
      </c>
      <c r="K265" s="971"/>
      <c r="L265" s="859">
        <f t="shared" si="106"/>
        <v>0</v>
      </c>
      <c r="M265" s="859">
        <f t="shared" si="106"/>
        <v>0</v>
      </c>
      <c r="N265" s="867" t="str">
        <f t="shared" si="94"/>
        <v/>
      </c>
      <c r="O265" s="867" t="str">
        <f t="shared" si="95"/>
        <v/>
      </c>
      <c r="P265" s="953" t="str">
        <f t="shared" si="80"/>
        <v/>
      </c>
      <c r="Q265" s="70"/>
      <c r="R265" s="739" t="str">
        <f t="shared" si="96"/>
        <v/>
      </c>
      <c r="S265" s="739" t="str">
        <f t="shared" si="81"/>
        <v/>
      </c>
      <c r="T265" s="740" t="str">
        <f t="shared" si="82"/>
        <v/>
      </c>
      <c r="U265" s="275"/>
      <c r="V265" s="288"/>
      <c r="W265" s="288"/>
      <c r="X265" s="288"/>
      <c r="Y265" s="908">
        <f t="shared" si="99"/>
        <v>0</v>
      </c>
      <c r="Z265" s="986">
        <f>tab!$D$62</f>
        <v>0.6</v>
      </c>
      <c r="AA265" s="944">
        <f t="shared" si="84"/>
        <v>0</v>
      </c>
      <c r="AB265" s="944">
        <f t="shared" si="85"/>
        <v>0</v>
      </c>
      <c r="AC265" s="944">
        <f t="shared" si="86"/>
        <v>0</v>
      </c>
      <c r="AD265" s="943" t="e">
        <f t="shared" si="87"/>
        <v>#VALUE!</v>
      </c>
      <c r="AE265" s="943">
        <f t="shared" si="88"/>
        <v>0</v>
      </c>
      <c r="AF265" s="916">
        <f>IF(H265&gt;8,tab!$D$63,tab!$D$65)</f>
        <v>0.5</v>
      </c>
      <c r="AG265" s="925">
        <f t="shared" si="100"/>
        <v>0</v>
      </c>
      <c r="AH265" s="940">
        <f t="shared" si="101"/>
        <v>0</v>
      </c>
      <c r="AI265" s="924" t="e">
        <f>DATE(YEAR(tab!$H$3),MONTH(G265),DAY(G265))&gt;tab!$H$3</f>
        <v>#VALUE!</v>
      </c>
      <c r="AJ265" s="924" t="e">
        <f t="shared" si="102"/>
        <v>#VALUE!</v>
      </c>
      <c r="AK265" s="884">
        <f t="shared" si="103"/>
        <v>30</v>
      </c>
      <c r="AL265" s="884">
        <f t="shared" si="104"/>
        <v>30</v>
      </c>
      <c r="AM265" s="925">
        <f t="shared" si="105"/>
        <v>0</v>
      </c>
    </row>
    <row r="266" spans="3:39" ht="12.75" customHeight="1" x14ac:dyDescent="0.2">
      <c r="C266" s="69"/>
      <c r="D266" s="75" t="str">
        <f>IF(op!D199=0,"",op!D199)</f>
        <v/>
      </c>
      <c r="E266" s="75" t="str">
        <f>IF(op!E199=0,"-",op!E199)</f>
        <v/>
      </c>
      <c r="F266" s="88" t="str">
        <f>IF(op!F199="","",op!F199+1)</f>
        <v/>
      </c>
      <c r="G266" s="290" t="str">
        <f>IF(op!G199="","",op!G199)</f>
        <v/>
      </c>
      <c r="H266" s="88" t="str">
        <f>IF(op!H199=0,"",op!H199)</f>
        <v/>
      </c>
      <c r="I266" s="99" t="str">
        <f>IF(J266="","",(IF(op!I199+1&gt;LOOKUP(H266,schaal2019,regels2019),op!I199,op!I199+1)))</f>
        <v/>
      </c>
      <c r="J266" s="291" t="str">
        <f>IF(op!J199="","",op!J199)</f>
        <v/>
      </c>
      <c r="K266" s="971"/>
      <c r="L266" s="859">
        <f t="shared" si="106"/>
        <v>0</v>
      </c>
      <c r="M266" s="859">
        <f t="shared" si="106"/>
        <v>0</v>
      </c>
      <c r="N266" s="867" t="str">
        <f t="shared" si="94"/>
        <v/>
      </c>
      <c r="O266" s="867" t="str">
        <f t="shared" si="95"/>
        <v/>
      </c>
      <c r="P266" s="953" t="str">
        <f t="shared" si="80"/>
        <v/>
      </c>
      <c r="Q266" s="70"/>
      <c r="R266" s="739" t="str">
        <f t="shared" si="96"/>
        <v/>
      </c>
      <c r="S266" s="739" t="str">
        <f t="shared" si="81"/>
        <v/>
      </c>
      <c r="T266" s="740" t="str">
        <f t="shared" si="82"/>
        <v/>
      </c>
      <c r="U266" s="275"/>
      <c r="V266" s="288"/>
      <c r="W266" s="288"/>
      <c r="X266" s="288"/>
      <c r="Y266" s="908">
        <f t="shared" si="99"/>
        <v>0</v>
      </c>
      <c r="Z266" s="986">
        <f>tab!$D$62</f>
        <v>0.6</v>
      </c>
      <c r="AA266" s="944">
        <f t="shared" si="84"/>
        <v>0</v>
      </c>
      <c r="AB266" s="944">
        <f t="shared" si="85"/>
        <v>0</v>
      </c>
      <c r="AC266" s="944">
        <f t="shared" si="86"/>
        <v>0</v>
      </c>
      <c r="AD266" s="943" t="e">
        <f t="shared" si="87"/>
        <v>#VALUE!</v>
      </c>
      <c r="AE266" s="943">
        <f t="shared" si="88"/>
        <v>0</v>
      </c>
      <c r="AF266" s="916">
        <f>IF(H266&gt;8,tab!$D$63,tab!$D$65)</f>
        <v>0.5</v>
      </c>
      <c r="AG266" s="925">
        <f t="shared" si="100"/>
        <v>0</v>
      </c>
      <c r="AH266" s="940">
        <f t="shared" si="101"/>
        <v>0</v>
      </c>
      <c r="AI266" s="924" t="e">
        <f>DATE(YEAR(tab!$H$3),MONTH(G266),DAY(G266))&gt;tab!$H$3</f>
        <v>#VALUE!</v>
      </c>
      <c r="AJ266" s="924" t="e">
        <f t="shared" si="102"/>
        <v>#VALUE!</v>
      </c>
      <c r="AK266" s="884">
        <f t="shared" si="103"/>
        <v>30</v>
      </c>
      <c r="AL266" s="884">
        <f t="shared" si="104"/>
        <v>30</v>
      </c>
      <c r="AM266" s="925">
        <f t="shared" si="105"/>
        <v>0</v>
      </c>
    </row>
    <row r="267" spans="3:39" ht="12.75" customHeight="1" x14ac:dyDescent="0.2">
      <c r="C267" s="69"/>
      <c r="D267" s="75" t="str">
        <f>IF(op!D200=0,"",op!D200)</f>
        <v/>
      </c>
      <c r="E267" s="75" t="str">
        <f>IF(op!E200=0,"-",op!E200)</f>
        <v/>
      </c>
      <c r="F267" s="88" t="str">
        <f>IF(op!F200="","",op!F200+1)</f>
        <v/>
      </c>
      <c r="G267" s="290" t="str">
        <f>IF(op!G200="","",op!G200)</f>
        <v/>
      </c>
      <c r="H267" s="88" t="str">
        <f>IF(op!H200=0,"",op!H200)</f>
        <v/>
      </c>
      <c r="I267" s="99" t="str">
        <f>IF(J267="","",(IF(op!I200+1&gt;LOOKUP(H267,schaal2019,regels2019),op!I200,op!I200+1)))</f>
        <v/>
      </c>
      <c r="J267" s="291" t="str">
        <f>IF(op!J200="","",op!J200)</f>
        <v/>
      </c>
      <c r="K267" s="971"/>
      <c r="L267" s="859">
        <f t="shared" si="106"/>
        <v>0</v>
      </c>
      <c r="M267" s="859">
        <f t="shared" si="106"/>
        <v>0</v>
      </c>
      <c r="N267" s="867" t="str">
        <f t="shared" si="94"/>
        <v/>
      </c>
      <c r="O267" s="867" t="str">
        <f t="shared" si="95"/>
        <v/>
      </c>
      <c r="P267" s="953" t="str">
        <f t="shared" si="80"/>
        <v/>
      </c>
      <c r="Q267" s="70"/>
      <c r="R267" s="739" t="str">
        <f t="shared" si="96"/>
        <v/>
      </c>
      <c r="S267" s="739" t="str">
        <f t="shared" si="81"/>
        <v/>
      </c>
      <c r="T267" s="740" t="str">
        <f t="shared" si="82"/>
        <v/>
      </c>
      <c r="U267" s="275"/>
      <c r="V267" s="288"/>
      <c r="W267" s="288"/>
      <c r="X267" s="288"/>
      <c r="Y267" s="908">
        <f t="shared" si="99"/>
        <v>0</v>
      </c>
      <c r="Z267" s="986">
        <f>tab!$D$62</f>
        <v>0.6</v>
      </c>
      <c r="AA267" s="944">
        <f t="shared" si="84"/>
        <v>0</v>
      </c>
      <c r="AB267" s="944">
        <f t="shared" si="85"/>
        <v>0</v>
      </c>
      <c r="AC267" s="944">
        <f t="shared" si="86"/>
        <v>0</v>
      </c>
      <c r="AD267" s="943" t="e">
        <f t="shared" si="87"/>
        <v>#VALUE!</v>
      </c>
      <c r="AE267" s="943">
        <f t="shared" si="88"/>
        <v>0</v>
      </c>
      <c r="AF267" s="916">
        <f>IF(H267&gt;8,tab!$D$63,tab!$D$65)</f>
        <v>0.5</v>
      </c>
      <c r="AG267" s="925">
        <f t="shared" si="100"/>
        <v>0</v>
      </c>
      <c r="AH267" s="940">
        <f t="shared" si="101"/>
        <v>0</v>
      </c>
      <c r="AI267" s="924" t="e">
        <f>DATE(YEAR(tab!$H$3),MONTH(G267),DAY(G267))&gt;tab!$H$3</f>
        <v>#VALUE!</v>
      </c>
      <c r="AJ267" s="924" t="e">
        <f t="shared" si="102"/>
        <v>#VALUE!</v>
      </c>
      <c r="AK267" s="884">
        <f t="shared" si="103"/>
        <v>30</v>
      </c>
      <c r="AL267" s="884">
        <f t="shared" si="104"/>
        <v>30</v>
      </c>
      <c r="AM267" s="925">
        <f t="shared" si="105"/>
        <v>0</v>
      </c>
    </row>
    <row r="268" spans="3:39" ht="12.75" customHeight="1" x14ac:dyDescent="0.2">
      <c r="C268" s="69"/>
      <c r="D268" s="75" t="str">
        <f>IF(op!D201=0,"",op!D201)</f>
        <v/>
      </c>
      <c r="E268" s="75" t="str">
        <f>IF(op!E201=0,"-",op!E201)</f>
        <v/>
      </c>
      <c r="F268" s="88" t="str">
        <f>IF(op!F201="","",op!F201+1)</f>
        <v/>
      </c>
      <c r="G268" s="290" t="str">
        <f>IF(op!G201="","",op!G201)</f>
        <v/>
      </c>
      <c r="H268" s="88" t="str">
        <f>IF(op!H201=0,"",op!H201)</f>
        <v/>
      </c>
      <c r="I268" s="99" t="str">
        <f>IF(J268="","",(IF(op!I201+1&gt;LOOKUP(H268,schaal2019,regels2019),op!I201,op!I201+1)))</f>
        <v/>
      </c>
      <c r="J268" s="291" t="str">
        <f>IF(op!J201="","",op!J201)</f>
        <v/>
      </c>
      <c r="K268" s="971"/>
      <c r="L268" s="859">
        <f t="shared" si="106"/>
        <v>0</v>
      </c>
      <c r="M268" s="859">
        <f t="shared" si="106"/>
        <v>0</v>
      </c>
      <c r="N268" s="867" t="str">
        <f t="shared" si="94"/>
        <v/>
      </c>
      <c r="O268" s="867" t="str">
        <f t="shared" si="95"/>
        <v/>
      </c>
      <c r="P268" s="953" t="str">
        <f t="shared" si="80"/>
        <v/>
      </c>
      <c r="Q268" s="70"/>
      <c r="R268" s="739" t="str">
        <f t="shared" si="96"/>
        <v/>
      </c>
      <c r="S268" s="739" t="str">
        <f t="shared" si="81"/>
        <v/>
      </c>
      <c r="T268" s="740" t="str">
        <f t="shared" si="82"/>
        <v/>
      </c>
      <c r="U268" s="275"/>
      <c r="V268" s="288"/>
      <c r="W268" s="288"/>
      <c r="X268" s="288"/>
      <c r="Y268" s="908">
        <f t="shared" si="99"/>
        <v>0</v>
      </c>
      <c r="Z268" s="986">
        <f>tab!$D$62</f>
        <v>0.6</v>
      </c>
      <c r="AA268" s="944">
        <f t="shared" si="84"/>
        <v>0</v>
      </c>
      <c r="AB268" s="944">
        <f t="shared" si="85"/>
        <v>0</v>
      </c>
      <c r="AC268" s="944">
        <f t="shared" si="86"/>
        <v>0</v>
      </c>
      <c r="AD268" s="943" t="e">
        <f t="shared" si="87"/>
        <v>#VALUE!</v>
      </c>
      <c r="AE268" s="943">
        <f t="shared" si="88"/>
        <v>0</v>
      </c>
      <c r="AF268" s="916">
        <f>IF(H268&gt;8,tab!$D$63,tab!$D$65)</f>
        <v>0.5</v>
      </c>
      <c r="AG268" s="925">
        <f t="shared" si="100"/>
        <v>0</v>
      </c>
      <c r="AH268" s="940">
        <f t="shared" si="101"/>
        <v>0</v>
      </c>
      <c r="AI268" s="924" t="e">
        <f>DATE(YEAR(tab!$H$3),MONTH(G268),DAY(G268))&gt;tab!$H$3</f>
        <v>#VALUE!</v>
      </c>
      <c r="AJ268" s="924" t="e">
        <f t="shared" si="102"/>
        <v>#VALUE!</v>
      </c>
      <c r="AK268" s="884">
        <f t="shared" si="103"/>
        <v>30</v>
      </c>
      <c r="AL268" s="884">
        <f t="shared" si="104"/>
        <v>30</v>
      </c>
      <c r="AM268" s="925">
        <f t="shared" si="105"/>
        <v>0</v>
      </c>
    </row>
    <row r="269" spans="3:39" ht="12.75" customHeight="1" x14ac:dyDescent="0.2">
      <c r="C269" s="69"/>
      <c r="D269" s="75" t="str">
        <f>IF(op!D202=0,"",op!D202)</f>
        <v/>
      </c>
      <c r="E269" s="75" t="str">
        <f>IF(op!E202=0,"-",op!E202)</f>
        <v/>
      </c>
      <c r="F269" s="88" t="str">
        <f>IF(op!F202="","",op!F202+1)</f>
        <v/>
      </c>
      <c r="G269" s="290" t="str">
        <f>IF(op!G202="","",op!G202)</f>
        <v/>
      </c>
      <c r="H269" s="88" t="str">
        <f>IF(op!H202=0,"",op!H202)</f>
        <v/>
      </c>
      <c r="I269" s="99" t="str">
        <f>IF(J269="","",(IF(op!I202+1&gt;LOOKUP(H269,schaal2019,regels2019),op!I202,op!I202+1)))</f>
        <v/>
      </c>
      <c r="J269" s="291" t="str">
        <f>IF(op!J202="","",op!J202)</f>
        <v/>
      </c>
      <c r="K269" s="971"/>
      <c r="L269" s="859">
        <f t="shared" si="106"/>
        <v>0</v>
      </c>
      <c r="M269" s="859">
        <f t="shared" si="106"/>
        <v>0</v>
      </c>
      <c r="N269" s="867" t="str">
        <f t="shared" si="94"/>
        <v/>
      </c>
      <c r="O269" s="867" t="str">
        <f t="shared" si="95"/>
        <v/>
      </c>
      <c r="P269" s="953" t="str">
        <f t="shared" si="80"/>
        <v/>
      </c>
      <c r="Q269" s="70"/>
      <c r="R269" s="739" t="str">
        <f t="shared" si="96"/>
        <v/>
      </c>
      <c r="S269" s="739" t="str">
        <f t="shared" si="81"/>
        <v/>
      </c>
      <c r="T269" s="740" t="str">
        <f t="shared" si="82"/>
        <v/>
      </c>
      <c r="U269" s="275"/>
      <c r="V269" s="288"/>
      <c r="W269" s="288"/>
      <c r="X269" s="288"/>
      <c r="Y269" s="908">
        <f t="shared" si="99"/>
        <v>0</v>
      </c>
      <c r="Z269" s="986">
        <f>tab!$D$62</f>
        <v>0.6</v>
      </c>
      <c r="AA269" s="944">
        <f t="shared" si="84"/>
        <v>0</v>
      </c>
      <c r="AB269" s="944">
        <f t="shared" si="85"/>
        <v>0</v>
      </c>
      <c r="AC269" s="944">
        <f t="shared" si="86"/>
        <v>0</v>
      </c>
      <c r="AD269" s="943" t="e">
        <f t="shared" si="87"/>
        <v>#VALUE!</v>
      </c>
      <c r="AE269" s="943">
        <f t="shared" si="88"/>
        <v>0</v>
      </c>
      <c r="AF269" s="916">
        <f>IF(H269&gt;8,tab!$D$63,tab!$D$65)</f>
        <v>0.5</v>
      </c>
      <c r="AG269" s="925">
        <f t="shared" si="100"/>
        <v>0</v>
      </c>
      <c r="AH269" s="940">
        <f t="shared" si="101"/>
        <v>0</v>
      </c>
      <c r="AI269" s="924" t="e">
        <f>DATE(YEAR(tab!$H$3),MONTH(G269),DAY(G269))&gt;tab!$H$3</f>
        <v>#VALUE!</v>
      </c>
      <c r="AJ269" s="924" t="e">
        <f t="shared" si="102"/>
        <v>#VALUE!</v>
      </c>
      <c r="AK269" s="884">
        <f t="shared" si="103"/>
        <v>30</v>
      </c>
      <c r="AL269" s="884">
        <f t="shared" si="104"/>
        <v>30</v>
      </c>
      <c r="AM269" s="925">
        <f t="shared" si="105"/>
        <v>0</v>
      </c>
    </row>
    <row r="270" spans="3:39" ht="12.75" customHeight="1" x14ac:dyDescent="0.2">
      <c r="C270" s="69"/>
      <c r="D270" s="75" t="str">
        <f>IF(op!D203=0,"",op!D203)</f>
        <v/>
      </c>
      <c r="E270" s="75" t="str">
        <f>IF(op!E203=0,"-",op!E203)</f>
        <v/>
      </c>
      <c r="F270" s="88" t="str">
        <f>IF(op!F203="","",op!F203+1)</f>
        <v/>
      </c>
      <c r="G270" s="290" t="str">
        <f>IF(op!G203="","",op!G203)</f>
        <v/>
      </c>
      <c r="H270" s="88" t="str">
        <f>IF(op!H203=0,"",op!H203)</f>
        <v/>
      </c>
      <c r="I270" s="99" t="str">
        <f>IF(J270="","",(IF(op!I203+1&gt;LOOKUP(H270,schaal2019,regels2019),op!I203,op!I203+1)))</f>
        <v/>
      </c>
      <c r="J270" s="291" t="str">
        <f>IF(op!J203="","",op!J203)</f>
        <v/>
      </c>
      <c r="K270" s="971"/>
      <c r="L270" s="859">
        <f t="shared" si="106"/>
        <v>0</v>
      </c>
      <c r="M270" s="859">
        <f t="shared" si="106"/>
        <v>0</v>
      </c>
      <c r="N270" s="867" t="str">
        <f t="shared" si="94"/>
        <v/>
      </c>
      <c r="O270" s="867" t="str">
        <f t="shared" si="95"/>
        <v/>
      </c>
      <c r="P270" s="953" t="str">
        <f t="shared" si="80"/>
        <v/>
      </c>
      <c r="Q270" s="70"/>
      <c r="R270" s="739" t="str">
        <f t="shared" si="96"/>
        <v/>
      </c>
      <c r="S270" s="739" t="str">
        <f t="shared" si="81"/>
        <v/>
      </c>
      <c r="T270" s="740" t="str">
        <f t="shared" si="82"/>
        <v/>
      </c>
      <c r="U270" s="275"/>
      <c r="V270" s="288"/>
      <c r="W270" s="288"/>
      <c r="X270" s="288"/>
      <c r="Y270" s="908">
        <f t="shared" si="99"/>
        <v>0</v>
      </c>
      <c r="Z270" s="986">
        <f>tab!$D$62</f>
        <v>0.6</v>
      </c>
      <c r="AA270" s="944">
        <f t="shared" si="84"/>
        <v>0</v>
      </c>
      <c r="AB270" s="944">
        <f t="shared" si="85"/>
        <v>0</v>
      </c>
      <c r="AC270" s="944">
        <f t="shared" si="86"/>
        <v>0</v>
      </c>
      <c r="AD270" s="943" t="e">
        <f t="shared" si="87"/>
        <v>#VALUE!</v>
      </c>
      <c r="AE270" s="943">
        <f t="shared" si="88"/>
        <v>0</v>
      </c>
      <c r="AF270" s="916">
        <f>IF(H270&gt;8,tab!$D$63,tab!$D$65)</f>
        <v>0.5</v>
      </c>
      <c r="AG270" s="925">
        <f t="shared" si="100"/>
        <v>0</v>
      </c>
      <c r="AH270" s="940">
        <f t="shared" si="101"/>
        <v>0</v>
      </c>
      <c r="AI270" s="924" t="e">
        <f>DATE(YEAR(tab!$H$3),MONTH(G270),DAY(G270))&gt;tab!$H$3</f>
        <v>#VALUE!</v>
      </c>
      <c r="AJ270" s="924" t="e">
        <f t="shared" si="102"/>
        <v>#VALUE!</v>
      </c>
      <c r="AK270" s="884">
        <f t="shared" si="103"/>
        <v>30</v>
      </c>
      <c r="AL270" s="884">
        <f t="shared" si="104"/>
        <v>30</v>
      </c>
      <c r="AM270" s="925">
        <f t="shared" si="105"/>
        <v>0</v>
      </c>
    </row>
    <row r="271" spans="3:39" ht="12.75" customHeight="1" x14ac:dyDescent="0.2">
      <c r="C271" s="69"/>
      <c r="D271" s="75" t="str">
        <f>IF(op!D204=0,"",op!D204)</f>
        <v/>
      </c>
      <c r="E271" s="75" t="str">
        <f>IF(op!E204=0,"-",op!E204)</f>
        <v/>
      </c>
      <c r="F271" s="88" t="str">
        <f>IF(op!F204="","",op!F204+1)</f>
        <v/>
      </c>
      <c r="G271" s="290" t="str">
        <f>IF(op!G204="","",op!G204)</f>
        <v/>
      </c>
      <c r="H271" s="88" t="str">
        <f>IF(op!H204=0,"",op!H204)</f>
        <v/>
      </c>
      <c r="I271" s="99" t="str">
        <f>IF(J271="","",(IF(op!I204+1&gt;LOOKUP(H271,schaal2019,regels2019),op!I204,op!I204+1)))</f>
        <v/>
      </c>
      <c r="J271" s="291" t="str">
        <f>IF(op!J204="","",op!J204)</f>
        <v/>
      </c>
      <c r="K271" s="971"/>
      <c r="L271" s="859">
        <f t="shared" si="106"/>
        <v>0</v>
      </c>
      <c r="M271" s="859">
        <f t="shared" si="106"/>
        <v>0</v>
      </c>
      <c r="N271" s="867" t="str">
        <f t="shared" si="94"/>
        <v/>
      </c>
      <c r="O271" s="867" t="str">
        <f t="shared" si="95"/>
        <v/>
      </c>
      <c r="P271" s="953" t="str">
        <f t="shared" si="80"/>
        <v/>
      </c>
      <c r="Q271" s="70"/>
      <c r="R271" s="739" t="str">
        <f t="shared" si="96"/>
        <v/>
      </c>
      <c r="S271" s="739" t="str">
        <f t="shared" si="81"/>
        <v/>
      </c>
      <c r="T271" s="740" t="str">
        <f t="shared" si="82"/>
        <v/>
      </c>
      <c r="U271" s="275"/>
      <c r="V271" s="288"/>
      <c r="W271" s="288"/>
      <c r="X271" s="288"/>
      <c r="Y271" s="908">
        <f t="shared" si="99"/>
        <v>0</v>
      </c>
      <c r="Z271" s="986">
        <f>tab!$D$62</f>
        <v>0.6</v>
      </c>
      <c r="AA271" s="944">
        <f t="shared" si="84"/>
        <v>0</v>
      </c>
      <c r="AB271" s="944">
        <f t="shared" si="85"/>
        <v>0</v>
      </c>
      <c r="AC271" s="944">
        <f t="shared" si="86"/>
        <v>0</v>
      </c>
      <c r="AD271" s="943" t="e">
        <f t="shared" si="87"/>
        <v>#VALUE!</v>
      </c>
      <c r="AE271" s="943">
        <f t="shared" si="88"/>
        <v>0</v>
      </c>
      <c r="AF271" s="916">
        <f>IF(H271&gt;8,tab!$D$63,tab!$D$65)</f>
        <v>0.5</v>
      </c>
      <c r="AG271" s="925">
        <f t="shared" si="100"/>
        <v>0</v>
      </c>
      <c r="AH271" s="940">
        <f t="shared" si="101"/>
        <v>0</v>
      </c>
      <c r="AI271" s="924" t="e">
        <f>DATE(YEAR(tab!$H$3),MONTH(G271),DAY(G271))&gt;tab!$H$3</f>
        <v>#VALUE!</v>
      </c>
      <c r="AJ271" s="924" t="e">
        <f t="shared" si="102"/>
        <v>#VALUE!</v>
      </c>
      <c r="AK271" s="884">
        <f t="shared" si="103"/>
        <v>30</v>
      </c>
      <c r="AL271" s="884">
        <f t="shared" si="104"/>
        <v>30</v>
      </c>
      <c r="AM271" s="925">
        <f t="shared" si="105"/>
        <v>0</v>
      </c>
    </row>
    <row r="272" spans="3:39" ht="12.75" customHeight="1" x14ac:dyDescent="0.2">
      <c r="C272" s="69"/>
      <c r="D272" s="75" t="str">
        <f>IF(op!D205=0,"",op!D205)</f>
        <v/>
      </c>
      <c r="E272" s="75" t="str">
        <f>IF(op!E205=0,"-",op!E205)</f>
        <v/>
      </c>
      <c r="F272" s="88" t="str">
        <f>IF(op!F205="","",op!F205+1)</f>
        <v/>
      </c>
      <c r="G272" s="290" t="str">
        <f>IF(op!G205="","",op!G205)</f>
        <v/>
      </c>
      <c r="H272" s="88" t="str">
        <f>IF(op!H205=0,"",op!H205)</f>
        <v/>
      </c>
      <c r="I272" s="99" t="str">
        <f>IF(J272="","",(IF(op!I205+1&gt;LOOKUP(H272,schaal2019,regels2019),op!I205,op!I205+1)))</f>
        <v/>
      </c>
      <c r="J272" s="291" t="str">
        <f>IF(op!J205="","",op!J205)</f>
        <v/>
      </c>
      <c r="K272" s="971"/>
      <c r="L272" s="859">
        <f t="shared" si="106"/>
        <v>0</v>
      </c>
      <c r="M272" s="859">
        <f t="shared" si="106"/>
        <v>0</v>
      </c>
      <c r="N272" s="867" t="str">
        <f t="shared" si="94"/>
        <v/>
      </c>
      <c r="O272" s="867" t="str">
        <f t="shared" si="95"/>
        <v/>
      </c>
      <c r="P272" s="953" t="str">
        <f t="shared" si="80"/>
        <v/>
      </c>
      <c r="Q272" s="70"/>
      <c r="R272" s="739" t="str">
        <f t="shared" si="96"/>
        <v/>
      </c>
      <c r="S272" s="739" t="str">
        <f t="shared" si="81"/>
        <v/>
      </c>
      <c r="T272" s="740" t="str">
        <f t="shared" si="82"/>
        <v/>
      </c>
      <c r="U272" s="275"/>
      <c r="V272" s="288"/>
      <c r="W272" s="288"/>
      <c r="X272" s="288"/>
      <c r="Y272" s="908">
        <f t="shared" si="99"/>
        <v>0</v>
      </c>
      <c r="Z272" s="986">
        <f>tab!$D$62</f>
        <v>0.6</v>
      </c>
      <c r="AA272" s="944">
        <f t="shared" si="84"/>
        <v>0</v>
      </c>
      <c r="AB272" s="944">
        <f t="shared" si="85"/>
        <v>0</v>
      </c>
      <c r="AC272" s="944">
        <f t="shared" si="86"/>
        <v>0</v>
      </c>
      <c r="AD272" s="943" t="e">
        <f t="shared" si="87"/>
        <v>#VALUE!</v>
      </c>
      <c r="AE272" s="943">
        <f t="shared" si="88"/>
        <v>0</v>
      </c>
      <c r="AF272" s="916">
        <f>IF(H272&gt;8,tab!$D$63,tab!$D$65)</f>
        <v>0.5</v>
      </c>
      <c r="AG272" s="925">
        <f t="shared" si="100"/>
        <v>0</v>
      </c>
      <c r="AH272" s="940">
        <f t="shared" si="101"/>
        <v>0</v>
      </c>
      <c r="AI272" s="924" t="e">
        <f>DATE(YEAR(tab!$H$3),MONTH(G272),DAY(G272))&gt;tab!$H$3</f>
        <v>#VALUE!</v>
      </c>
      <c r="AJ272" s="924" t="e">
        <f t="shared" si="102"/>
        <v>#VALUE!</v>
      </c>
      <c r="AK272" s="884">
        <f t="shared" si="103"/>
        <v>30</v>
      </c>
      <c r="AL272" s="884">
        <f t="shared" si="104"/>
        <v>30</v>
      </c>
      <c r="AM272" s="925">
        <f t="shared" si="105"/>
        <v>0</v>
      </c>
    </row>
    <row r="273" spans="3:39" x14ac:dyDescent="0.2">
      <c r="C273" s="76"/>
      <c r="D273" s="172"/>
      <c r="E273" s="345"/>
      <c r="F273" s="345"/>
      <c r="G273" s="346"/>
      <c r="H273" s="345"/>
      <c r="I273" s="347"/>
      <c r="J273" s="755">
        <f>SUM(J218:J272)</f>
        <v>0.1</v>
      </c>
      <c r="K273" s="972"/>
      <c r="L273" s="942">
        <f>SUM(L218:L272)</f>
        <v>0</v>
      </c>
      <c r="M273" s="942">
        <f>SUM(M218:M272)</f>
        <v>0</v>
      </c>
      <c r="N273" s="942">
        <f>SUM(N218:N272)</f>
        <v>4</v>
      </c>
      <c r="O273" s="942">
        <f>SUM(O218:O272)</f>
        <v>0</v>
      </c>
      <c r="P273" s="942">
        <f>SUM(P218:P272)</f>
        <v>4</v>
      </c>
      <c r="Q273" s="172"/>
      <c r="R273" s="756">
        <f>SUM(R218:R272)</f>
        <v>7326.1945750452078</v>
      </c>
      <c r="S273" s="756">
        <f>SUM(S218:S272)</f>
        <v>181.00542495479203</v>
      </c>
      <c r="T273" s="756">
        <f>SUM(T218:T272)</f>
        <v>7507.2</v>
      </c>
      <c r="U273" s="81"/>
      <c r="Y273" s="908">
        <f>SUM(Y218:Y272)</f>
        <v>3910</v>
      </c>
      <c r="AA273" s="909"/>
      <c r="AB273" s="909">
        <f>SUM(AB218:AB272)</f>
        <v>45.251356238698008</v>
      </c>
      <c r="AC273" s="909"/>
      <c r="AF273" s="927"/>
      <c r="AG273" s="928">
        <f>SUM(AG218:AG272)</f>
        <v>0</v>
      </c>
      <c r="AH273" s="937">
        <f>SUM(AH218:AH272)</f>
        <v>0</v>
      </c>
      <c r="AI273" s="926"/>
      <c r="AJ273" s="926"/>
    </row>
    <row r="274" spans="3:39" x14ac:dyDescent="0.2">
      <c r="H274" s="127"/>
      <c r="K274" s="973"/>
      <c r="Q274" s="209"/>
      <c r="R274" s="348"/>
      <c r="S274" s="328"/>
      <c r="Y274" s="881"/>
      <c r="AA274" s="909"/>
      <c r="AB274" s="909"/>
      <c r="AC274" s="909"/>
      <c r="AF274" s="927"/>
      <c r="AG274" s="928"/>
      <c r="AH274" s="937"/>
    </row>
    <row r="277" spans="3:39" x14ac:dyDescent="0.2">
      <c r="C277" s="48" t="s">
        <v>165</v>
      </c>
      <c r="E277" s="327" t="str">
        <f>dir!E101</f>
        <v>2023/24</v>
      </c>
    </row>
    <row r="278" spans="3:39" x14ac:dyDescent="0.2">
      <c r="C278" s="48" t="s">
        <v>187</v>
      </c>
      <c r="E278" s="327">
        <f>dir!E102</f>
        <v>45200</v>
      </c>
    </row>
    <row r="280" spans="3:39" x14ac:dyDescent="0.2">
      <c r="C280" s="341"/>
      <c r="D280" s="724"/>
      <c r="E280" s="723"/>
      <c r="F280" s="704"/>
      <c r="G280" s="725"/>
      <c r="H280" s="726"/>
      <c r="I280" s="726"/>
      <c r="J280" s="727"/>
      <c r="K280" s="967"/>
      <c r="L280" s="816"/>
      <c r="M280" s="816"/>
      <c r="N280" s="816"/>
      <c r="O280" s="816"/>
      <c r="P280" s="950"/>
      <c r="Q280" s="728"/>
      <c r="R280" s="728"/>
      <c r="S280" s="728"/>
      <c r="T280" s="729"/>
      <c r="U280" s="710"/>
    </row>
    <row r="281" spans="3:39" x14ac:dyDescent="0.2">
      <c r="C281" s="135"/>
      <c r="D281" s="864" t="s">
        <v>298</v>
      </c>
      <c r="E281" s="865"/>
      <c r="F281" s="865"/>
      <c r="G281" s="865"/>
      <c r="H281" s="866"/>
      <c r="I281" s="866"/>
      <c r="J281" s="866"/>
      <c r="K281" s="968"/>
      <c r="L281" s="864" t="s">
        <v>492</v>
      </c>
      <c r="M281" s="858"/>
      <c r="N281" s="864"/>
      <c r="O281" s="864"/>
      <c r="P281" s="951"/>
      <c r="Q281" s="730"/>
      <c r="R281" s="864" t="s">
        <v>494</v>
      </c>
      <c r="S281" s="866"/>
      <c r="T281" s="935"/>
      <c r="U281" s="746"/>
      <c r="Y281" s="882"/>
      <c r="Z281" s="913"/>
      <c r="AD281" s="912"/>
      <c r="AE281" s="912"/>
      <c r="AF281" s="913"/>
      <c r="AG281" s="933"/>
      <c r="AH281" s="941"/>
      <c r="AI281" s="923"/>
      <c r="AJ281" s="923"/>
      <c r="AK281" s="923"/>
      <c r="AL281" s="923"/>
      <c r="AM281" s="923"/>
    </row>
    <row r="282" spans="3:39" x14ac:dyDescent="0.2">
      <c r="C282" s="135"/>
      <c r="D282" s="693" t="s">
        <v>480</v>
      </c>
      <c r="E282" s="693" t="s">
        <v>171</v>
      </c>
      <c r="F282" s="732" t="s">
        <v>119</v>
      </c>
      <c r="G282" s="733" t="s">
        <v>289</v>
      </c>
      <c r="H282" s="732" t="s">
        <v>201</v>
      </c>
      <c r="I282" s="732" t="s">
        <v>229</v>
      </c>
      <c r="J282" s="734" t="s">
        <v>122</v>
      </c>
      <c r="K282" s="969"/>
      <c r="L282" s="735" t="s">
        <v>475</v>
      </c>
      <c r="M282" s="735" t="s">
        <v>468</v>
      </c>
      <c r="N282" s="735" t="s">
        <v>482</v>
      </c>
      <c r="O282" s="735" t="s">
        <v>475</v>
      </c>
      <c r="P282" s="952" t="s">
        <v>487</v>
      </c>
      <c r="Q282" s="702"/>
      <c r="R282" s="863" t="s">
        <v>186</v>
      </c>
      <c r="S282" s="737" t="s">
        <v>493</v>
      </c>
      <c r="T282" s="738" t="s">
        <v>186</v>
      </c>
      <c r="U282" s="747"/>
      <c r="Y282" s="914" t="s">
        <v>322</v>
      </c>
      <c r="Z282" s="960" t="s">
        <v>479</v>
      </c>
      <c r="AA282" s="903" t="s">
        <v>488</v>
      </c>
      <c r="AB282" s="903" t="s">
        <v>488</v>
      </c>
      <c r="AC282" s="903" t="s">
        <v>491</v>
      </c>
      <c r="AD282" s="915" t="s">
        <v>473</v>
      </c>
      <c r="AE282" s="915" t="s">
        <v>474</v>
      </c>
      <c r="AF282" s="902" t="s">
        <v>470</v>
      </c>
      <c r="AG282" s="934" t="s">
        <v>306</v>
      </c>
      <c r="AH282" s="941" t="s">
        <v>415</v>
      </c>
      <c r="AI282" s="902" t="s">
        <v>292</v>
      </c>
      <c r="AJ282" s="902" t="s">
        <v>293</v>
      </c>
      <c r="AK282" s="902" t="s">
        <v>121</v>
      </c>
      <c r="AL282" s="902" t="s">
        <v>198</v>
      </c>
      <c r="AM282" s="915" t="s">
        <v>173</v>
      </c>
    </row>
    <row r="283" spans="3:39" x14ac:dyDescent="0.2">
      <c r="C283" s="135"/>
      <c r="D283" s="865"/>
      <c r="E283" s="693"/>
      <c r="F283" s="732" t="s">
        <v>120</v>
      </c>
      <c r="G283" s="733" t="s">
        <v>290</v>
      </c>
      <c r="H283" s="732"/>
      <c r="I283" s="732"/>
      <c r="J283" s="734"/>
      <c r="K283" s="969"/>
      <c r="L283" s="735" t="s">
        <v>476</v>
      </c>
      <c r="M283" s="735" t="s">
        <v>478</v>
      </c>
      <c r="N283" s="735" t="s">
        <v>483</v>
      </c>
      <c r="O283" s="735" t="s">
        <v>477</v>
      </c>
      <c r="P283" s="952" t="s">
        <v>284</v>
      </c>
      <c r="Q283" s="702"/>
      <c r="R283" s="706" t="s">
        <v>485</v>
      </c>
      <c r="S283" s="737" t="s">
        <v>469</v>
      </c>
      <c r="T283" s="738" t="s">
        <v>284</v>
      </c>
      <c r="U283" s="710"/>
      <c r="Y283" s="914" t="s">
        <v>193</v>
      </c>
      <c r="Z283" s="961">
        <f>tab!$D$62</f>
        <v>0.6</v>
      </c>
      <c r="AA283" s="903" t="s">
        <v>489</v>
      </c>
      <c r="AB283" s="903" t="s">
        <v>490</v>
      </c>
      <c r="AC283" s="903" t="s">
        <v>486</v>
      </c>
      <c r="AD283" s="915" t="s">
        <v>472</v>
      </c>
      <c r="AE283" s="915" t="s">
        <v>472</v>
      </c>
      <c r="AF283" s="902" t="s">
        <v>471</v>
      </c>
      <c r="AG283" s="934"/>
      <c r="AH283" s="940" t="s">
        <v>228</v>
      </c>
      <c r="AI283" s="915" t="s">
        <v>291</v>
      </c>
      <c r="AJ283" s="915" t="s">
        <v>291</v>
      </c>
      <c r="AK283" s="902"/>
      <c r="AL283" s="902" t="s">
        <v>173</v>
      </c>
      <c r="AM283" s="915"/>
    </row>
    <row r="284" spans="3:39" x14ac:dyDescent="0.2">
      <c r="C284" s="69"/>
      <c r="D284" s="865"/>
      <c r="E284" s="865"/>
      <c r="F284" s="703"/>
      <c r="G284" s="748"/>
      <c r="H284" s="732"/>
      <c r="I284" s="732"/>
      <c r="J284" s="734"/>
      <c r="K284" s="970"/>
      <c r="L284" s="735"/>
      <c r="M284" s="735"/>
      <c r="N284" s="735"/>
      <c r="O284" s="735"/>
      <c r="P284" s="952"/>
      <c r="Q284" s="865"/>
      <c r="R284" s="749"/>
      <c r="S284" s="749"/>
      <c r="T284" s="750"/>
      <c r="U284" s="710"/>
      <c r="Y284" s="914"/>
      <c r="Z284" s="901"/>
      <c r="AA284" s="901"/>
      <c r="AB284" s="901"/>
      <c r="AC284" s="901"/>
      <c r="AD284" s="915"/>
      <c r="AE284" s="915"/>
      <c r="AF284" s="901"/>
      <c r="AG284" s="934"/>
      <c r="AH284" s="940"/>
      <c r="AM284" s="915"/>
    </row>
    <row r="285" spans="3:39" x14ac:dyDescent="0.2">
      <c r="C285" s="69"/>
      <c r="D285" s="75" t="str">
        <f>IF(op!D218=0,"",op!D218)</f>
        <v/>
      </c>
      <c r="E285" s="75" t="str">
        <f>IF(op!E218=0,"-",op!E218)</f>
        <v>nn</v>
      </c>
      <c r="F285" s="88">
        <f>IF(op!F218="","",op!F218+1)</f>
        <v>29</v>
      </c>
      <c r="G285" s="290">
        <f>IF(op!G218="","",op!G218)</f>
        <v>27395</v>
      </c>
      <c r="H285" s="88" t="str">
        <f>IF(op!H218=0,"",op!H218)</f>
        <v>L10</v>
      </c>
      <c r="I285" s="99">
        <f>IF(J285="","",(IF(op!I218+1&gt;LOOKUP(H285,schaal2019,regels2019),op!I218,op!I218+1)))</f>
        <v>15</v>
      </c>
      <c r="J285" s="291">
        <f>IF(op!J218="","",op!J218)</f>
        <v>0.1</v>
      </c>
      <c r="K285" s="971"/>
      <c r="L285" s="859">
        <f t="shared" ref="L285:M304" si="107">IF(L218="","",L218)</f>
        <v>0</v>
      </c>
      <c r="M285" s="859">
        <f t="shared" si="107"/>
        <v>0</v>
      </c>
      <c r="N285" s="867">
        <f>IF(J285="","",IF((J285*40)&gt;40,40,((J285*40))))</f>
        <v>4</v>
      </c>
      <c r="O285" s="867">
        <f>IF(J285="","",IF(I285&lt;4,(40*J285),0))</f>
        <v>0</v>
      </c>
      <c r="P285" s="953">
        <f t="shared" ref="P285:P339" si="108">IF(J285="","",(SUM(L285:O285)))</f>
        <v>4</v>
      </c>
      <c r="Q285" s="70"/>
      <c r="R285" s="739">
        <f>IF(J285="","",(((1659*J285)-P285)*AB285))</f>
        <v>7326.1945750452078</v>
      </c>
      <c r="S285" s="739">
        <f t="shared" ref="S285:S339" si="109">IF(J285="","",(P285*AC285)+(AA285*AD285)+((AE285*AA285*(1-AF285))))</f>
        <v>181.00542495479203</v>
      </c>
      <c r="T285" s="740">
        <f t="shared" ref="T285:T339" si="110">IF(J285="","",(R285+S285))</f>
        <v>7507.2</v>
      </c>
      <c r="U285" s="275"/>
      <c r="V285" s="288"/>
      <c r="W285" s="288"/>
      <c r="X285" s="288"/>
      <c r="Y285" s="908">
        <f t="shared" ref="Y285:Y316" si="111">IF(H285="",0,VLOOKUP(H285,salaris2020,I285+1,FALSE))</f>
        <v>3910</v>
      </c>
      <c r="Z285" s="986">
        <f>tab!$D$62</f>
        <v>0.6</v>
      </c>
      <c r="AA285" s="944">
        <f t="shared" ref="AA285:AA340" si="112">(Y285*12/1659)</f>
        <v>28.282097649186255</v>
      </c>
      <c r="AB285" s="944">
        <f t="shared" ref="AB285:AB339" si="113">(Y285*12*(1+Z285))/1659</f>
        <v>45.251356238698008</v>
      </c>
      <c r="AC285" s="944">
        <f t="shared" ref="AC285:AC340" si="114">AB285-AA285</f>
        <v>16.969258589511753</v>
      </c>
      <c r="AD285" s="943">
        <f t="shared" ref="AD285:AD339" si="115">(N285+O285)</f>
        <v>4</v>
      </c>
      <c r="AE285" s="943">
        <f t="shared" ref="AE285:AE339" si="116">(L285+M285)</f>
        <v>0</v>
      </c>
      <c r="AF285" s="916">
        <f>IF(H285&gt;8,tab!$D$63,tab!$D$65)</f>
        <v>0.5</v>
      </c>
      <c r="AG285" s="925">
        <f t="shared" ref="AG285:AG339" si="117">IF(F285&lt;25,0,IF(F285=25,25,IF(F285&lt;40,0,IF(F285=40,40,IF(F285&gt;=40,0)))))</f>
        <v>0</v>
      </c>
      <c r="AH285" s="940">
        <f t="shared" ref="AH285:AH339" si="118">IF(AG285=25,(Y285*1.08*(J285)/2),IF(AG285=40,(Y285*1.08*(J285)),IF(AG285=0,0)))</f>
        <v>0</v>
      </c>
      <c r="AI285" s="924" t="b">
        <f>DATE(YEAR(tab!$H$3),MONTH(G285),DAY(G285))&gt;tab!$H$3</f>
        <v>0</v>
      </c>
      <c r="AJ285" s="925">
        <f>YEAR($E$278)-YEAR(G285)-AI285</f>
        <v>48</v>
      </c>
      <c r="AK285" s="884">
        <f t="shared" ref="AK285:AK339" si="119">IF((G285=""),30,AJ285)</f>
        <v>48</v>
      </c>
      <c r="AL285" s="884">
        <f>IF((AK285)&gt;50,50,(AK285))</f>
        <v>48</v>
      </c>
      <c r="AM285" s="925">
        <f t="shared" ref="AM285:AM316" si="120">ROUND((AL285*(SUM(J285:J285))),2)</f>
        <v>4.8</v>
      </c>
    </row>
    <row r="286" spans="3:39" x14ac:dyDescent="0.2">
      <c r="C286" s="69"/>
      <c r="D286" s="75" t="str">
        <f>IF(op!D219=0,"",op!D219)</f>
        <v/>
      </c>
      <c r="E286" s="75" t="str">
        <f>IF(op!E219=0,"-",op!E219)</f>
        <v/>
      </c>
      <c r="F286" s="88" t="str">
        <f>IF(op!F219="","",op!F219+1)</f>
        <v/>
      </c>
      <c r="G286" s="290" t="str">
        <f>IF(op!G219="","",op!G219)</f>
        <v/>
      </c>
      <c r="H286" s="88" t="str">
        <f>IF(op!H219=0,"",op!H219)</f>
        <v/>
      </c>
      <c r="I286" s="99" t="str">
        <f>IF(J286="","",(IF(op!I219+1&gt;LOOKUP(H286,schaal2019,regels2019),op!I219,op!I219+1)))</f>
        <v/>
      </c>
      <c r="J286" s="291" t="str">
        <f>IF(op!J219="","",op!J219)</f>
        <v/>
      </c>
      <c r="K286" s="971"/>
      <c r="L286" s="859">
        <f t="shared" si="107"/>
        <v>0</v>
      </c>
      <c r="M286" s="859">
        <f t="shared" si="107"/>
        <v>0</v>
      </c>
      <c r="N286" s="867" t="str">
        <f t="shared" ref="N286:N339" si="121">IF(J286="","",IF((J286*40)&gt;40,40,((J286*40))))</f>
        <v/>
      </c>
      <c r="O286" s="867" t="str">
        <f t="shared" ref="O286:O339" si="122">IF(J286="","",IF(I286&lt;4,(40*J286),0))</f>
        <v/>
      </c>
      <c r="P286" s="953" t="str">
        <f t="shared" si="108"/>
        <v/>
      </c>
      <c r="Q286" s="70"/>
      <c r="R286" s="739" t="str">
        <f t="shared" ref="R286:R339" si="123">IF(J286="","",(((1659*J286)-P286)*AB286))</f>
        <v/>
      </c>
      <c r="S286" s="739" t="str">
        <f t="shared" si="109"/>
        <v/>
      </c>
      <c r="T286" s="740" t="str">
        <f t="shared" si="110"/>
        <v/>
      </c>
      <c r="U286" s="275"/>
      <c r="V286" s="288"/>
      <c r="W286" s="288"/>
      <c r="X286" s="288"/>
      <c r="Y286" s="908">
        <f t="shared" si="111"/>
        <v>0</v>
      </c>
      <c r="Z286" s="986">
        <f>tab!$D$62</f>
        <v>0.6</v>
      </c>
      <c r="AA286" s="944">
        <f t="shared" si="112"/>
        <v>0</v>
      </c>
      <c r="AB286" s="944">
        <f t="shared" si="113"/>
        <v>0</v>
      </c>
      <c r="AC286" s="944">
        <f t="shared" si="114"/>
        <v>0</v>
      </c>
      <c r="AD286" s="943" t="e">
        <f t="shared" si="115"/>
        <v>#VALUE!</v>
      </c>
      <c r="AE286" s="943">
        <f t="shared" si="116"/>
        <v>0</v>
      </c>
      <c r="AF286" s="916">
        <f>IF(H286&gt;8,tab!$D$63,tab!$D$65)</f>
        <v>0.5</v>
      </c>
      <c r="AG286" s="925">
        <f t="shared" si="117"/>
        <v>0</v>
      </c>
      <c r="AH286" s="940">
        <f t="shared" si="118"/>
        <v>0</v>
      </c>
      <c r="AI286" s="924" t="e">
        <f>DATE(YEAR(tab!$H$3),MONTH(G286),DAY(G286))&gt;tab!$H$3</f>
        <v>#VALUE!</v>
      </c>
      <c r="AJ286" s="924" t="e">
        <f t="shared" ref="AJ286:AJ339" si="124">YEAR($E$211)-YEAR(G286)-AI286</f>
        <v>#VALUE!</v>
      </c>
      <c r="AK286" s="884">
        <f t="shared" si="119"/>
        <v>30</v>
      </c>
      <c r="AL286" s="884">
        <f t="shared" ref="AL286:AL339" si="125">IF((AK286)&gt;50,50,(AK286))</f>
        <v>30</v>
      </c>
      <c r="AM286" s="925">
        <f t="shared" si="120"/>
        <v>0</v>
      </c>
    </row>
    <row r="287" spans="3:39" x14ac:dyDescent="0.2">
      <c r="C287" s="69"/>
      <c r="D287" s="75" t="str">
        <f>IF(op!D220=0,"",op!D220)</f>
        <v/>
      </c>
      <c r="E287" s="75" t="str">
        <f>IF(op!E220=0,"-",op!E220)</f>
        <v/>
      </c>
      <c r="F287" s="88" t="str">
        <f>IF(op!F220="","",op!F220+1)</f>
        <v/>
      </c>
      <c r="G287" s="290" t="str">
        <f>IF(op!G220="","",op!G220)</f>
        <v/>
      </c>
      <c r="H287" s="88" t="str">
        <f>IF(op!H220=0,"",op!H220)</f>
        <v/>
      </c>
      <c r="I287" s="99" t="str">
        <f>IF(J287="","",(IF(op!I220+1&gt;LOOKUP(H287,schaal2019,regels2019),op!I220,op!I220+1)))</f>
        <v/>
      </c>
      <c r="J287" s="291" t="str">
        <f>IF(op!J220="","",op!J220)</f>
        <v/>
      </c>
      <c r="K287" s="971"/>
      <c r="L287" s="859">
        <f t="shared" si="107"/>
        <v>0</v>
      </c>
      <c r="M287" s="859">
        <f t="shared" si="107"/>
        <v>0</v>
      </c>
      <c r="N287" s="867" t="str">
        <f t="shared" si="121"/>
        <v/>
      </c>
      <c r="O287" s="867" t="str">
        <f t="shared" si="122"/>
        <v/>
      </c>
      <c r="P287" s="953" t="str">
        <f t="shared" si="108"/>
        <v/>
      </c>
      <c r="Q287" s="70"/>
      <c r="R287" s="739" t="str">
        <f t="shared" si="123"/>
        <v/>
      </c>
      <c r="S287" s="739" t="str">
        <f t="shared" si="109"/>
        <v/>
      </c>
      <c r="T287" s="740" t="str">
        <f t="shared" si="110"/>
        <v/>
      </c>
      <c r="U287" s="275"/>
      <c r="V287" s="288"/>
      <c r="W287" s="288"/>
      <c r="X287" s="288"/>
      <c r="Y287" s="908">
        <f t="shared" si="111"/>
        <v>0</v>
      </c>
      <c r="Z287" s="986">
        <f>tab!$D$62</f>
        <v>0.6</v>
      </c>
      <c r="AA287" s="944">
        <f t="shared" si="112"/>
        <v>0</v>
      </c>
      <c r="AB287" s="944">
        <f t="shared" si="113"/>
        <v>0</v>
      </c>
      <c r="AC287" s="944">
        <f t="shared" si="114"/>
        <v>0</v>
      </c>
      <c r="AD287" s="943" t="e">
        <f t="shared" si="115"/>
        <v>#VALUE!</v>
      </c>
      <c r="AE287" s="943">
        <f t="shared" si="116"/>
        <v>0</v>
      </c>
      <c r="AF287" s="916">
        <f>IF(H287&gt;8,tab!$D$63,tab!$D$65)</f>
        <v>0.5</v>
      </c>
      <c r="AG287" s="925">
        <f t="shared" si="117"/>
        <v>0</v>
      </c>
      <c r="AH287" s="940">
        <f t="shared" si="118"/>
        <v>0</v>
      </c>
      <c r="AI287" s="924" t="e">
        <f>DATE(YEAR(tab!$H$3),MONTH(G287),DAY(G287))&gt;tab!$H$3</f>
        <v>#VALUE!</v>
      </c>
      <c r="AJ287" s="924" t="e">
        <f t="shared" si="124"/>
        <v>#VALUE!</v>
      </c>
      <c r="AK287" s="884">
        <f t="shared" si="119"/>
        <v>30</v>
      </c>
      <c r="AL287" s="884">
        <f t="shared" si="125"/>
        <v>30</v>
      </c>
      <c r="AM287" s="925">
        <f t="shared" si="120"/>
        <v>0</v>
      </c>
    </row>
    <row r="288" spans="3:39" x14ac:dyDescent="0.2">
      <c r="C288" s="69"/>
      <c r="D288" s="75" t="str">
        <f>IF(op!D221=0,"",op!D221)</f>
        <v/>
      </c>
      <c r="E288" s="75" t="str">
        <f>IF(op!E221=0,"-",op!E221)</f>
        <v/>
      </c>
      <c r="F288" s="88" t="str">
        <f>IF(op!F221="","",op!F221+1)</f>
        <v/>
      </c>
      <c r="G288" s="290" t="str">
        <f>IF(op!G221="","",op!G221)</f>
        <v/>
      </c>
      <c r="H288" s="88" t="str">
        <f>IF(op!H221=0,"",op!H221)</f>
        <v/>
      </c>
      <c r="I288" s="99" t="str">
        <f>IF(J288="","",(IF(op!I221+1&gt;LOOKUP(H288,schaal2019,regels2019),op!I221,op!I221+1)))</f>
        <v/>
      </c>
      <c r="J288" s="291" t="str">
        <f>IF(op!J221="","",op!J221)</f>
        <v/>
      </c>
      <c r="K288" s="971"/>
      <c r="L288" s="859">
        <f t="shared" si="107"/>
        <v>0</v>
      </c>
      <c r="M288" s="859">
        <f t="shared" si="107"/>
        <v>0</v>
      </c>
      <c r="N288" s="867" t="str">
        <f t="shared" si="121"/>
        <v/>
      </c>
      <c r="O288" s="867" t="str">
        <f t="shared" si="122"/>
        <v/>
      </c>
      <c r="P288" s="953" t="str">
        <f t="shared" si="108"/>
        <v/>
      </c>
      <c r="Q288" s="70"/>
      <c r="R288" s="739" t="str">
        <f t="shared" si="123"/>
        <v/>
      </c>
      <c r="S288" s="739" t="str">
        <f t="shared" si="109"/>
        <v/>
      </c>
      <c r="T288" s="740" t="str">
        <f t="shared" si="110"/>
        <v/>
      </c>
      <c r="U288" s="275"/>
      <c r="V288" s="288"/>
      <c r="W288" s="288"/>
      <c r="X288" s="288"/>
      <c r="Y288" s="908">
        <f t="shared" si="111"/>
        <v>0</v>
      </c>
      <c r="Z288" s="986">
        <f>tab!$D$62</f>
        <v>0.6</v>
      </c>
      <c r="AA288" s="944">
        <f t="shared" si="112"/>
        <v>0</v>
      </c>
      <c r="AB288" s="944">
        <f t="shared" si="113"/>
        <v>0</v>
      </c>
      <c r="AC288" s="944">
        <f t="shared" si="114"/>
        <v>0</v>
      </c>
      <c r="AD288" s="943" t="e">
        <f t="shared" si="115"/>
        <v>#VALUE!</v>
      </c>
      <c r="AE288" s="943">
        <f t="shared" si="116"/>
        <v>0</v>
      </c>
      <c r="AF288" s="916">
        <f>IF(H288&gt;8,tab!$D$63,tab!$D$65)</f>
        <v>0.5</v>
      </c>
      <c r="AG288" s="925">
        <f t="shared" si="117"/>
        <v>0</v>
      </c>
      <c r="AH288" s="940">
        <f t="shared" si="118"/>
        <v>0</v>
      </c>
      <c r="AI288" s="924" t="e">
        <f>DATE(YEAR(tab!$H$3),MONTH(G288),DAY(G288))&gt;tab!$H$3</f>
        <v>#VALUE!</v>
      </c>
      <c r="AJ288" s="924" t="e">
        <f t="shared" si="124"/>
        <v>#VALUE!</v>
      </c>
      <c r="AK288" s="884">
        <f t="shared" si="119"/>
        <v>30</v>
      </c>
      <c r="AL288" s="884">
        <f t="shared" si="125"/>
        <v>30</v>
      </c>
      <c r="AM288" s="925">
        <f t="shared" si="120"/>
        <v>0</v>
      </c>
    </row>
    <row r="289" spans="3:39" x14ac:dyDescent="0.2">
      <c r="C289" s="69"/>
      <c r="D289" s="75" t="str">
        <f>IF(op!D222=0,"",op!D222)</f>
        <v/>
      </c>
      <c r="E289" s="75" t="str">
        <f>IF(op!E222=0,"-",op!E222)</f>
        <v/>
      </c>
      <c r="F289" s="88" t="str">
        <f>IF(op!F222="","",op!F222+1)</f>
        <v/>
      </c>
      <c r="G289" s="290" t="str">
        <f>IF(op!G222="","",op!G222)</f>
        <v/>
      </c>
      <c r="H289" s="88" t="str">
        <f>IF(op!H222=0,"",op!H222)</f>
        <v/>
      </c>
      <c r="I289" s="99" t="str">
        <f>IF(J289="","",(IF(op!I222+1&gt;LOOKUP(H289,schaal2019,regels2019),op!I222,op!I222+1)))</f>
        <v/>
      </c>
      <c r="J289" s="291" t="str">
        <f>IF(op!J222="","",op!J222)</f>
        <v/>
      </c>
      <c r="K289" s="971"/>
      <c r="L289" s="859">
        <f t="shared" si="107"/>
        <v>0</v>
      </c>
      <c r="M289" s="859">
        <f t="shared" si="107"/>
        <v>0</v>
      </c>
      <c r="N289" s="867" t="str">
        <f t="shared" si="121"/>
        <v/>
      </c>
      <c r="O289" s="867" t="str">
        <f t="shared" si="122"/>
        <v/>
      </c>
      <c r="P289" s="953" t="str">
        <f t="shared" si="108"/>
        <v/>
      </c>
      <c r="Q289" s="70"/>
      <c r="R289" s="739" t="str">
        <f t="shared" si="123"/>
        <v/>
      </c>
      <c r="S289" s="739" t="str">
        <f t="shared" si="109"/>
        <v/>
      </c>
      <c r="T289" s="740" t="str">
        <f t="shared" si="110"/>
        <v/>
      </c>
      <c r="U289" s="275"/>
      <c r="V289" s="288"/>
      <c r="W289" s="288"/>
      <c r="X289" s="288"/>
      <c r="Y289" s="908">
        <f t="shared" si="111"/>
        <v>0</v>
      </c>
      <c r="Z289" s="986">
        <f>tab!$D$62</f>
        <v>0.6</v>
      </c>
      <c r="AA289" s="944">
        <f t="shared" si="112"/>
        <v>0</v>
      </c>
      <c r="AB289" s="944">
        <f t="shared" si="113"/>
        <v>0</v>
      </c>
      <c r="AC289" s="944">
        <f t="shared" si="114"/>
        <v>0</v>
      </c>
      <c r="AD289" s="943" t="e">
        <f t="shared" si="115"/>
        <v>#VALUE!</v>
      </c>
      <c r="AE289" s="943">
        <f t="shared" si="116"/>
        <v>0</v>
      </c>
      <c r="AF289" s="916">
        <f>IF(H289&gt;8,tab!$D$63,tab!$D$65)</f>
        <v>0.5</v>
      </c>
      <c r="AG289" s="925">
        <f t="shared" si="117"/>
        <v>0</v>
      </c>
      <c r="AH289" s="940">
        <f t="shared" si="118"/>
        <v>0</v>
      </c>
      <c r="AI289" s="924" t="e">
        <f>DATE(YEAR(tab!$H$3),MONTH(G289),DAY(G289))&gt;tab!$H$3</f>
        <v>#VALUE!</v>
      </c>
      <c r="AJ289" s="924" t="e">
        <f t="shared" si="124"/>
        <v>#VALUE!</v>
      </c>
      <c r="AK289" s="884">
        <f t="shared" si="119"/>
        <v>30</v>
      </c>
      <c r="AL289" s="884">
        <f t="shared" si="125"/>
        <v>30</v>
      </c>
      <c r="AM289" s="925">
        <f t="shared" si="120"/>
        <v>0</v>
      </c>
    </row>
    <row r="290" spans="3:39" x14ac:dyDescent="0.2">
      <c r="C290" s="69"/>
      <c r="D290" s="75" t="str">
        <f>IF(op!D223=0,"",op!D223)</f>
        <v/>
      </c>
      <c r="E290" s="75" t="str">
        <f>IF(op!E223=0,"-",op!E223)</f>
        <v/>
      </c>
      <c r="F290" s="88" t="str">
        <f>IF(op!F223="","",op!F223+1)</f>
        <v/>
      </c>
      <c r="G290" s="290" t="str">
        <f>IF(op!G223="","",op!G223)</f>
        <v/>
      </c>
      <c r="H290" s="88" t="str">
        <f>IF(op!H223=0,"",op!H223)</f>
        <v/>
      </c>
      <c r="I290" s="99" t="str">
        <f>IF(J290="","",(IF(op!I223+1&gt;LOOKUP(H290,schaal2019,regels2019),op!I223,op!I223+1)))</f>
        <v/>
      </c>
      <c r="J290" s="291" t="str">
        <f>IF(op!J223="","",op!J223)</f>
        <v/>
      </c>
      <c r="K290" s="971"/>
      <c r="L290" s="859">
        <f t="shared" si="107"/>
        <v>0</v>
      </c>
      <c r="M290" s="859">
        <f t="shared" si="107"/>
        <v>0</v>
      </c>
      <c r="N290" s="867" t="str">
        <f t="shared" si="121"/>
        <v/>
      </c>
      <c r="O290" s="867" t="str">
        <f t="shared" si="122"/>
        <v/>
      </c>
      <c r="P290" s="953" t="str">
        <f t="shared" si="108"/>
        <v/>
      </c>
      <c r="Q290" s="70"/>
      <c r="R290" s="739" t="str">
        <f t="shared" si="123"/>
        <v/>
      </c>
      <c r="S290" s="739" t="str">
        <f t="shared" si="109"/>
        <v/>
      </c>
      <c r="T290" s="740" t="str">
        <f t="shared" si="110"/>
        <v/>
      </c>
      <c r="U290" s="275"/>
      <c r="V290" s="288"/>
      <c r="W290" s="288"/>
      <c r="X290" s="288"/>
      <c r="Y290" s="908">
        <f t="shared" si="111"/>
        <v>0</v>
      </c>
      <c r="Z290" s="986">
        <f>tab!$D$62</f>
        <v>0.6</v>
      </c>
      <c r="AA290" s="944">
        <f t="shared" si="112"/>
        <v>0</v>
      </c>
      <c r="AB290" s="944">
        <f t="shared" si="113"/>
        <v>0</v>
      </c>
      <c r="AC290" s="944">
        <f t="shared" si="114"/>
        <v>0</v>
      </c>
      <c r="AD290" s="943" t="e">
        <f t="shared" si="115"/>
        <v>#VALUE!</v>
      </c>
      <c r="AE290" s="943">
        <f t="shared" si="116"/>
        <v>0</v>
      </c>
      <c r="AF290" s="916">
        <f>IF(H290&gt;8,tab!$D$63,tab!$D$65)</f>
        <v>0.5</v>
      </c>
      <c r="AG290" s="925">
        <f t="shared" si="117"/>
        <v>0</v>
      </c>
      <c r="AH290" s="940">
        <f t="shared" si="118"/>
        <v>0</v>
      </c>
      <c r="AI290" s="924" t="e">
        <f>DATE(YEAR(tab!$H$3),MONTH(G290),DAY(G290))&gt;tab!$H$3</f>
        <v>#VALUE!</v>
      </c>
      <c r="AJ290" s="924" t="e">
        <f t="shared" si="124"/>
        <v>#VALUE!</v>
      </c>
      <c r="AK290" s="884">
        <f t="shared" si="119"/>
        <v>30</v>
      </c>
      <c r="AL290" s="884">
        <f t="shared" si="125"/>
        <v>30</v>
      </c>
      <c r="AM290" s="925">
        <f t="shared" si="120"/>
        <v>0</v>
      </c>
    </row>
    <row r="291" spans="3:39" x14ac:dyDescent="0.2">
      <c r="C291" s="69"/>
      <c r="D291" s="75" t="str">
        <f>IF(op!D224=0,"",op!D224)</f>
        <v/>
      </c>
      <c r="E291" s="75" t="str">
        <f>IF(op!E224=0,"-",op!E224)</f>
        <v/>
      </c>
      <c r="F291" s="88" t="str">
        <f>IF(op!F224="","",op!F224+1)</f>
        <v/>
      </c>
      <c r="G291" s="290" t="str">
        <f>IF(op!G224="","",op!G224)</f>
        <v/>
      </c>
      <c r="H291" s="88" t="str">
        <f>IF(op!H224=0,"",op!H224)</f>
        <v/>
      </c>
      <c r="I291" s="99" t="str">
        <f>IF(J291="","",(IF(op!I224+1&gt;LOOKUP(H291,schaal2019,regels2019),op!I224,op!I224+1)))</f>
        <v/>
      </c>
      <c r="J291" s="291" t="str">
        <f>IF(op!J224="","",op!J224)</f>
        <v/>
      </c>
      <c r="K291" s="971"/>
      <c r="L291" s="859">
        <f t="shared" si="107"/>
        <v>0</v>
      </c>
      <c r="M291" s="859">
        <f t="shared" si="107"/>
        <v>0</v>
      </c>
      <c r="N291" s="867" t="str">
        <f t="shared" si="121"/>
        <v/>
      </c>
      <c r="O291" s="867" t="str">
        <f t="shared" si="122"/>
        <v/>
      </c>
      <c r="P291" s="953" t="str">
        <f t="shared" si="108"/>
        <v/>
      </c>
      <c r="Q291" s="70"/>
      <c r="R291" s="739" t="str">
        <f t="shared" si="123"/>
        <v/>
      </c>
      <c r="S291" s="739" t="str">
        <f t="shared" si="109"/>
        <v/>
      </c>
      <c r="T291" s="740" t="str">
        <f t="shared" si="110"/>
        <v/>
      </c>
      <c r="U291" s="275"/>
      <c r="V291" s="288"/>
      <c r="W291" s="288"/>
      <c r="X291" s="288"/>
      <c r="Y291" s="908">
        <f t="shared" si="111"/>
        <v>0</v>
      </c>
      <c r="Z291" s="986">
        <f>tab!$D$62</f>
        <v>0.6</v>
      </c>
      <c r="AA291" s="944">
        <f t="shared" si="112"/>
        <v>0</v>
      </c>
      <c r="AB291" s="944">
        <f t="shared" si="113"/>
        <v>0</v>
      </c>
      <c r="AC291" s="944">
        <f t="shared" si="114"/>
        <v>0</v>
      </c>
      <c r="AD291" s="943" t="e">
        <f t="shared" si="115"/>
        <v>#VALUE!</v>
      </c>
      <c r="AE291" s="943">
        <f t="shared" si="116"/>
        <v>0</v>
      </c>
      <c r="AF291" s="916">
        <f>IF(H291&gt;8,tab!$D$63,tab!$D$65)</f>
        <v>0.5</v>
      </c>
      <c r="AG291" s="925">
        <f t="shared" si="117"/>
        <v>0</v>
      </c>
      <c r="AH291" s="940">
        <f t="shared" si="118"/>
        <v>0</v>
      </c>
      <c r="AI291" s="924" t="e">
        <f>DATE(YEAR(tab!$H$3),MONTH(G291),DAY(G291))&gt;tab!$H$3</f>
        <v>#VALUE!</v>
      </c>
      <c r="AJ291" s="924" t="e">
        <f t="shared" si="124"/>
        <v>#VALUE!</v>
      </c>
      <c r="AK291" s="884">
        <f t="shared" si="119"/>
        <v>30</v>
      </c>
      <c r="AL291" s="884">
        <f t="shared" si="125"/>
        <v>30</v>
      </c>
      <c r="AM291" s="925">
        <f t="shared" si="120"/>
        <v>0</v>
      </c>
    </row>
    <row r="292" spans="3:39" x14ac:dyDescent="0.2">
      <c r="C292" s="69"/>
      <c r="D292" s="75" t="str">
        <f>IF(op!D225=0,"",op!D225)</f>
        <v/>
      </c>
      <c r="E292" s="75" t="str">
        <f>IF(op!E225=0,"-",op!E225)</f>
        <v/>
      </c>
      <c r="F292" s="88" t="str">
        <f>IF(op!F225="","",op!F225+1)</f>
        <v/>
      </c>
      <c r="G292" s="290" t="str">
        <f>IF(op!G225="","",op!G225)</f>
        <v/>
      </c>
      <c r="H292" s="88" t="str">
        <f>IF(op!H225=0,"",op!H225)</f>
        <v/>
      </c>
      <c r="I292" s="99" t="str">
        <f>IF(J292="","",(IF(op!I225+1&gt;LOOKUP(H292,schaal2019,regels2019),op!I225,op!I225+1)))</f>
        <v/>
      </c>
      <c r="J292" s="291" t="str">
        <f>IF(op!J225="","",op!J225)</f>
        <v/>
      </c>
      <c r="K292" s="971"/>
      <c r="L292" s="859">
        <f t="shared" si="107"/>
        <v>0</v>
      </c>
      <c r="M292" s="859">
        <f t="shared" si="107"/>
        <v>0</v>
      </c>
      <c r="N292" s="867" t="str">
        <f t="shared" si="121"/>
        <v/>
      </c>
      <c r="O292" s="867" t="str">
        <f t="shared" si="122"/>
        <v/>
      </c>
      <c r="P292" s="953" t="str">
        <f t="shared" si="108"/>
        <v/>
      </c>
      <c r="Q292" s="70"/>
      <c r="R292" s="739" t="str">
        <f t="shared" si="123"/>
        <v/>
      </c>
      <c r="S292" s="739" t="str">
        <f t="shared" si="109"/>
        <v/>
      </c>
      <c r="T292" s="740" t="str">
        <f t="shared" si="110"/>
        <v/>
      </c>
      <c r="U292" s="275"/>
      <c r="V292" s="288"/>
      <c r="W292" s="288"/>
      <c r="X292" s="288"/>
      <c r="Y292" s="908">
        <f t="shared" si="111"/>
        <v>0</v>
      </c>
      <c r="Z292" s="986">
        <f>tab!$D$62</f>
        <v>0.6</v>
      </c>
      <c r="AA292" s="944">
        <f t="shared" si="112"/>
        <v>0</v>
      </c>
      <c r="AB292" s="944">
        <f t="shared" si="113"/>
        <v>0</v>
      </c>
      <c r="AC292" s="944">
        <f t="shared" si="114"/>
        <v>0</v>
      </c>
      <c r="AD292" s="943" t="e">
        <f t="shared" si="115"/>
        <v>#VALUE!</v>
      </c>
      <c r="AE292" s="943">
        <f t="shared" si="116"/>
        <v>0</v>
      </c>
      <c r="AF292" s="916">
        <f>IF(H292&gt;8,tab!$D$63,tab!$D$65)</f>
        <v>0.5</v>
      </c>
      <c r="AG292" s="925">
        <f t="shared" si="117"/>
        <v>0</v>
      </c>
      <c r="AH292" s="940">
        <f t="shared" si="118"/>
        <v>0</v>
      </c>
      <c r="AI292" s="924" t="e">
        <f>DATE(YEAR(tab!$H$3),MONTH(G292),DAY(G292))&gt;tab!$H$3</f>
        <v>#VALUE!</v>
      </c>
      <c r="AJ292" s="924" t="e">
        <f t="shared" si="124"/>
        <v>#VALUE!</v>
      </c>
      <c r="AK292" s="884">
        <f t="shared" si="119"/>
        <v>30</v>
      </c>
      <c r="AL292" s="884">
        <f t="shared" si="125"/>
        <v>30</v>
      </c>
      <c r="AM292" s="925">
        <f t="shared" si="120"/>
        <v>0</v>
      </c>
    </row>
    <row r="293" spans="3:39" x14ac:dyDescent="0.2">
      <c r="C293" s="69"/>
      <c r="D293" s="75" t="str">
        <f>IF(op!D226=0,"",op!D226)</f>
        <v/>
      </c>
      <c r="E293" s="75" t="str">
        <f>IF(op!E226=0,"-",op!E226)</f>
        <v/>
      </c>
      <c r="F293" s="88" t="str">
        <f>IF(op!F226="","",op!F226+1)</f>
        <v/>
      </c>
      <c r="G293" s="290" t="str">
        <f>IF(op!G226="","",op!G226)</f>
        <v/>
      </c>
      <c r="H293" s="88" t="str">
        <f>IF(op!H226=0,"",op!H226)</f>
        <v/>
      </c>
      <c r="I293" s="99" t="str">
        <f>IF(J293="","",(IF(op!I226+1&gt;LOOKUP(H293,schaal2019,regels2019),op!I226,op!I226+1)))</f>
        <v/>
      </c>
      <c r="J293" s="291" t="str">
        <f>IF(op!J226="","",op!J226)</f>
        <v/>
      </c>
      <c r="K293" s="971"/>
      <c r="L293" s="859">
        <f t="shared" si="107"/>
        <v>0</v>
      </c>
      <c r="M293" s="859">
        <f t="shared" si="107"/>
        <v>0</v>
      </c>
      <c r="N293" s="867" t="str">
        <f t="shared" si="121"/>
        <v/>
      </c>
      <c r="O293" s="867" t="str">
        <f t="shared" si="122"/>
        <v/>
      </c>
      <c r="P293" s="953" t="str">
        <f t="shared" si="108"/>
        <v/>
      </c>
      <c r="Q293" s="70"/>
      <c r="R293" s="739" t="str">
        <f t="shared" si="123"/>
        <v/>
      </c>
      <c r="S293" s="739" t="str">
        <f t="shared" si="109"/>
        <v/>
      </c>
      <c r="T293" s="740" t="str">
        <f t="shared" si="110"/>
        <v/>
      </c>
      <c r="U293" s="275"/>
      <c r="V293" s="288"/>
      <c r="W293" s="288"/>
      <c r="X293" s="288"/>
      <c r="Y293" s="908">
        <f t="shared" si="111"/>
        <v>0</v>
      </c>
      <c r="Z293" s="986">
        <f>tab!$D$62</f>
        <v>0.6</v>
      </c>
      <c r="AA293" s="944">
        <f t="shared" si="112"/>
        <v>0</v>
      </c>
      <c r="AB293" s="944">
        <f t="shared" si="113"/>
        <v>0</v>
      </c>
      <c r="AC293" s="944">
        <f t="shared" si="114"/>
        <v>0</v>
      </c>
      <c r="AD293" s="943" t="e">
        <f t="shared" si="115"/>
        <v>#VALUE!</v>
      </c>
      <c r="AE293" s="943">
        <f t="shared" si="116"/>
        <v>0</v>
      </c>
      <c r="AF293" s="916">
        <f>IF(H293&gt;8,tab!$D$63,tab!$D$65)</f>
        <v>0.5</v>
      </c>
      <c r="AG293" s="925">
        <f t="shared" si="117"/>
        <v>0</v>
      </c>
      <c r="AH293" s="940">
        <f t="shared" si="118"/>
        <v>0</v>
      </c>
      <c r="AI293" s="924" t="e">
        <f>DATE(YEAR(tab!$H$3),MONTH(G293),DAY(G293))&gt;tab!$H$3</f>
        <v>#VALUE!</v>
      </c>
      <c r="AJ293" s="924" t="e">
        <f t="shared" si="124"/>
        <v>#VALUE!</v>
      </c>
      <c r="AK293" s="884">
        <f t="shared" si="119"/>
        <v>30</v>
      </c>
      <c r="AL293" s="884">
        <f t="shared" si="125"/>
        <v>30</v>
      </c>
      <c r="AM293" s="925">
        <f t="shared" si="120"/>
        <v>0</v>
      </c>
    </row>
    <row r="294" spans="3:39" x14ac:dyDescent="0.2">
      <c r="C294" s="69"/>
      <c r="D294" s="75" t="str">
        <f>IF(op!D227=0,"",op!D227)</f>
        <v/>
      </c>
      <c r="E294" s="75" t="str">
        <f>IF(op!E227=0,"-",op!E227)</f>
        <v/>
      </c>
      <c r="F294" s="88" t="str">
        <f>IF(op!F227="","",op!F227+1)</f>
        <v/>
      </c>
      <c r="G294" s="290" t="str">
        <f>IF(op!G227="","",op!G227)</f>
        <v/>
      </c>
      <c r="H294" s="88" t="str">
        <f>IF(op!H227=0,"",op!H227)</f>
        <v/>
      </c>
      <c r="I294" s="99" t="str">
        <f>IF(J294="","",(IF(op!I227+1&gt;LOOKUP(H294,schaal2019,regels2019),op!I227,op!I227+1)))</f>
        <v/>
      </c>
      <c r="J294" s="291" t="str">
        <f>IF(op!J227="","",op!J227)</f>
        <v/>
      </c>
      <c r="K294" s="971"/>
      <c r="L294" s="859">
        <f t="shared" si="107"/>
        <v>0</v>
      </c>
      <c r="M294" s="859">
        <f t="shared" si="107"/>
        <v>0</v>
      </c>
      <c r="N294" s="867" t="str">
        <f t="shared" si="121"/>
        <v/>
      </c>
      <c r="O294" s="867" t="str">
        <f t="shared" si="122"/>
        <v/>
      </c>
      <c r="P294" s="953" t="str">
        <f t="shared" si="108"/>
        <v/>
      </c>
      <c r="Q294" s="70"/>
      <c r="R294" s="739" t="str">
        <f t="shared" si="123"/>
        <v/>
      </c>
      <c r="S294" s="739" t="str">
        <f t="shared" si="109"/>
        <v/>
      </c>
      <c r="T294" s="740" t="str">
        <f t="shared" si="110"/>
        <v/>
      </c>
      <c r="U294" s="275"/>
      <c r="V294" s="288"/>
      <c r="W294" s="288"/>
      <c r="X294" s="288"/>
      <c r="Y294" s="908">
        <f t="shared" si="111"/>
        <v>0</v>
      </c>
      <c r="Z294" s="986">
        <f>tab!$D$62</f>
        <v>0.6</v>
      </c>
      <c r="AA294" s="944">
        <f t="shared" si="112"/>
        <v>0</v>
      </c>
      <c r="AB294" s="944">
        <f t="shared" si="113"/>
        <v>0</v>
      </c>
      <c r="AC294" s="944">
        <f t="shared" si="114"/>
        <v>0</v>
      </c>
      <c r="AD294" s="943" t="e">
        <f t="shared" si="115"/>
        <v>#VALUE!</v>
      </c>
      <c r="AE294" s="943">
        <f t="shared" si="116"/>
        <v>0</v>
      </c>
      <c r="AF294" s="916">
        <f>IF(H294&gt;8,tab!$D$63,tab!$D$65)</f>
        <v>0.5</v>
      </c>
      <c r="AG294" s="925">
        <f t="shared" si="117"/>
        <v>0</v>
      </c>
      <c r="AH294" s="940">
        <f t="shared" si="118"/>
        <v>0</v>
      </c>
      <c r="AI294" s="924" t="e">
        <f>DATE(YEAR(tab!$H$3),MONTH(G294),DAY(G294))&gt;tab!$H$3</f>
        <v>#VALUE!</v>
      </c>
      <c r="AJ294" s="924" t="e">
        <f t="shared" si="124"/>
        <v>#VALUE!</v>
      </c>
      <c r="AK294" s="884">
        <f t="shared" si="119"/>
        <v>30</v>
      </c>
      <c r="AL294" s="884">
        <f t="shared" si="125"/>
        <v>30</v>
      </c>
      <c r="AM294" s="925">
        <f t="shared" si="120"/>
        <v>0</v>
      </c>
    </row>
    <row r="295" spans="3:39" x14ac:dyDescent="0.2">
      <c r="C295" s="69"/>
      <c r="D295" s="75" t="str">
        <f>IF(op!D228=0,"",op!D228)</f>
        <v/>
      </c>
      <c r="E295" s="75" t="str">
        <f>IF(op!E228=0,"-",op!E228)</f>
        <v/>
      </c>
      <c r="F295" s="88" t="str">
        <f>IF(op!F228="","",op!F228+1)</f>
        <v/>
      </c>
      <c r="G295" s="290" t="str">
        <f>IF(op!G228="","",op!G228)</f>
        <v/>
      </c>
      <c r="H295" s="88" t="str">
        <f>IF(op!H228=0,"",op!H228)</f>
        <v/>
      </c>
      <c r="I295" s="99" t="str">
        <f>IF(J295="","",(IF(op!I228+1&gt;LOOKUP(H295,schaal2019,regels2019),op!I228,op!I228+1)))</f>
        <v/>
      </c>
      <c r="J295" s="291" t="str">
        <f>IF(op!J228="","",op!J228)</f>
        <v/>
      </c>
      <c r="K295" s="971"/>
      <c r="L295" s="859">
        <f t="shared" si="107"/>
        <v>0</v>
      </c>
      <c r="M295" s="859">
        <f t="shared" si="107"/>
        <v>0</v>
      </c>
      <c r="N295" s="867" t="str">
        <f t="shared" si="121"/>
        <v/>
      </c>
      <c r="O295" s="867" t="str">
        <f t="shared" si="122"/>
        <v/>
      </c>
      <c r="P295" s="953" t="str">
        <f t="shared" si="108"/>
        <v/>
      </c>
      <c r="Q295" s="70"/>
      <c r="R295" s="739" t="str">
        <f t="shared" si="123"/>
        <v/>
      </c>
      <c r="S295" s="739" t="str">
        <f t="shared" si="109"/>
        <v/>
      </c>
      <c r="T295" s="740" t="str">
        <f t="shared" si="110"/>
        <v/>
      </c>
      <c r="U295" s="275"/>
      <c r="V295" s="288"/>
      <c r="W295" s="288"/>
      <c r="X295" s="288"/>
      <c r="Y295" s="908">
        <f t="shared" si="111"/>
        <v>0</v>
      </c>
      <c r="Z295" s="986">
        <f>tab!$D$62</f>
        <v>0.6</v>
      </c>
      <c r="AA295" s="944">
        <f t="shared" si="112"/>
        <v>0</v>
      </c>
      <c r="AB295" s="944">
        <f t="shared" si="113"/>
        <v>0</v>
      </c>
      <c r="AC295" s="944">
        <f t="shared" si="114"/>
        <v>0</v>
      </c>
      <c r="AD295" s="943" t="e">
        <f t="shared" si="115"/>
        <v>#VALUE!</v>
      </c>
      <c r="AE295" s="943">
        <f t="shared" si="116"/>
        <v>0</v>
      </c>
      <c r="AF295" s="916">
        <f>IF(H295&gt;8,tab!$D$63,tab!$D$65)</f>
        <v>0.5</v>
      </c>
      <c r="AG295" s="925">
        <f t="shared" si="117"/>
        <v>0</v>
      </c>
      <c r="AH295" s="940">
        <f t="shared" si="118"/>
        <v>0</v>
      </c>
      <c r="AI295" s="924" t="e">
        <f>DATE(YEAR(tab!$H$3),MONTH(G295),DAY(G295))&gt;tab!$H$3</f>
        <v>#VALUE!</v>
      </c>
      <c r="AJ295" s="924" t="e">
        <f t="shared" si="124"/>
        <v>#VALUE!</v>
      </c>
      <c r="AK295" s="884">
        <f t="shared" si="119"/>
        <v>30</v>
      </c>
      <c r="AL295" s="884">
        <f t="shared" si="125"/>
        <v>30</v>
      </c>
      <c r="AM295" s="925">
        <f t="shared" si="120"/>
        <v>0</v>
      </c>
    </row>
    <row r="296" spans="3:39" x14ac:dyDescent="0.2">
      <c r="C296" s="69"/>
      <c r="D296" s="75" t="str">
        <f>IF(op!D229=0,"",op!D229)</f>
        <v/>
      </c>
      <c r="E296" s="75" t="str">
        <f>IF(op!E229=0,"-",op!E229)</f>
        <v/>
      </c>
      <c r="F296" s="88" t="str">
        <f>IF(op!F229="","",op!F229+1)</f>
        <v/>
      </c>
      <c r="G296" s="290" t="str">
        <f>IF(op!G229="","",op!G229)</f>
        <v/>
      </c>
      <c r="H296" s="88" t="str">
        <f>IF(op!H229=0,"",op!H229)</f>
        <v/>
      </c>
      <c r="I296" s="99" t="str">
        <f>IF(J296="","",(IF(op!I229+1&gt;LOOKUP(H296,schaal2019,regels2019),op!I229,op!I229+1)))</f>
        <v/>
      </c>
      <c r="J296" s="291" t="str">
        <f>IF(op!J229="","",op!J229)</f>
        <v/>
      </c>
      <c r="K296" s="971"/>
      <c r="L296" s="859">
        <f t="shared" si="107"/>
        <v>0</v>
      </c>
      <c r="M296" s="859">
        <f t="shared" si="107"/>
        <v>0</v>
      </c>
      <c r="N296" s="867" t="str">
        <f t="shared" si="121"/>
        <v/>
      </c>
      <c r="O296" s="867" t="str">
        <f t="shared" si="122"/>
        <v/>
      </c>
      <c r="P296" s="953" t="str">
        <f t="shared" si="108"/>
        <v/>
      </c>
      <c r="Q296" s="70"/>
      <c r="R296" s="739" t="str">
        <f t="shared" si="123"/>
        <v/>
      </c>
      <c r="S296" s="739" t="str">
        <f t="shared" si="109"/>
        <v/>
      </c>
      <c r="T296" s="740" t="str">
        <f t="shared" si="110"/>
        <v/>
      </c>
      <c r="U296" s="275"/>
      <c r="V296" s="288"/>
      <c r="W296" s="288"/>
      <c r="X296" s="288"/>
      <c r="Y296" s="908">
        <f t="shared" si="111"/>
        <v>0</v>
      </c>
      <c r="Z296" s="986">
        <f>tab!$D$62</f>
        <v>0.6</v>
      </c>
      <c r="AA296" s="944">
        <f t="shared" si="112"/>
        <v>0</v>
      </c>
      <c r="AB296" s="944">
        <f t="shared" si="113"/>
        <v>0</v>
      </c>
      <c r="AC296" s="944">
        <f t="shared" si="114"/>
        <v>0</v>
      </c>
      <c r="AD296" s="943" t="e">
        <f t="shared" si="115"/>
        <v>#VALUE!</v>
      </c>
      <c r="AE296" s="943">
        <f t="shared" si="116"/>
        <v>0</v>
      </c>
      <c r="AF296" s="916">
        <f>IF(H296&gt;8,tab!$D$63,tab!$D$65)</f>
        <v>0.5</v>
      </c>
      <c r="AG296" s="925">
        <f t="shared" si="117"/>
        <v>0</v>
      </c>
      <c r="AH296" s="940">
        <f t="shared" si="118"/>
        <v>0</v>
      </c>
      <c r="AI296" s="924" t="e">
        <f>DATE(YEAR(tab!$H$3),MONTH(G296),DAY(G296))&gt;tab!$H$3</f>
        <v>#VALUE!</v>
      </c>
      <c r="AJ296" s="924" t="e">
        <f t="shared" si="124"/>
        <v>#VALUE!</v>
      </c>
      <c r="AK296" s="884">
        <f t="shared" si="119"/>
        <v>30</v>
      </c>
      <c r="AL296" s="884">
        <f t="shared" si="125"/>
        <v>30</v>
      </c>
      <c r="AM296" s="925">
        <f t="shared" si="120"/>
        <v>0</v>
      </c>
    </row>
    <row r="297" spans="3:39" x14ac:dyDescent="0.2">
      <c r="C297" s="69"/>
      <c r="D297" s="75" t="str">
        <f>IF(op!D230=0,"",op!D230)</f>
        <v/>
      </c>
      <c r="E297" s="75" t="str">
        <f>IF(op!E230=0,"-",op!E230)</f>
        <v/>
      </c>
      <c r="F297" s="88" t="str">
        <f>IF(op!F230="","",op!F230+1)</f>
        <v/>
      </c>
      <c r="G297" s="290" t="str">
        <f>IF(op!G230="","",op!G230)</f>
        <v/>
      </c>
      <c r="H297" s="88" t="str">
        <f>IF(op!H230=0,"",op!H230)</f>
        <v/>
      </c>
      <c r="I297" s="99" t="str">
        <f>IF(J297="","",(IF(op!I230+1&gt;LOOKUP(H297,schaal2019,regels2019),op!I230,op!I230+1)))</f>
        <v/>
      </c>
      <c r="J297" s="291" t="str">
        <f>IF(op!J230="","",op!J230)</f>
        <v/>
      </c>
      <c r="K297" s="971"/>
      <c r="L297" s="859">
        <f t="shared" si="107"/>
        <v>0</v>
      </c>
      <c r="M297" s="859">
        <f t="shared" si="107"/>
        <v>0</v>
      </c>
      <c r="N297" s="867" t="str">
        <f t="shared" si="121"/>
        <v/>
      </c>
      <c r="O297" s="867" t="str">
        <f t="shared" si="122"/>
        <v/>
      </c>
      <c r="P297" s="953" t="str">
        <f t="shared" si="108"/>
        <v/>
      </c>
      <c r="Q297" s="70"/>
      <c r="R297" s="739" t="str">
        <f t="shared" si="123"/>
        <v/>
      </c>
      <c r="S297" s="739" t="str">
        <f t="shared" si="109"/>
        <v/>
      </c>
      <c r="T297" s="740" t="str">
        <f t="shared" si="110"/>
        <v/>
      </c>
      <c r="U297" s="275"/>
      <c r="V297" s="288"/>
      <c r="W297" s="288"/>
      <c r="X297" s="288"/>
      <c r="Y297" s="908">
        <f t="shared" si="111"/>
        <v>0</v>
      </c>
      <c r="Z297" s="986">
        <f>tab!$D$62</f>
        <v>0.6</v>
      </c>
      <c r="AA297" s="944">
        <f t="shared" si="112"/>
        <v>0</v>
      </c>
      <c r="AB297" s="944">
        <f t="shared" si="113"/>
        <v>0</v>
      </c>
      <c r="AC297" s="944">
        <f t="shared" si="114"/>
        <v>0</v>
      </c>
      <c r="AD297" s="943" t="e">
        <f t="shared" si="115"/>
        <v>#VALUE!</v>
      </c>
      <c r="AE297" s="943">
        <f t="shared" si="116"/>
        <v>0</v>
      </c>
      <c r="AF297" s="916">
        <f>IF(H297&gt;8,tab!$D$63,tab!$D$65)</f>
        <v>0.5</v>
      </c>
      <c r="AG297" s="925">
        <f t="shared" si="117"/>
        <v>0</v>
      </c>
      <c r="AH297" s="940">
        <f t="shared" si="118"/>
        <v>0</v>
      </c>
      <c r="AI297" s="924" t="e">
        <f>DATE(YEAR(tab!$H$3),MONTH(G297),DAY(G297))&gt;tab!$H$3</f>
        <v>#VALUE!</v>
      </c>
      <c r="AJ297" s="924" t="e">
        <f t="shared" si="124"/>
        <v>#VALUE!</v>
      </c>
      <c r="AK297" s="884">
        <f t="shared" si="119"/>
        <v>30</v>
      </c>
      <c r="AL297" s="884">
        <f t="shared" si="125"/>
        <v>30</v>
      </c>
      <c r="AM297" s="925">
        <f t="shared" si="120"/>
        <v>0</v>
      </c>
    </row>
    <row r="298" spans="3:39" x14ac:dyDescent="0.2">
      <c r="C298" s="69"/>
      <c r="D298" s="75" t="str">
        <f>IF(op!D231=0,"",op!D231)</f>
        <v/>
      </c>
      <c r="E298" s="75" t="str">
        <f>IF(op!E231=0,"-",op!E231)</f>
        <v/>
      </c>
      <c r="F298" s="88" t="str">
        <f>IF(op!F231="","",op!F231+1)</f>
        <v/>
      </c>
      <c r="G298" s="290" t="str">
        <f>IF(op!G231="","",op!G231)</f>
        <v/>
      </c>
      <c r="H298" s="88" t="str">
        <f>IF(op!H231=0,"",op!H231)</f>
        <v/>
      </c>
      <c r="I298" s="99" t="str">
        <f>IF(J298="","",(IF(op!I231+1&gt;LOOKUP(H298,schaal2019,regels2019),op!I231,op!I231+1)))</f>
        <v/>
      </c>
      <c r="J298" s="291" t="str">
        <f>IF(op!J231="","",op!J231)</f>
        <v/>
      </c>
      <c r="K298" s="971"/>
      <c r="L298" s="859">
        <f t="shared" si="107"/>
        <v>0</v>
      </c>
      <c r="M298" s="859">
        <f t="shared" si="107"/>
        <v>0</v>
      </c>
      <c r="N298" s="867" t="str">
        <f t="shared" si="121"/>
        <v/>
      </c>
      <c r="O298" s="867" t="str">
        <f t="shared" si="122"/>
        <v/>
      </c>
      <c r="P298" s="953" t="str">
        <f t="shared" si="108"/>
        <v/>
      </c>
      <c r="Q298" s="70"/>
      <c r="R298" s="739" t="str">
        <f t="shared" si="123"/>
        <v/>
      </c>
      <c r="S298" s="739" t="str">
        <f t="shared" si="109"/>
        <v/>
      </c>
      <c r="T298" s="740" t="str">
        <f t="shared" si="110"/>
        <v/>
      </c>
      <c r="U298" s="275"/>
      <c r="V298" s="288"/>
      <c r="W298" s="288"/>
      <c r="X298" s="288"/>
      <c r="Y298" s="908">
        <f t="shared" si="111"/>
        <v>0</v>
      </c>
      <c r="Z298" s="986">
        <f>tab!$D$62</f>
        <v>0.6</v>
      </c>
      <c r="AA298" s="944">
        <f t="shared" si="112"/>
        <v>0</v>
      </c>
      <c r="AB298" s="944">
        <f t="shared" si="113"/>
        <v>0</v>
      </c>
      <c r="AC298" s="944">
        <f t="shared" si="114"/>
        <v>0</v>
      </c>
      <c r="AD298" s="943" t="e">
        <f t="shared" si="115"/>
        <v>#VALUE!</v>
      </c>
      <c r="AE298" s="943">
        <f t="shared" si="116"/>
        <v>0</v>
      </c>
      <c r="AF298" s="916">
        <f>IF(H298&gt;8,tab!$D$63,tab!$D$65)</f>
        <v>0.5</v>
      </c>
      <c r="AG298" s="925">
        <f t="shared" si="117"/>
        <v>0</v>
      </c>
      <c r="AH298" s="940">
        <f t="shared" si="118"/>
        <v>0</v>
      </c>
      <c r="AI298" s="924" t="e">
        <f>DATE(YEAR(tab!$H$3),MONTH(G298),DAY(G298))&gt;tab!$H$3</f>
        <v>#VALUE!</v>
      </c>
      <c r="AJ298" s="924" t="e">
        <f t="shared" si="124"/>
        <v>#VALUE!</v>
      </c>
      <c r="AK298" s="884">
        <f t="shared" si="119"/>
        <v>30</v>
      </c>
      <c r="AL298" s="884">
        <f t="shared" si="125"/>
        <v>30</v>
      </c>
      <c r="AM298" s="925">
        <f t="shared" si="120"/>
        <v>0</v>
      </c>
    </row>
    <row r="299" spans="3:39" x14ac:dyDescent="0.2">
      <c r="C299" s="69"/>
      <c r="D299" s="75" t="str">
        <f>IF(op!D232=0,"",op!D232)</f>
        <v/>
      </c>
      <c r="E299" s="75" t="str">
        <f>IF(op!E232=0,"-",op!E232)</f>
        <v/>
      </c>
      <c r="F299" s="88" t="str">
        <f>IF(op!F232="","",op!F232+1)</f>
        <v/>
      </c>
      <c r="G299" s="290" t="str">
        <f>IF(op!G232="","",op!G232)</f>
        <v/>
      </c>
      <c r="H299" s="88" t="str">
        <f>IF(op!H232=0,"",op!H232)</f>
        <v/>
      </c>
      <c r="I299" s="99" t="str">
        <f>IF(J299="","",(IF(op!I232+1&gt;LOOKUP(H299,schaal2019,regels2019),op!I232,op!I232+1)))</f>
        <v/>
      </c>
      <c r="J299" s="291" t="str">
        <f>IF(op!J232="","",op!J232)</f>
        <v/>
      </c>
      <c r="K299" s="971"/>
      <c r="L299" s="859">
        <f t="shared" si="107"/>
        <v>0</v>
      </c>
      <c r="M299" s="859">
        <f t="shared" si="107"/>
        <v>0</v>
      </c>
      <c r="N299" s="867" t="str">
        <f t="shared" si="121"/>
        <v/>
      </c>
      <c r="O299" s="867" t="str">
        <f t="shared" si="122"/>
        <v/>
      </c>
      <c r="P299" s="953" t="str">
        <f t="shared" si="108"/>
        <v/>
      </c>
      <c r="Q299" s="70"/>
      <c r="R299" s="739" t="str">
        <f t="shared" si="123"/>
        <v/>
      </c>
      <c r="S299" s="739" t="str">
        <f t="shared" si="109"/>
        <v/>
      </c>
      <c r="T299" s="740" t="str">
        <f t="shared" si="110"/>
        <v/>
      </c>
      <c r="U299" s="275"/>
      <c r="V299" s="288"/>
      <c r="W299" s="288"/>
      <c r="X299" s="288"/>
      <c r="Y299" s="908">
        <f t="shared" si="111"/>
        <v>0</v>
      </c>
      <c r="Z299" s="986">
        <f>tab!$D$62</f>
        <v>0.6</v>
      </c>
      <c r="AA299" s="944">
        <f t="shared" si="112"/>
        <v>0</v>
      </c>
      <c r="AB299" s="944">
        <f t="shared" si="113"/>
        <v>0</v>
      </c>
      <c r="AC299" s="944">
        <f t="shared" si="114"/>
        <v>0</v>
      </c>
      <c r="AD299" s="943" t="e">
        <f t="shared" si="115"/>
        <v>#VALUE!</v>
      </c>
      <c r="AE299" s="943">
        <f t="shared" si="116"/>
        <v>0</v>
      </c>
      <c r="AF299" s="916">
        <f>IF(H299&gt;8,tab!$D$63,tab!$D$65)</f>
        <v>0.5</v>
      </c>
      <c r="AG299" s="925">
        <f t="shared" si="117"/>
        <v>0</v>
      </c>
      <c r="AH299" s="940">
        <f t="shared" si="118"/>
        <v>0</v>
      </c>
      <c r="AI299" s="924" t="e">
        <f>DATE(YEAR(tab!$H$3),MONTH(G299),DAY(G299))&gt;tab!$H$3</f>
        <v>#VALUE!</v>
      </c>
      <c r="AJ299" s="924" t="e">
        <f t="shared" si="124"/>
        <v>#VALUE!</v>
      </c>
      <c r="AK299" s="884">
        <f t="shared" si="119"/>
        <v>30</v>
      </c>
      <c r="AL299" s="884">
        <f t="shared" si="125"/>
        <v>30</v>
      </c>
      <c r="AM299" s="925">
        <f t="shared" si="120"/>
        <v>0</v>
      </c>
    </row>
    <row r="300" spans="3:39" x14ac:dyDescent="0.2">
      <c r="C300" s="69"/>
      <c r="D300" s="75" t="str">
        <f>IF(op!D233=0,"",op!D233)</f>
        <v/>
      </c>
      <c r="E300" s="75" t="str">
        <f>IF(op!E233=0,"-",op!E233)</f>
        <v/>
      </c>
      <c r="F300" s="88" t="str">
        <f>IF(op!F233="","",op!F233+1)</f>
        <v/>
      </c>
      <c r="G300" s="290" t="str">
        <f>IF(op!G233="","",op!G233)</f>
        <v/>
      </c>
      <c r="H300" s="88" t="str">
        <f>IF(op!H233=0,"",op!H233)</f>
        <v/>
      </c>
      <c r="I300" s="99" t="str">
        <f>IF(J300="","",(IF(op!I233+1&gt;LOOKUP(H300,schaal2019,regels2019),op!I233,op!I233+1)))</f>
        <v/>
      </c>
      <c r="J300" s="291" t="str">
        <f>IF(op!J233="","",op!J233)</f>
        <v/>
      </c>
      <c r="K300" s="971"/>
      <c r="L300" s="859">
        <f t="shared" si="107"/>
        <v>0</v>
      </c>
      <c r="M300" s="859">
        <f t="shared" si="107"/>
        <v>0</v>
      </c>
      <c r="N300" s="867" t="str">
        <f t="shared" si="121"/>
        <v/>
      </c>
      <c r="O300" s="867" t="str">
        <f t="shared" si="122"/>
        <v/>
      </c>
      <c r="P300" s="953" t="str">
        <f t="shared" si="108"/>
        <v/>
      </c>
      <c r="Q300" s="70"/>
      <c r="R300" s="739" t="str">
        <f t="shared" si="123"/>
        <v/>
      </c>
      <c r="S300" s="739" t="str">
        <f t="shared" si="109"/>
        <v/>
      </c>
      <c r="T300" s="740" t="str">
        <f t="shared" si="110"/>
        <v/>
      </c>
      <c r="U300" s="275"/>
      <c r="V300" s="288"/>
      <c r="W300" s="288"/>
      <c r="X300" s="288"/>
      <c r="Y300" s="908">
        <f t="shared" si="111"/>
        <v>0</v>
      </c>
      <c r="Z300" s="986">
        <f>tab!$D$62</f>
        <v>0.6</v>
      </c>
      <c r="AA300" s="944">
        <f t="shared" si="112"/>
        <v>0</v>
      </c>
      <c r="AB300" s="944">
        <f t="shared" si="113"/>
        <v>0</v>
      </c>
      <c r="AC300" s="944">
        <f t="shared" si="114"/>
        <v>0</v>
      </c>
      <c r="AD300" s="943" t="e">
        <f t="shared" si="115"/>
        <v>#VALUE!</v>
      </c>
      <c r="AE300" s="943">
        <f t="shared" si="116"/>
        <v>0</v>
      </c>
      <c r="AF300" s="916">
        <f>IF(H300&gt;8,tab!$D$63,tab!$D$65)</f>
        <v>0.5</v>
      </c>
      <c r="AG300" s="925">
        <f t="shared" si="117"/>
        <v>0</v>
      </c>
      <c r="AH300" s="940">
        <f t="shared" si="118"/>
        <v>0</v>
      </c>
      <c r="AI300" s="924" t="e">
        <f>DATE(YEAR(tab!$H$3),MONTH(G300),DAY(G300))&gt;tab!$H$3</f>
        <v>#VALUE!</v>
      </c>
      <c r="AJ300" s="924" t="e">
        <f t="shared" si="124"/>
        <v>#VALUE!</v>
      </c>
      <c r="AK300" s="884">
        <f t="shared" si="119"/>
        <v>30</v>
      </c>
      <c r="AL300" s="884">
        <f t="shared" si="125"/>
        <v>30</v>
      </c>
      <c r="AM300" s="925">
        <f t="shared" si="120"/>
        <v>0</v>
      </c>
    </row>
    <row r="301" spans="3:39" x14ac:dyDescent="0.2">
      <c r="C301" s="69"/>
      <c r="D301" s="75" t="str">
        <f>IF(op!D234=0,"",op!D234)</f>
        <v/>
      </c>
      <c r="E301" s="75" t="str">
        <f>IF(op!E234=0,"-",op!E234)</f>
        <v/>
      </c>
      <c r="F301" s="88" t="str">
        <f>IF(op!F234="","",op!F234+1)</f>
        <v/>
      </c>
      <c r="G301" s="290" t="str">
        <f>IF(op!G234="","",op!G234)</f>
        <v/>
      </c>
      <c r="H301" s="88" t="str">
        <f>IF(op!H234=0,"",op!H234)</f>
        <v/>
      </c>
      <c r="I301" s="99" t="str">
        <f>IF(J301="","",(IF(op!I234+1&gt;LOOKUP(H301,schaal2019,regels2019),op!I234,op!I234+1)))</f>
        <v/>
      </c>
      <c r="J301" s="291" t="str">
        <f>IF(op!J234="","",op!J234)</f>
        <v/>
      </c>
      <c r="K301" s="971"/>
      <c r="L301" s="859">
        <f t="shared" si="107"/>
        <v>0</v>
      </c>
      <c r="M301" s="859">
        <f t="shared" si="107"/>
        <v>0</v>
      </c>
      <c r="N301" s="867" t="str">
        <f t="shared" si="121"/>
        <v/>
      </c>
      <c r="O301" s="867" t="str">
        <f t="shared" si="122"/>
        <v/>
      </c>
      <c r="P301" s="953" t="str">
        <f t="shared" si="108"/>
        <v/>
      </c>
      <c r="Q301" s="70"/>
      <c r="R301" s="739" t="str">
        <f t="shared" si="123"/>
        <v/>
      </c>
      <c r="S301" s="739" t="str">
        <f t="shared" si="109"/>
        <v/>
      </c>
      <c r="T301" s="740" t="str">
        <f t="shared" si="110"/>
        <v/>
      </c>
      <c r="U301" s="275"/>
      <c r="V301" s="288"/>
      <c r="W301" s="288"/>
      <c r="X301" s="288"/>
      <c r="Y301" s="908">
        <f t="shared" si="111"/>
        <v>0</v>
      </c>
      <c r="Z301" s="986">
        <f>tab!$D$62</f>
        <v>0.6</v>
      </c>
      <c r="AA301" s="944">
        <f t="shared" si="112"/>
        <v>0</v>
      </c>
      <c r="AB301" s="944">
        <f t="shared" si="113"/>
        <v>0</v>
      </c>
      <c r="AC301" s="944">
        <f t="shared" si="114"/>
        <v>0</v>
      </c>
      <c r="AD301" s="943" t="e">
        <f t="shared" si="115"/>
        <v>#VALUE!</v>
      </c>
      <c r="AE301" s="943">
        <f t="shared" si="116"/>
        <v>0</v>
      </c>
      <c r="AF301" s="916">
        <f>IF(H301&gt;8,tab!$D$63,tab!$D$65)</f>
        <v>0.5</v>
      </c>
      <c r="AG301" s="925">
        <f t="shared" si="117"/>
        <v>0</v>
      </c>
      <c r="AH301" s="940">
        <f t="shared" si="118"/>
        <v>0</v>
      </c>
      <c r="AI301" s="924" t="e">
        <f>DATE(YEAR(tab!$H$3),MONTH(G301),DAY(G301))&gt;tab!$H$3</f>
        <v>#VALUE!</v>
      </c>
      <c r="AJ301" s="924" t="e">
        <f t="shared" si="124"/>
        <v>#VALUE!</v>
      </c>
      <c r="AK301" s="884">
        <f t="shared" si="119"/>
        <v>30</v>
      </c>
      <c r="AL301" s="884">
        <f t="shared" si="125"/>
        <v>30</v>
      </c>
      <c r="AM301" s="925">
        <f t="shared" si="120"/>
        <v>0</v>
      </c>
    </row>
    <row r="302" spans="3:39" x14ac:dyDescent="0.2">
      <c r="C302" s="69"/>
      <c r="D302" s="75" t="str">
        <f>IF(op!D235=0,"",op!D235)</f>
        <v/>
      </c>
      <c r="E302" s="75" t="str">
        <f>IF(op!E235=0,"-",op!E235)</f>
        <v/>
      </c>
      <c r="F302" s="88" t="str">
        <f>IF(op!F235="","",op!F235+1)</f>
        <v/>
      </c>
      <c r="G302" s="290" t="str">
        <f>IF(op!G235="","",op!G235)</f>
        <v/>
      </c>
      <c r="H302" s="88" t="str">
        <f>IF(op!H235=0,"",op!H235)</f>
        <v/>
      </c>
      <c r="I302" s="99" t="str">
        <f>IF(J302="","",(IF(op!I235+1&gt;LOOKUP(H302,schaal2019,regels2019),op!I235,op!I235+1)))</f>
        <v/>
      </c>
      <c r="J302" s="291" t="str">
        <f>IF(op!J235="","",op!J235)</f>
        <v/>
      </c>
      <c r="K302" s="971"/>
      <c r="L302" s="859">
        <f t="shared" si="107"/>
        <v>0</v>
      </c>
      <c r="M302" s="859">
        <f t="shared" si="107"/>
        <v>0</v>
      </c>
      <c r="N302" s="867" t="str">
        <f t="shared" si="121"/>
        <v/>
      </c>
      <c r="O302" s="867" t="str">
        <f t="shared" si="122"/>
        <v/>
      </c>
      <c r="P302" s="953" t="str">
        <f t="shared" si="108"/>
        <v/>
      </c>
      <c r="Q302" s="70"/>
      <c r="R302" s="739" t="str">
        <f t="shared" si="123"/>
        <v/>
      </c>
      <c r="S302" s="739" t="str">
        <f t="shared" si="109"/>
        <v/>
      </c>
      <c r="T302" s="740" t="str">
        <f t="shared" si="110"/>
        <v/>
      </c>
      <c r="U302" s="275"/>
      <c r="V302" s="288"/>
      <c r="W302" s="288"/>
      <c r="X302" s="288"/>
      <c r="Y302" s="908">
        <f t="shared" si="111"/>
        <v>0</v>
      </c>
      <c r="Z302" s="986">
        <f>tab!$D$62</f>
        <v>0.6</v>
      </c>
      <c r="AA302" s="944">
        <f t="shared" si="112"/>
        <v>0</v>
      </c>
      <c r="AB302" s="944">
        <f t="shared" si="113"/>
        <v>0</v>
      </c>
      <c r="AC302" s="944">
        <f t="shared" si="114"/>
        <v>0</v>
      </c>
      <c r="AD302" s="943" t="e">
        <f t="shared" si="115"/>
        <v>#VALUE!</v>
      </c>
      <c r="AE302" s="943">
        <f t="shared" si="116"/>
        <v>0</v>
      </c>
      <c r="AF302" s="916">
        <f>IF(H302&gt;8,tab!$D$63,tab!$D$65)</f>
        <v>0.5</v>
      </c>
      <c r="AG302" s="925">
        <f t="shared" si="117"/>
        <v>0</v>
      </c>
      <c r="AH302" s="940">
        <f t="shared" si="118"/>
        <v>0</v>
      </c>
      <c r="AI302" s="924" t="e">
        <f>DATE(YEAR(tab!$H$3),MONTH(G302),DAY(G302))&gt;tab!$H$3</f>
        <v>#VALUE!</v>
      </c>
      <c r="AJ302" s="924" t="e">
        <f t="shared" si="124"/>
        <v>#VALUE!</v>
      </c>
      <c r="AK302" s="884">
        <f t="shared" si="119"/>
        <v>30</v>
      </c>
      <c r="AL302" s="884">
        <f t="shared" si="125"/>
        <v>30</v>
      </c>
      <c r="AM302" s="925">
        <f t="shared" si="120"/>
        <v>0</v>
      </c>
    </row>
    <row r="303" spans="3:39" x14ac:dyDescent="0.2">
      <c r="C303" s="69"/>
      <c r="D303" s="75" t="str">
        <f>IF(op!D236=0,"",op!D236)</f>
        <v/>
      </c>
      <c r="E303" s="75" t="str">
        <f>IF(op!E236=0,"-",op!E236)</f>
        <v/>
      </c>
      <c r="F303" s="88" t="str">
        <f>IF(op!F236="","",op!F236+1)</f>
        <v/>
      </c>
      <c r="G303" s="290" t="str">
        <f>IF(op!G236="","",op!G236)</f>
        <v/>
      </c>
      <c r="H303" s="88" t="str">
        <f>IF(op!H236=0,"",op!H236)</f>
        <v/>
      </c>
      <c r="I303" s="99" t="str">
        <f>IF(J303="","",(IF(op!I236+1&gt;LOOKUP(H303,schaal2019,regels2019),op!I236,op!I236+1)))</f>
        <v/>
      </c>
      <c r="J303" s="291" t="str">
        <f>IF(op!J236="","",op!J236)</f>
        <v/>
      </c>
      <c r="K303" s="971"/>
      <c r="L303" s="859">
        <f t="shared" si="107"/>
        <v>0</v>
      </c>
      <c r="M303" s="859">
        <f t="shared" si="107"/>
        <v>0</v>
      </c>
      <c r="N303" s="867" t="str">
        <f t="shared" si="121"/>
        <v/>
      </c>
      <c r="O303" s="867" t="str">
        <f t="shared" si="122"/>
        <v/>
      </c>
      <c r="P303" s="953" t="str">
        <f t="shared" si="108"/>
        <v/>
      </c>
      <c r="Q303" s="70"/>
      <c r="R303" s="739" t="str">
        <f t="shared" si="123"/>
        <v/>
      </c>
      <c r="S303" s="739" t="str">
        <f t="shared" si="109"/>
        <v/>
      </c>
      <c r="T303" s="740" t="str">
        <f t="shared" si="110"/>
        <v/>
      </c>
      <c r="U303" s="275"/>
      <c r="V303" s="288"/>
      <c r="W303" s="288"/>
      <c r="X303" s="288"/>
      <c r="Y303" s="908">
        <f t="shared" si="111"/>
        <v>0</v>
      </c>
      <c r="Z303" s="986">
        <f>tab!$D$62</f>
        <v>0.6</v>
      </c>
      <c r="AA303" s="944">
        <f t="shared" si="112"/>
        <v>0</v>
      </c>
      <c r="AB303" s="944">
        <f t="shared" si="113"/>
        <v>0</v>
      </c>
      <c r="AC303" s="944">
        <f t="shared" si="114"/>
        <v>0</v>
      </c>
      <c r="AD303" s="943" t="e">
        <f t="shared" si="115"/>
        <v>#VALUE!</v>
      </c>
      <c r="AE303" s="943">
        <f t="shared" si="116"/>
        <v>0</v>
      </c>
      <c r="AF303" s="916">
        <f>IF(H303&gt;8,tab!$D$63,tab!$D$65)</f>
        <v>0.5</v>
      </c>
      <c r="AG303" s="925">
        <f t="shared" si="117"/>
        <v>0</v>
      </c>
      <c r="AH303" s="940">
        <f t="shared" si="118"/>
        <v>0</v>
      </c>
      <c r="AI303" s="924" t="e">
        <f>DATE(YEAR(tab!$H$3),MONTH(G303),DAY(G303))&gt;tab!$H$3</f>
        <v>#VALUE!</v>
      </c>
      <c r="AJ303" s="924" t="e">
        <f t="shared" si="124"/>
        <v>#VALUE!</v>
      </c>
      <c r="AK303" s="884">
        <f t="shared" si="119"/>
        <v>30</v>
      </c>
      <c r="AL303" s="884">
        <f t="shared" si="125"/>
        <v>30</v>
      </c>
      <c r="AM303" s="925">
        <f t="shared" si="120"/>
        <v>0</v>
      </c>
    </row>
    <row r="304" spans="3:39" x14ac:dyDescent="0.2">
      <c r="C304" s="69"/>
      <c r="D304" s="75" t="str">
        <f>IF(op!D237=0,"",op!D237)</f>
        <v/>
      </c>
      <c r="E304" s="75" t="str">
        <f>IF(op!E237=0,"-",op!E237)</f>
        <v/>
      </c>
      <c r="F304" s="88" t="str">
        <f>IF(op!F237="","",op!F237+1)</f>
        <v/>
      </c>
      <c r="G304" s="290" t="str">
        <f>IF(op!G237="","",op!G237)</f>
        <v/>
      </c>
      <c r="H304" s="88" t="str">
        <f>IF(op!H237=0,"",op!H237)</f>
        <v/>
      </c>
      <c r="I304" s="99" t="str">
        <f>IF(J304="","",(IF(op!I237+1&gt;LOOKUP(H304,schaal2019,regels2019),op!I237,op!I237+1)))</f>
        <v/>
      </c>
      <c r="J304" s="291" t="str">
        <f>IF(op!J237="","",op!J237)</f>
        <v/>
      </c>
      <c r="K304" s="971"/>
      <c r="L304" s="859">
        <f t="shared" si="107"/>
        <v>0</v>
      </c>
      <c r="M304" s="859">
        <f t="shared" si="107"/>
        <v>0</v>
      </c>
      <c r="N304" s="867" t="str">
        <f t="shared" si="121"/>
        <v/>
      </c>
      <c r="O304" s="867" t="str">
        <f t="shared" si="122"/>
        <v/>
      </c>
      <c r="P304" s="953" t="str">
        <f t="shared" si="108"/>
        <v/>
      </c>
      <c r="Q304" s="70"/>
      <c r="R304" s="739" t="str">
        <f t="shared" si="123"/>
        <v/>
      </c>
      <c r="S304" s="739" t="str">
        <f t="shared" si="109"/>
        <v/>
      </c>
      <c r="T304" s="740" t="str">
        <f t="shared" si="110"/>
        <v/>
      </c>
      <c r="U304" s="275"/>
      <c r="V304" s="288"/>
      <c r="W304" s="288"/>
      <c r="X304" s="288"/>
      <c r="Y304" s="908">
        <f t="shared" si="111"/>
        <v>0</v>
      </c>
      <c r="Z304" s="986">
        <f>tab!$D$62</f>
        <v>0.6</v>
      </c>
      <c r="AA304" s="944">
        <f t="shared" si="112"/>
        <v>0</v>
      </c>
      <c r="AB304" s="944">
        <f t="shared" si="113"/>
        <v>0</v>
      </c>
      <c r="AC304" s="944">
        <f t="shared" si="114"/>
        <v>0</v>
      </c>
      <c r="AD304" s="943" t="e">
        <f t="shared" si="115"/>
        <v>#VALUE!</v>
      </c>
      <c r="AE304" s="943">
        <f t="shared" si="116"/>
        <v>0</v>
      </c>
      <c r="AF304" s="916">
        <f>IF(H304&gt;8,tab!$D$63,tab!$D$65)</f>
        <v>0.5</v>
      </c>
      <c r="AG304" s="925">
        <f t="shared" si="117"/>
        <v>0</v>
      </c>
      <c r="AH304" s="940">
        <f t="shared" si="118"/>
        <v>0</v>
      </c>
      <c r="AI304" s="924" t="e">
        <f>DATE(YEAR(tab!$H$3),MONTH(G304),DAY(G304))&gt;tab!$H$3</f>
        <v>#VALUE!</v>
      </c>
      <c r="AJ304" s="924" t="e">
        <f t="shared" si="124"/>
        <v>#VALUE!</v>
      </c>
      <c r="AK304" s="884">
        <f t="shared" si="119"/>
        <v>30</v>
      </c>
      <c r="AL304" s="884">
        <f t="shared" si="125"/>
        <v>30</v>
      </c>
      <c r="AM304" s="925">
        <f t="shared" si="120"/>
        <v>0</v>
      </c>
    </row>
    <row r="305" spans="3:39" x14ac:dyDescent="0.2">
      <c r="C305" s="69"/>
      <c r="D305" s="75" t="str">
        <f>IF(op!D238=0,"",op!D238)</f>
        <v/>
      </c>
      <c r="E305" s="75" t="str">
        <f>IF(op!E238=0,"-",op!E238)</f>
        <v/>
      </c>
      <c r="F305" s="88" t="str">
        <f>IF(op!F238="","",op!F238+1)</f>
        <v/>
      </c>
      <c r="G305" s="290" t="str">
        <f>IF(op!G238="","",op!G238)</f>
        <v/>
      </c>
      <c r="H305" s="88" t="str">
        <f>IF(op!H238=0,"",op!H238)</f>
        <v/>
      </c>
      <c r="I305" s="99" t="str">
        <f>IF(J305="","",(IF(op!I238+1&gt;LOOKUP(H305,schaal2019,regels2019),op!I238,op!I238+1)))</f>
        <v/>
      </c>
      <c r="J305" s="291" t="str">
        <f>IF(op!J238="","",op!J238)</f>
        <v/>
      </c>
      <c r="K305" s="971"/>
      <c r="L305" s="859">
        <f t="shared" ref="L305:M324" si="126">IF(L238="","",L238)</f>
        <v>0</v>
      </c>
      <c r="M305" s="859">
        <f t="shared" si="126"/>
        <v>0</v>
      </c>
      <c r="N305" s="867" t="str">
        <f t="shared" si="121"/>
        <v/>
      </c>
      <c r="O305" s="867" t="str">
        <f t="shared" si="122"/>
        <v/>
      </c>
      <c r="P305" s="953" t="str">
        <f t="shared" si="108"/>
        <v/>
      </c>
      <c r="Q305" s="70"/>
      <c r="R305" s="739" t="str">
        <f t="shared" si="123"/>
        <v/>
      </c>
      <c r="S305" s="739" t="str">
        <f t="shared" si="109"/>
        <v/>
      </c>
      <c r="T305" s="740" t="str">
        <f t="shared" si="110"/>
        <v/>
      </c>
      <c r="U305" s="275"/>
      <c r="V305" s="288"/>
      <c r="W305" s="288"/>
      <c r="X305" s="288"/>
      <c r="Y305" s="908">
        <f t="shared" si="111"/>
        <v>0</v>
      </c>
      <c r="Z305" s="986">
        <f>tab!$D$62</f>
        <v>0.6</v>
      </c>
      <c r="AA305" s="944">
        <f t="shared" si="112"/>
        <v>0</v>
      </c>
      <c r="AB305" s="944">
        <f t="shared" si="113"/>
        <v>0</v>
      </c>
      <c r="AC305" s="944">
        <f t="shared" si="114"/>
        <v>0</v>
      </c>
      <c r="AD305" s="943" t="e">
        <f t="shared" si="115"/>
        <v>#VALUE!</v>
      </c>
      <c r="AE305" s="943">
        <f t="shared" si="116"/>
        <v>0</v>
      </c>
      <c r="AF305" s="916">
        <f>IF(H305&gt;8,tab!$D$63,tab!$D$65)</f>
        <v>0.5</v>
      </c>
      <c r="AG305" s="925">
        <f t="shared" si="117"/>
        <v>0</v>
      </c>
      <c r="AH305" s="940">
        <f t="shared" si="118"/>
        <v>0</v>
      </c>
      <c r="AI305" s="924" t="e">
        <f>DATE(YEAR(tab!$H$3),MONTH(G305),DAY(G305))&gt;tab!$H$3</f>
        <v>#VALUE!</v>
      </c>
      <c r="AJ305" s="924" t="e">
        <f t="shared" si="124"/>
        <v>#VALUE!</v>
      </c>
      <c r="AK305" s="884">
        <f t="shared" si="119"/>
        <v>30</v>
      </c>
      <c r="AL305" s="884">
        <f t="shared" si="125"/>
        <v>30</v>
      </c>
      <c r="AM305" s="925">
        <f t="shared" si="120"/>
        <v>0</v>
      </c>
    </row>
    <row r="306" spans="3:39" x14ac:dyDescent="0.2">
      <c r="C306" s="69"/>
      <c r="D306" s="75" t="str">
        <f>IF(op!D239=0,"",op!D239)</f>
        <v/>
      </c>
      <c r="E306" s="75" t="str">
        <f>IF(op!E239=0,"-",op!E239)</f>
        <v/>
      </c>
      <c r="F306" s="88" t="str">
        <f>IF(op!F239="","",op!F239+1)</f>
        <v/>
      </c>
      <c r="G306" s="290" t="str">
        <f>IF(op!G239="","",op!G239)</f>
        <v/>
      </c>
      <c r="H306" s="88" t="str">
        <f>IF(op!H239=0,"",op!H239)</f>
        <v/>
      </c>
      <c r="I306" s="99" t="str">
        <f>IF(J306="","",(IF(op!I239+1&gt;LOOKUP(H306,schaal2019,regels2019),op!I239,op!I239+1)))</f>
        <v/>
      </c>
      <c r="J306" s="291" t="str">
        <f>IF(op!J239="","",op!J239)</f>
        <v/>
      </c>
      <c r="K306" s="971"/>
      <c r="L306" s="859">
        <f t="shared" si="126"/>
        <v>0</v>
      </c>
      <c r="M306" s="859">
        <f t="shared" si="126"/>
        <v>0</v>
      </c>
      <c r="N306" s="867" t="str">
        <f t="shared" si="121"/>
        <v/>
      </c>
      <c r="O306" s="867" t="str">
        <f t="shared" si="122"/>
        <v/>
      </c>
      <c r="P306" s="953" t="str">
        <f t="shared" si="108"/>
        <v/>
      </c>
      <c r="Q306" s="70"/>
      <c r="R306" s="739" t="str">
        <f t="shared" si="123"/>
        <v/>
      </c>
      <c r="S306" s="739" t="str">
        <f t="shared" si="109"/>
        <v/>
      </c>
      <c r="T306" s="740" t="str">
        <f t="shared" si="110"/>
        <v/>
      </c>
      <c r="U306" s="275"/>
      <c r="V306" s="288"/>
      <c r="W306" s="288"/>
      <c r="X306" s="288"/>
      <c r="Y306" s="908">
        <f t="shared" si="111"/>
        <v>0</v>
      </c>
      <c r="Z306" s="986">
        <f>tab!$D$62</f>
        <v>0.6</v>
      </c>
      <c r="AA306" s="944">
        <f t="shared" si="112"/>
        <v>0</v>
      </c>
      <c r="AB306" s="944">
        <f t="shared" si="113"/>
        <v>0</v>
      </c>
      <c r="AC306" s="944">
        <f t="shared" si="114"/>
        <v>0</v>
      </c>
      <c r="AD306" s="943" t="e">
        <f t="shared" si="115"/>
        <v>#VALUE!</v>
      </c>
      <c r="AE306" s="943">
        <f t="shared" si="116"/>
        <v>0</v>
      </c>
      <c r="AF306" s="916">
        <f>IF(H306&gt;8,tab!$D$63,tab!$D$65)</f>
        <v>0.5</v>
      </c>
      <c r="AG306" s="925">
        <f t="shared" si="117"/>
        <v>0</v>
      </c>
      <c r="AH306" s="940">
        <f t="shared" si="118"/>
        <v>0</v>
      </c>
      <c r="AI306" s="924" t="e">
        <f>DATE(YEAR(tab!$H$3),MONTH(G306),DAY(G306))&gt;tab!$H$3</f>
        <v>#VALUE!</v>
      </c>
      <c r="AJ306" s="924" t="e">
        <f t="shared" si="124"/>
        <v>#VALUE!</v>
      </c>
      <c r="AK306" s="884">
        <f t="shared" si="119"/>
        <v>30</v>
      </c>
      <c r="AL306" s="884">
        <f t="shared" si="125"/>
        <v>30</v>
      </c>
      <c r="AM306" s="925">
        <f t="shared" si="120"/>
        <v>0</v>
      </c>
    </row>
    <row r="307" spans="3:39" x14ac:dyDescent="0.2">
      <c r="C307" s="69"/>
      <c r="D307" s="75" t="str">
        <f>IF(op!D240=0,"",op!D240)</f>
        <v/>
      </c>
      <c r="E307" s="75" t="str">
        <f>IF(op!E240=0,"-",op!E240)</f>
        <v/>
      </c>
      <c r="F307" s="88" t="str">
        <f>IF(op!F240="","",op!F240+1)</f>
        <v/>
      </c>
      <c r="G307" s="290" t="str">
        <f>IF(op!G240="","",op!G240)</f>
        <v/>
      </c>
      <c r="H307" s="88" t="str">
        <f>IF(op!H240=0,"",op!H240)</f>
        <v/>
      </c>
      <c r="I307" s="99" t="str">
        <f>IF(J307="","",(IF(op!I240+1&gt;LOOKUP(H307,schaal2019,regels2019),op!I240,op!I240+1)))</f>
        <v/>
      </c>
      <c r="J307" s="291" t="str">
        <f>IF(op!J240="","",op!J240)</f>
        <v/>
      </c>
      <c r="K307" s="971"/>
      <c r="L307" s="859">
        <f t="shared" si="126"/>
        <v>0</v>
      </c>
      <c r="M307" s="859">
        <f t="shared" si="126"/>
        <v>0</v>
      </c>
      <c r="N307" s="867" t="str">
        <f t="shared" si="121"/>
        <v/>
      </c>
      <c r="O307" s="867" t="str">
        <f t="shared" si="122"/>
        <v/>
      </c>
      <c r="P307" s="953" t="str">
        <f t="shared" si="108"/>
        <v/>
      </c>
      <c r="Q307" s="70"/>
      <c r="R307" s="739" t="str">
        <f t="shared" si="123"/>
        <v/>
      </c>
      <c r="S307" s="739" t="str">
        <f t="shared" si="109"/>
        <v/>
      </c>
      <c r="T307" s="740" t="str">
        <f t="shared" si="110"/>
        <v/>
      </c>
      <c r="U307" s="275"/>
      <c r="V307" s="288"/>
      <c r="W307" s="288"/>
      <c r="X307" s="288"/>
      <c r="Y307" s="908">
        <f t="shared" si="111"/>
        <v>0</v>
      </c>
      <c r="Z307" s="986">
        <f>tab!$D$62</f>
        <v>0.6</v>
      </c>
      <c r="AA307" s="944">
        <f t="shared" si="112"/>
        <v>0</v>
      </c>
      <c r="AB307" s="944">
        <f t="shared" si="113"/>
        <v>0</v>
      </c>
      <c r="AC307" s="944">
        <f t="shared" si="114"/>
        <v>0</v>
      </c>
      <c r="AD307" s="943" t="e">
        <f t="shared" si="115"/>
        <v>#VALUE!</v>
      </c>
      <c r="AE307" s="943">
        <f t="shared" si="116"/>
        <v>0</v>
      </c>
      <c r="AF307" s="916">
        <f>IF(H307&gt;8,tab!$D$63,tab!$D$65)</f>
        <v>0.5</v>
      </c>
      <c r="AG307" s="925">
        <f t="shared" si="117"/>
        <v>0</v>
      </c>
      <c r="AH307" s="940">
        <f t="shared" si="118"/>
        <v>0</v>
      </c>
      <c r="AI307" s="924" t="e">
        <f>DATE(YEAR(tab!$H$3),MONTH(G307),DAY(G307))&gt;tab!$H$3</f>
        <v>#VALUE!</v>
      </c>
      <c r="AJ307" s="924" t="e">
        <f t="shared" si="124"/>
        <v>#VALUE!</v>
      </c>
      <c r="AK307" s="884">
        <f t="shared" si="119"/>
        <v>30</v>
      </c>
      <c r="AL307" s="884">
        <f t="shared" si="125"/>
        <v>30</v>
      </c>
      <c r="AM307" s="925">
        <f t="shared" si="120"/>
        <v>0</v>
      </c>
    </row>
    <row r="308" spans="3:39" x14ac:dyDescent="0.2">
      <c r="C308" s="69"/>
      <c r="D308" s="75" t="str">
        <f>IF(op!D241=0,"",op!D241)</f>
        <v/>
      </c>
      <c r="E308" s="75" t="str">
        <f>IF(op!E241=0,"-",op!E241)</f>
        <v/>
      </c>
      <c r="F308" s="88" t="str">
        <f>IF(op!F241="","",op!F241+1)</f>
        <v/>
      </c>
      <c r="G308" s="290" t="str">
        <f>IF(op!G241="","",op!G241)</f>
        <v/>
      </c>
      <c r="H308" s="88" t="str">
        <f>IF(op!H241=0,"",op!H241)</f>
        <v/>
      </c>
      <c r="I308" s="99" t="str">
        <f>IF(J308="","",(IF(op!I241+1&gt;LOOKUP(H308,schaal2019,regels2019),op!I241,op!I241+1)))</f>
        <v/>
      </c>
      <c r="J308" s="291" t="str">
        <f>IF(op!J241="","",op!J241)</f>
        <v/>
      </c>
      <c r="K308" s="971"/>
      <c r="L308" s="859">
        <f t="shared" si="126"/>
        <v>0</v>
      </c>
      <c r="M308" s="859">
        <f t="shared" si="126"/>
        <v>0</v>
      </c>
      <c r="N308" s="867" t="str">
        <f t="shared" si="121"/>
        <v/>
      </c>
      <c r="O308" s="867" t="str">
        <f t="shared" si="122"/>
        <v/>
      </c>
      <c r="P308" s="953" t="str">
        <f t="shared" si="108"/>
        <v/>
      </c>
      <c r="Q308" s="70"/>
      <c r="R308" s="739" t="str">
        <f t="shared" si="123"/>
        <v/>
      </c>
      <c r="S308" s="739" t="str">
        <f t="shared" si="109"/>
        <v/>
      </c>
      <c r="T308" s="740" t="str">
        <f t="shared" si="110"/>
        <v/>
      </c>
      <c r="U308" s="275"/>
      <c r="V308" s="288"/>
      <c r="W308" s="288"/>
      <c r="X308" s="288"/>
      <c r="Y308" s="908">
        <f t="shared" si="111"/>
        <v>0</v>
      </c>
      <c r="Z308" s="986">
        <f>tab!$D$62</f>
        <v>0.6</v>
      </c>
      <c r="AA308" s="944">
        <f t="shared" si="112"/>
        <v>0</v>
      </c>
      <c r="AB308" s="944">
        <f t="shared" si="113"/>
        <v>0</v>
      </c>
      <c r="AC308" s="944">
        <f t="shared" si="114"/>
        <v>0</v>
      </c>
      <c r="AD308" s="943" t="e">
        <f t="shared" si="115"/>
        <v>#VALUE!</v>
      </c>
      <c r="AE308" s="943">
        <f t="shared" si="116"/>
        <v>0</v>
      </c>
      <c r="AF308" s="916">
        <f>IF(H308&gt;8,tab!$D$63,tab!$D$65)</f>
        <v>0.5</v>
      </c>
      <c r="AG308" s="925">
        <f t="shared" si="117"/>
        <v>0</v>
      </c>
      <c r="AH308" s="940">
        <f t="shared" si="118"/>
        <v>0</v>
      </c>
      <c r="AI308" s="924" t="e">
        <f>DATE(YEAR(tab!$H$3),MONTH(G308),DAY(G308))&gt;tab!$H$3</f>
        <v>#VALUE!</v>
      </c>
      <c r="AJ308" s="924" t="e">
        <f t="shared" si="124"/>
        <v>#VALUE!</v>
      </c>
      <c r="AK308" s="884">
        <f t="shared" si="119"/>
        <v>30</v>
      </c>
      <c r="AL308" s="884">
        <f t="shared" si="125"/>
        <v>30</v>
      </c>
      <c r="AM308" s="925">
        <f t="shared" si="120"/>
        <v>0</v>
      </c>
    </row>
    <row r="309" spans="3:39" x14ac:dyDescent="0.2">
      <c r="C309" s="69"/>
      <c r="D309" s="75" t="str">
        <f>IF(op!D242=0,"",op!D242)</f>
        <v/>
      </c>
      <c r="E309" s="75" t="str">
        <f>IF(op!E242=0,"-",op!E242)</f>
        <v/>
      </c>
      <c r="F309" s="88" t="str">
        <f>IF(op!F242="","",op!F242+1)</f>
        <v/>
      </c>
      <c r="G309" s="290" t="str">
        <f>IF(op!G242="","",op!G242)</f>
        <v/>
      </c>
      <c r="H309" s="88" t="str">
        <f>IF(op!H242=0,"",op!H242)</f>
        <v/>
      </c>
      <c r="I309" s="99" t="str">
        <f>IF(J309="","",(IF(op!I242+1&gt;LOOKUP(H309,schaal2019,regels2019),op!I242,op!I242+1)))</f>
        <v/>
      </c>
      <c r="J309" s="291" t="str">
        <f>IF(op!J242="","",op!J242)</f>
        <v/>
      </c>
      <c r="K309" s="971"/>
      <c r="L309" s="859">
        <f t="shared" si="126"/>
        <v>0</v>
      </c>
      <c r="M309" s="859">
        <f t="shared" si="126"/>
        <v>0</v>
      </c>
      <c r="N309" s="867" t="str">
        <f t="shared" si="121"/>
        <v/>
      </c>
      <c r="O309" s="867" t="str">
        <f t="shared" si="122"/>
        <v/>
      </c>
      <c r="P309" s="953" t="str">
        <f t="shared" si="108"/>
        <v/>
      </c>
      <c r="Q309" s="70"/>
      <c r="R309" s="739" t="str">
        <f t="shared" si="123"/>
        <v/>
      </c>
      <c r="S309" s="739" t="str">
        <f t="shared" si="109"/>
        <v/>
      </c>
      <c r="T309" s="740" t="str">
        <f t="shared" si="110"/>
        <v/>
      </c>
      <c r="U309" s="275"/>
      <c r="V309" s="288"/>
      <c r="W309" s="288"/>
      <c r="X309" s="288"/>
      <c r="Y309" s="908">
        <f t="shared" si="111"/>
        <v>0</v>
      </c>
      <c r="Z309" s="986">
        <f>tab!$D$62</f>
        <v>0.6</v>
      </c>
      <c r="AA309" s="944">
        <f t="shared" si="112"/>
        <v>0</v>
      </c>
      <c r="AB309" s="944">
        <f t="shared" si="113"/>
        <v>0</v>
      </c>
      <c r="AC309" s="944">
        <f t="shared" si="114"/>
        <v>0</v>
      </c>
      <c r="AD309" s="943" t="e">
        <f t="shared" si="115"/>
        <v>#VALUE!</v>
      </c>
      <c r="AE309" s="943">
        <f t="shared" si="116"/>
        <v>0</v>
      </c>
      <c r="AF309" s="916">
        <f>IF(H309&gt;8,tab!$D$63,tab!$D$65)</f>
        <v>0.5</v>
      </c>
      <c r="AG309" s="925">
        <f t="shared" si="117"/>
        <v>0</v>
      </c>
      <c r="AH309" s="940">
        <f t="shared" si="118"/>
        <v>0</v>
      </c>
      <c r="AI309" s="924" t="e">
        <f>DATE(YEAR(tab!$H$3),MONTH(G309),DAY(G309))&gt;tab!$H$3</f>
        <v>#VALUE!</v>
      </c>
      <c r="AJ309" s="924" t="e">
        <f t="shared" si="124"/>
        <v>#VALUE!</v>
      </c>
      <c r="AK309" s="884">
        <f t="shared" si="119"/>
        <v>30</v>
      </c>
      <c r="AL309" s="884">
        <f t="shared" si="125"/>
        <v>30</v>
      </c>
      <c r="AM309" s="925">
        <f t="shared" si="120"/>
        <v>0</v>
      </c>
    </row>
    <row r="310" spans="3:39" x14ac:dyDescent="0.2">
      <c r="C310" s="69"/>
      <c r="D310" s="75" t="str">
        <f>IF(op!D243=0,"",op!D243)</f>
        <v/>
      </c>
      <c r="E310" s="75" t="str">
        <f>IF(op!E243=0,"-",op!E243)</f>
        <v/>
      </c>
      <c r="F310" s="88" t="str">
        <f>IF(op!F243="","",op!F243+1)</f>
        <v/>
      </c>
      <c r="G310" s="290" t="str">
        <f>IF(op!G243="","",op!G243)</f>
        <v/>
      </c>
      <c r="H310" s="88" t="str">
        <f>IF(op!H243=0,"",op!H243)</f>
        <v/>
      </c>
      <c r="I310" s="99" t="str">
        <f>IF(J310="","",(IF(op!I243+1&gt;LOOKUP(H310,schaal2019,regels2019),op!I243,op!I243+1)))</f>
        <v/>
      </c>
      <c r="J310" s="291" t="str">
        <f>IF(op!J243="","",op!J243)</f>
        <v/>
      </c>
      <c r="K310" s="971"/>
      <c r="L310" s="859">
        <f t="shared" si="126"/>
        <v>0</v>
      </c>
      <c r="M310" s="859">
        <f t="shared" si="126"/>
        <v>0</v>
      </c>
      <c r="N310" s="867" t="str">
        <f t="shared" si="121"/>
        <v/>
      </c>
      <c r="O310" s="867" t="str">
        <f t="shared" si="122"/>
        <v/>
      </c>
      <c r="P310" s="953" t="str">
        <f t="shared" si="108"/>
        <v/>
      </c>
      <c r="Q310" s="70"/>
      <c r="R310" s="739" t="str">
        <f t="shared" si="123"/>
        <v/>
      </c>
      <c r="S310" s="739" t="str">
        <f t="shared" si="109"/>
        <v/>
      </c>
      <c r="T310" s="740" t="str">
        <f t="shared" si="110"/>
        <v/>
      </c>
      <c r="U310" s="275"/>
      <c r="V310" s="288"/>
      <c r="W310" s="288"/>
      <c r="X310" s="288"/>
      <c r="Y310" s="908">
        <f t="shared" si="111"/>
        <v>0</v>
      </c>
      <c r="Z310" s="986">
        <f>tab!$D$62</f>
        <v>0.6</v>
      </c>
      <c r="AA310" s="944">
        <f t="shared" si="112"/>
        <v>0</v>
      </c>
      <c r="AB310" s="944">
        <f t="shared" si="113"/>
        <v>0</v>
      </c>
      <c r="AC310" s="944">
        <f t="shared" si="114"/>
        <v>0</v>
      </c>
      <c r="AD310" s="943" t="e">
        <f t="shared" si="115"/>
        <v>#VALUE!</v>
      </c>
      <c r="AE310" s="943">
        <f t="shared" si="116"/>
        <v>0</v>
      </c>
      <c r="AF310" s="916">
        <f>IF(H310&gt;8,tab!$D$63,tab!$D$65)</f>
        <v>0.5</v>
      </c>
      <c r="AG310" s="925">
        <f t="shared" si="117"/>
        <v>0</v>
      </c>
      <c r="AH310" s="940">
        <f t="shared" si="118"/>
        <v>0</v>
      </c>
      <c r="AI310" s="924" t="e">
        <f>DATE(YEAR(tab!$H$3),MONTH(G310),DAY(G310))&gt;tab!$H$3</f>
        <v>#VALUE!</v>
      </c>
      <c r="AJ310" s="924" t="e">
        <f t="shared" si="124"/>
        <v>#VALUE!</v>
      </c>
      <c r="AK310" s="884">
        <f t="shared" si="119"/>
        <v>30</v>
      </c>
      <c r="AL310" s="884">
        <f t="shared" si="125"/>
        <v>30</v>
      </c>
      <c r="AM310" s="925">
        <f t="shared" si="120"/>
        <v>0</v>
      </c>
    </row>
    <row r="311" spans="3:39" x14ac:dyDescent="0.2">
      <c r="C311" s="69"/>
      <c r="D311" s="75" t="str">
        <f>IF(op!D244=0,"",op!D244)</f>
        <v/>
      </c>
      <c r="E311" s="75" t="str">
        <f>IF(op!E244=0,"-",op!E244)</f>
        <v/>
      </c>
      <c r="F311" s="88" t="str">
        <f>IF(op!F244="","",op!F244+1)</f>
        <v/>
      </c>
      <c r="G311" s="290" t="str">
        <f>IF(op!G244="","",op!G244)</f>
        <v/>
      </c>
      <c r="H311" s="88" t="str">
        <f>IF(op!H244=0,"",op!H244)</f>
        <v/>
      </c>
      <c r="I311" s="99" t="str">
        <f>IF(J311="","",(IF(op!I244+1&gt;LOOKUP(H311,schaal2019,regels2019),op!I244,op!I244+1)))</f>
        <v/>
      </c>
      <c r="J311" s="291" t="str">
        <f>IF(op!J244="","",op!J244)</f>
        <v/>
      </c>
      <c r="K311" s="971"/>
      <c r="L311" s="859">
        <f t="shared" si="126"/>
        <v>0</v>
      </c>
      <c r="M311" s="859">
        <f t="shared" si="126"/>
        <v>0</v>
      </c>
      <c r="N311" s="867" t="str">
        <f t="shared" si="121"/>
        <v/>
      </c>
      <c r="O311" s="867" t="str">
        <f t="shared" si="122"/>
        <v/>
      </c>
      <c r="P311" s="953" t="str">
        <f t="shared" si="108"/>
        <v/>
      </c>
      <c r="Q311" s="70"/>
      <c r="R311" s="739" t="str">
        <f t="shared" si="123"/>
        <v/>
      </c>
      <c r="S311" s="739" t="str">
        <f t="shared" si="109"/>
        <v/>
      </c>
      <c r="T311" s="740" t="str">
        <f t="shared" si="110"/>
        <v/>
      </c>
      <c r="U311" s="275"/>
      <c r="V311" s="288"/>
      <c r="W311" s="288"/>
      <c r="X311" s="288"/>
      <c r="Y311" s="908">
        <f t="shared" si="111"/>
        <v>0</v>
      </c>
      <c r="Z311" s="986">
        <f>tab!$D$62</f>
        <v>0.6</v>
      </c>
      <c r="AA311" s="944">
        <f t="shared" si="112"/>
        <v>0</v>
      </c>
      <c r="AB311" s="944">
        <f t="shared" si="113"/>
        <v>0</v>
      </c>
      <c r="AC311" s="944">
        <f t="shared" si="114"/>
        <v>0</v>
      </c>
      <c r="AD311" s="943" t="e">
        <f t="shared" si="115"/>
        <v>#VALUE!</v>
      </c>
      <c r="AE311" s="943">
        <f t="shared" si="116"/>
        <v>0</v>
      </c>
      <c r="AF311" s="916">
        <f>IF(H311&gt;8,tab!$D$63,tab!$D$65)</f>
        <v>0.5</v>
      </c>
      <c r="AG311" s="925">
        <f t="shared" si="117"/>
        <v>0</v>
      </c>
      <c r="AH311" s="940">
        <f t="shared" si="118"/>
        <v>0</v>
      </c>
      <c r="AI311" s="924" t="e">
        <f>DATE(YEAR(tab!$H$3),MONTH(G311),DAY(G311))&gt;tab!$H$3</f>
        <v>#VALUE!</v>
      </c>
      <c r="AJ311" s="924" t="e">
        <f t="shared" si="124"/>
        <v>#VALUE!</v>
      </c>
      <c r="AK311" s="884">
        <f t="shared" si="119"/>
        <v>30</v>
      </c>
      <c r="AL311" s="884">
        <f t="shared" si="125"/>
        <v>30</v>
      </c>
      <c r="AM311" s="925">
        <f t="shared" si="120"/>
        <v>0</v>
      </c>
    </row>
    <row r="312" spans="3:39" x14ac:dyDescent="0.2">
      <c r="C312" s="69"/>
      <c r="D312" s="75" t="str">
        <f>IF(op!D245=0,"",op!D245)</f>
        <v/>
      </c>
      <c r="E312" s="75" t="str">
        <f>IF(op!E245=0,"-",op!E245)</f>
        <v/>
      </c>
      <c r="F312" s="88" t="str">
        <f>IF(op!F245="","",op!F245+1)</f>
        <v/>
      </c>
      <c r="G312" s="290" t="str">
        <f>IF(op!G245="","",op!G245)</f>
        <v/>
      </c>
      <c r="H312" s="88" t="str">
        <f>IF(op!H245=0,"",op!H245)</f>
        <v/>
      </c>
      <c r="I312" s="99" t="str">
        <f>IF(J312="","",(IF(op!I245+1&gt;LOOKUP(H312,schaal2019,regels2019),op!I245,op!I245+1)))</f>
        <v/>
      </c>
      <c r="J312" s="291" t="str">
        <f>IF(op!J245="","",op!J245)</f>
        <v/>
      </c>
      <c r="K312" s="971"/>
      <c r="L312" s="859">
        <f t="shared" si="126"/>
        <v>0</v>
      </c>
      <c r="M312" s="859">
        <f t="shared" si="126"/>
        <v>0</v>
      </c>
      <c r="N312" s="867" t="str">
        <f t="shared" si="121"/>
        <v/>
      </c>
      <c r="O312" s="867" t="str">
        <f t="shared" si="122"/>
        <v/>
      </c>
      <c r="P312" s="953" t="str">
        <f t="shared" si="108"/>
        <v/>
      </c>
      <c r="Q312" s="70"/>
      <c r="R312" s="739" t="str">
        <f t="shared" si="123"/>
        <v/>
      </c>
      <c r="S312" s="739" t="str">
        <f t="shared" si="109"/>
        <v/>
      </c>
      <c r="T312" s="740" t="str">
        <f t="shared" si="110"/>
        <v/>
      </c>
      <c r="U312" s="275"/>
      <c r="V312" s="288"/>
      <c r="W312" s="288"/>
      <c r="X312" s="288"/>
      <c r="Y312" s="908">
        <f t="shared" si="111"/>
        <v>0</v>
      </c>
      <c r="Z312" s="986">
        <f>tab!$D$62</f>
        <v>0.6</v>
      </c>
      <c r="AA312" s="944">
        <f t="shared" si="112"/>
        <v>0</v>
      </c>
      <c r="AB312" s="944">
        <f t="shared" si="113"/>
        <v>0</v>
      </c>
      <c r="AC312" s="944">
        <f t="shared" si="114"/>
        <v>0</v>
      </c>
      <c r="AD312" s="943" t="e">
        <f t="shared" si="115"/>
        <v>#VALUE!</v>
      </c>
      <c r="AE312" s="943">
        <f t="shared" si="116"/>
        <v>0</v>
      </c>
      <c r="AF312" s="916">
        <f>IF(H312&gt;8,tab!$D$63,tab!$D$65)</f>
        <v>0.5</v>
      </c>
      <c r="AG312" s="925">
        <f t="shared" si="117"/>
        <v>0</v>
      </c>
      <c r="AH312" s="940">
        <f t="shared" si="118"/>
        <v>0</v>
      </c>
      <c r="AI312" s="924" t="e">
        <f>DATE(YEAR(tab!$H$3),MONTH(G312),DAY(G312))&gt;tab!$H$3</f>
        <v>#VALUE!</v>
      </c>
      <c r="AJ312" s="924" t="e">
        <f t="shared" si="124"/>
        <v>#VALUE!</v>
      </c>
      <c r="AK312" s="884">
        <f t="shared" si="119"/>
        <v>30</v>
      </c>
      <c r="AL312" s="884">
        <f t="shared" si="125"/>
        <v>30</v>
      </c>
      <c r="AM312" s="925">
        <f t="shared" si="120"/>
        <v>0</v>
      </c>
    </row>
    <row r="313" spans="3:39" x14ac:dyDescent="0.2">
      <c r="C313" s="69"/>
      <c r="D313" s="75" t="str">
        <f>IF(op!D246=0,"",op!D246)</f>
        <v/>
      </c>
      <c r="E313" s="75" t="str">
        <f>IF(op!E246=0,"-",op!E246)</f>
        <v/>
      </c>
      <c r="F313" s="88" t="str">
        <f>IF(op!F246="","",op!F246+1)</f>
        <v/>
      </c>
      <c r="G313" s="290" t="str">
        <f>IF(op!G246="","",op!G246)</f>
        <v/>
      </c>
      <c r="H313" s="88" t="str">
        <f>IF(op!H246=0,"",op!H246)</f>
        <v/>
      </c>
      <c r="I313" s="99" t="str">
        <f>IF(J313="","",(IF(op!I246+1&gt;LOOKUP(H313,schaal2019,regels2019),op!I246,op!I246+1)))</f>
        <v/>
      </c>
      <c r="J313" s="291" t="str">
        <f>IF(op!J246="","",op!J246)</f>
        <v/>
      </c>
      <c r="K313" s="971"/>
      <c r="L313" s="859">
        <f t="shared" si="126"/>
        <v>0</v>
      </c>
      <c r="M313" s="859">
        <f t="shared" si="126"/>
        <v>0</v>
      </c>
      <c r="N313" s="867" t="str">
        <f t="shared" si="121"/>
        <v/>
      </c>
      <c r="O313" s="867" t="str">
        <f t="shared" si="122"/>
        <v/>
      </c>
      <c r="P313" s="953" t="str">
        <f t="shared" si="108"/>
        <v/>
      </c>
      <c r="Q313" s="70"/>
      <c r="R313" s="739" t="str">
        <f t="shared" si="123"/>
        <v/>
      </c>
      <c r="S313" s="739" t="str">
        <f t="shared" si="109"/>
        <v/>
      </c>
      <c r="T313" s="740" t="str">
        <f t="shared" si="110"/>
        <v/>
      </c>
      <c r="U313" s="275"/>
      <c r="V313" s="288"/>
      <c r="W313" s="288"/>
      <c r="X313" s="288"/>
      <c r="Y313" s="908">
        <f t="shared" si="111"/>
        <v>0</v>
      </c>
      <c r="Z313" s="986">
        <f>tab!$D$62</f>
        <v>0.6</v>
      </c>
      <c r="AA313" s="944">
        <f t="shared" si="112"/>
        <v>0</v>
      </c>
      <c r="AB313" s="944">
        <f t="shared" si="113"/>
        <v>0</v>
      </c>
      <c r="AC313" s="944">
        <f t="shared" si="114"/>
        <v>0</v>
      </c>
      <c r="AD313" s="943" t="e">
        <f t="shared" si="115"/>
        <v>#VALUE!</v>
      </c>
      <c r="AE313" s="943">
        <f t="shared" si="116"/>
        <v>0</v>
      </c>
      <c r="AF313" s="916">
        <f>IF(H313&gt;8,tab!$D$63,tab!$D$65)</f>
        <v>0.5</v>
      </c>
      <c r="AG313" s="925">
        <f t="shared" si="117"/>
        <v>0</v>
      </c>
      <c r="AH313" s="940">
        <f t="shared" si="118"/>
        <v>0</v>
      </c>
      <c r="AI313" s="924" t="e">
        <f>DATE(YEAR(tab!$H$3),MONTH(G313),DAY(G313))&gt;tab!$H$3</f>
        <v>#VALUE!</v>
      </c>
      <c r="AJ313" s="924" t="e">
        <f t="shared" si="124"/>
        <v>#VALUE!</v>
      </c>
      <c r="AK313" s="884">
        <f t="shared" si="119"/>
        <v>30</v>
      </c>
      <c r="AL313" s="884">
        <f t="shared" si="125"/>
        <v>30</v>
      </c>
      <c r="AM313" s="925">
        <f t="shared" si="120"/>
        <v>0</v>
      </c>
    </row>
    <row r="314" spans="3:39" x14ac:dyDescent="0.2">
      <c r="C314" s="69"/>
      <c r="D314" s="75" t="str">
        <f>IF(op!D247=0,"",op!D247)</f>
        <v/>
      </c>
      <c r="E314" s="75" t="str">
        <f>IF(op!E247=0,"-",op!E247)</f>
        <v/>
      </c>
      <c r="F314" s="88" t="str">
        <f>IF(op!F247="","",op!F247+1)</f>
        <v/>
      </c>
      <c r="G314" s="290" t="str">
        <f>IF(op!G247="","",op!G247)</f>
        <v/>
      </c>
      <c r="H314" s="88" t="str">
        <f>IF(op!H247=0,"",op!H247)</f>
        <v/>
      </c>
      <c r="I314" s="99" t="str">
        <f>IF(J314="","",(IF(op!I247+1&gt;LOOKUP(H314,schaal2019,regels2019),op!I247,op!I247+1)))</f>
        <v/>
      </c>
      <c r="J314" s="291" t="str">
        <f>IF(op!J247="","",op!J247)</f>
        <v/>
      </c>
      <c r="K314" s="971"/>
      <c r="L314" s="859">
        <f t="shared" si="126"/>
        <v>0</v>
      </c>
      <c r="M314" s="859">
        <f t="shared" si="126"/>
        <v>0</v>
      </c>
      <c r="N314" s="867" t="str">
        <f t="shared" si="121"/>
        <v/>
      </c>
      <c r="O314" s="867" t="str">
        <f t="shared" si="122"/>
        <v/>
      </c>
      <c r="P314" s="953" t="str">
        <f t="shared" si="108"/>
        <v/>
      </c>
      <c r="Q314" s="70"/>
      <c r="R314" s="739" t="str">
        <f t="shared" si="123"/>
        <v/>
      </c>
      <c r="S314" s="739" t="str">
        <f t="shared" si="109"/>
        <v/>
      </c>
      <c r="T314" s="740" t="str">
        <f t="shared" si="110"/>
        <v/>
      </c>
      <c r="U314" s="275"/>
      <c r="V314" s="288"/>
      <c r="W314" s="288"/>
      <c r="X314" s="288"/>
      <c r="Y314" s="908">
        <f t="shared" si="111"/>
        <v>0</v>
      </c>
      <c r="Z314" s="986">
        <f>tab!$D$62</f>
        <v>0.6</v>
      </c>
      <c r="AA314" s="944">
        <f t="shared" si="112"/>
        <v>0</v>
      </c>
      <c r="AB314" s="944">
        <f t="shared" si="113"/>
        <v>0</v>
      </c>
      <c r="AC314" s="944">
        <f t="shared" si="114"/>
        <v>0</v>
      </c>
      <c r="AD314" s="943" t="e">
        <f t="shared" si="115"/>
        <v>#VALUE!</v>
      </c>
      <c r="AE314" s="943">
        <f t="shared" si="116"/>
        <v>0</v>
      </c>
      <c r="AF314" s="916">
        <f>IF(H314&gt;8,tab!$D$63,tab!$D$65)</f>
        <v>0.5</v>
      </c>
      <c r="AG314" s="925">
        <f t="shared" si="117"/>
        <v>0</v>
      </c>
      <c r="AH314" s="940">
        <f t="shared" si="118"/>
        <v>0</v>
      </c>
      <c r="AI314" s="924" t="e">
        <f>DATE(YEAR(tab!$H$3),MONTH(G314),DAY(G314))&gt;tab!$H$3</f>
        <v>#VALUE!</v>
      </c>
      <c r="AJ314" s="924" t="e">
        <f t="shared" si="124"/>
        <v>#VALUE!</v>
      </c>
      <c r="AK314" s="884">
        <f t="shared" si="119"/>
        <v>30</v>
      </c>
      <c r="AL314" s="884">
        <f t="shared" si="125"/>
        <v>30</v>
      </c>
      <c r="AM314" s="925">
        <f t="shared" si="120"/>
        <v>0</v>
      </c>
    </row>
    <row r="315" spans="3:39" x14ac:dyDescent="0.2">
      <c r="C315" s="69"/>
      <c r="D315" s="75" t="str">
        <f>IF(op!D248=0,"",op!D248)</f>
        <v/>
      </c>
      <c r="E315" s="75" t="str">
        <f>IF(op!E248=0,"-",op!E248)</f>
        <v/>
      </c>
      <c r="F315" s="88" t="str">
        <f>IF(op!F248="","",op!F248+1)</f>
        <v/>
      </c>
      <c r="G315" s="290" t="str">
        <f>IF(op!G248="","",op!G248)</f>
        <v/>
      </c>
      <c r="H315" s="88" t="str">
        <f>IF(op!H248=0,"",op!H248)</f>
        <v/>
      </c>
      <c r="I315" s="99" t="str">
        <f>IF(J315="","",(IF(op!I248+1&gt;LOOKUP(H315,schaal2019,regels2019),op!I248,op!I248+1)))</f>
        <v/>
      </c>
      <c r="J315" s="291" t="str">
        <f>IF(op!J248="","",op!J248)</f>
        <v/>
      </c>
      <c r="K315" s="971"/>
      <c r="L315" s="859">
        <f t="shared" si="126"/>
        <v>0</v>
      </c>
      <c r="M315" s="859">
        <f t="shared" si="126"/>
        <v>0</v>
      </c>
      <c r="N315" s="867" t="str">
        <f t="shared" si="121"/>
        <v/>
      </c>
      <c r="O315" s="867" t="str">
        <f t="shared" si="122"/>
        <v/>
      </c>
      <c r="P315" s="953" t="str">
        <f t="shared" si="108"/>
        <v/>
      </c>
      <c r="Q315" s="70"/>
      <c r="R315" s="739" t="str">
        <f t="shared" si="123"/>
        <v/>
      </c>
      <c r="S315" s="739" t="str">
        <f t="shared" si="109"/>
        <v/>
      </c>
      <c r="T315" s="740" t="str">
        <f t="shared" si="110"/>
        <v/>
      </c>
      <c r="U315" s="275"/>
      <c r="V315" s="288"/>
      <c r="W315" s="288"/>
      <c r="X315" s="288"/>
      <c r="Y315" s="908">
        <f t="shared" si="111"/>
        <v>0</v>
      </c>
      <c r="Z315" s="986">
        <f>tab!$D$62</f>
        <v>0.6</v>
      </c>
      <c r="AA315" s="944">
        <f t="shared" si="112"/>
        <v>0</v>
      </c>
      <c r="AB315" s="944">
        <f t="shared" si="113"/>
        <v>0</v>
      </c>
      <c r="AC315" s="944">
        <f t="shared" si="114"/>
        <v>0</v>
      </c>
      <c r="AD315" s="943" t="e">
        <f t="shared" si="115"/>
        <v>#VALUE!</v>
      </c>
      <c r="AE315" s="943">
        <f t="shared" si="116"/>
        <v>0</v>
      </c>
      <c r="AF315" s="916">
        <f>IF(H315&gt;8,tab!$D$63,tab!$D$65)</f>
        <v>0.5</v>
      </c>
      <c r="AG315" s="925">
        <f t="shared" si="117"/>
        <v>0</v>
      </c>
      <c r="AH315" s="940">
        <f t="shared" si="118"/>
        <v>0</v>
      </c>
      <c r="AI315" s="924" t="e">
        <f>DATE(YEAR(tab!$H$3),MONTH(G315),DAY(G315))&gt;tab!$H$3</f>
        <v>#VALUE!</v>
      </c>
      <c r="AJ315" s="924" t="e">
        <f t="shared" si="124"/>
        <v>#VALUE!</v>
      </c>
      <c r="AK315" s="884">
        <f t="shared" si="119"/>
        <v>30</v>
      </c>
      <c r="AL315" s="884">
        <f t="shared" si="125"/>
        <v>30</v>
      </c>
      <c r="AM315" s="925">
        <f t="shared" si="120"/>
        <v>0</v>
      </c>
    </row>
    <row r="316" spans="3:39" x14ac:dyDescent="0.2">
      <c r="C316" s="69"/>
      <c r="D316" s="75" t="str">
        <f>IF(op!D249=0,"",op!D249)</f>
        <v/>
      </c>
      <c r="E316" s="75" t="str">
        <f>IF(op!E249=0,"-",op!E249)</f>
        <v/>
      </c>
      <c r="F316" s="88" t="str">
        <f>IF(op!F249="","",op!F249+1)</f>
        <v/>
      </c>
      <c r="G316" s="290" t="str">
        <f>IF(op!G249="","",op!G249)</f>
        <v/>
      </c>
      <c r="H316" s="88" t="str">
        <f>IF(op!H249=0,"",op!H249)</f>
        <v/>
      </c>
      <c r="I316" s="99" t="str">
        <f>IF(J316="","",(IF(op!I249+1&gt;LOOKUP(H316,schaal2019,regels2019),op!I249,op!I249+1)))</f>
        <v/>
      </c>
      <c r="J316" s="291" t="str">
        <f>IF(op!J249="","",op!J249)</f>
        <v/>
      </c>
      <c r="K316" s="971"/>
      <c r="L316" s="859">
        <f t="shared" si="126"/>
        <v>0</v>
      </c>
      <c r="M316" s="859">
        <f t="shared" si="126"/>
        <v>0</v>
      </c>
      <c r="N316" s="867" t="str">
        <f t="shared" si="121"/>
        <v/>
      </c>
      <c r="O316" s="867" t="str">
        <f t="shared" si="122"/>
        <v/>
      </c>
      <c r="P316" s="953" t="str">
        <f t="shared" si="108"/>
        <v/>
      </c>
      <c r="Q316" s="70"/>
      <c r="R316" s="739" t="str">
        <f t="shared" si="123"/>
        <v/>
      </c>
      <c r="S316" s="739" t="str">
        <f t="shared" si="109"/>
        <v/>
      </c>
      <c r="T316" s="740" t="str">
        <f t="shared" si="110"/>
        <v/>
      </c>
      <c r="U316" s="275"/>
      <c r="V316" s="288"/>
      <c r="W316" s="288"/>
      <c r="X316" s="288"/>
      <c r="Y316" s="908">
        <f t="shared" si="111"/>
        <v>0</v>
      </c>
      <c r="Z316" s="986">
        <f>tab!$D$62</f>
        <v>0.6</v>
      </c>
      <c r="AA316" s="944">
        <f t="shared" si="112"/>
        <v>0</v>
      </c>
      <c r="AB316" s="944">
        <f t="shared" si="113"/>
        <v>0</v>
      </c>
      <c r="AC316" s="944">
        <f t="shared" si="114"/>
        <v>0</v>
      </c>
      <c r="AD316" s="943" t="e">
        <f t="shared" si="115"/>
        <v>#VALUE!</v>
      </c>
      <c r="AE316" s="943">
        <f t="shared" si="116"/>
        <v>0</v>
      </c>
      <c r="AF316" s="916">
        <f>IF(H316&gt;8,tab!$D$63,tab!$D$65)</f>
        <v>0.5</v>
      </c>
      <c r="AG316" s="925">
        <f t="shared" si="117"/>
        <v>0</v>
      </c>
      <c r="AH316" s="940">
        <f t="shared" si="118"/>
        <v>0</v>
      </c>
      <c r="AI316" s="924" t="e">
        <f>DATE(YEAR(tab!$H$3),MONTH(G316),DAY(G316))&gt;tab!$H$3</f>
        <v>#VALUE!</v>
      </c>
      <c r="AJ316" s="924" t="e">
        <f t="shared" si="124"/>
        <v>#VALUE!</v>
      </c>
      <c r="AK316" s="884">
        <f t="shared" si="119"/>
        <v>30</v>
      </c>
      <c r="AL316" s="884">
        <f t="shared" si="125"/>
        <v>30</v>
      </c>
      <c r="AM316" s="925">
        <f t="shared" si="120"/>
        <v>0</v>
      </c>
    </row>
    <row r="317" spans="3:39" x14ac:dyDescent="0.2">
      <c r="C317" s="69"/>
      <c r="D317" s="75" t="str">
        <f>IF(op!D250=0,"",op!D250)</f>
        <v/>
      </c>
      <c r="E317" s="75" t="str">
        <f>IF(op!E250=0,"-",op!E250)</f>
        <v/>
      </c>
      <c r="F317" s="88" t="str">
        <f>IF(op!F250="","",op!F250+1)</f>
        <v/>
      </c>
      <c r="G317" s="290" t="str">
        <f>IF(op!G250="","",op!G250)</f>
        <v/>
      </c>
      <c r="H317" s="88" t="str">
        <f>IF(op!H250=0,"",op!H250)</f>
        <v/>
      </c>
      <c r="I317" s="99" t="str">
        <f>IF(J317="","",(IF(op!I250+1&gt;LOOKUP(H317,schaal2019,regels2019),op!I250,op!I250+1)))</f>
        <v/>
      </c>
      <c r="J317" s="291" t="str">
        <f>IF(op!J250="","",op!J250)</f>
        <v/>
      </c>
      <c r="K317" s="971"/>
      <c r="L317" s="859">
        <f t="shared" si="126"/>
        <v>0</v>
      </c>
      <c r="M317" s="859">
        <f t="shared" si="126"/>
        <v>0</v>
      </c>
      <c r="N317" s="867" t="str">
        <f t="shared" si="121"/>
        <v/>
      </c>
      <c r="O317" s="867" t="str">
        <f t="shared" si="122"/>
        <v/>
      </c>
      <c r="P317" s="953" t="str">
        <f t="shared" si="108"/>
        <v/>
      </c>
      <c r="Q317" s="70"/>
      <c r="R317" s="739" t="str">
        <f t="shared" si="123"/>
        <v/>
      </c>
      <c r="S317" s="739" t="str">
        <f t="shared" si="109"/>
        <v/>
      </c>
      <c r="T317" s="740" t="str">
        <f t="shared" si="110"/>
        <v/>
      </c>
      <c r="U317" s="275"/>
      <c r="V317" s="288"/>
      <c r="W317" s="288"/>
      <c r="X317" s="288"/>
      <c r="Y317" s="908">
        <f t="shared" ref="Y317:Y339" si="127">IF(H317="",0,VLOOKUP(H317,salaris2020,I317+1,FALSE))</f>
        <v>0</v>
      </c>
      <c r="Z317" s="986">
        <f>tab!$D$62</f>
        <v>0.6</v>
      </c>
      <c r="AA317" s="944">
        <f t="shared" si="112"/>
        <v>0</v>
      </c>
      <c r="AB317" s="944">
        <f t="shared" si="113"/>
        <v>0</v>
      </c>
      <c r="AC317" s="944">
        <f t="shared" si="114"/>
        <v>0</v>
      </c>
      <c r="AD317" s="943" t="e">
        <f t="shared" si="115"/>
        <v>#VALUE!</v>
      </c>
      <c r="AE317" s="943">
        <f t="shared" si="116"/>
        <v>0</v>
      </c>
      <c r="AF317" s="916">
        <f>IF(H317&gt;8,tab!$D$63,tab!$D$65)</f>
        <v>0.5</v>
      </c>
      <c r="AG317" s="925">
        <f t="shared" si="117"/>
        <v>0</v>
      </c>
      <c r="AH317" s="940">
        <f t="shared" si="118"/>
        <v>0</v>
      </c>
      <c r="AI317" s="924" t="e">
        <f>DATE(YEAR(tab!$H$3),MONTH(G317),DAY(G317))&gt;tab!$H$3</f>
        <v>#VALUE!</v>
      </c>
      <c r="AJ317" s="924" t="e">
        <f t="shared" si="124"/>
        <v>#VALUE!</v>
      </c>
      <c r="AK317" s="884">
        <f t="shared" si="119"/>
        <v>30</v>
      </c>
      <c r="AL317" s="884">
        <f t="shared" si="125"/>
        <v>30</v>
      </c>
      <c r="AM317" s="925">
        <f t="shared" ref="AM317:AM339" si="128">ROUND((AL317*(SUM(J317:J317))),2)</f>
        <v>0</v>
      </c>
    </row>
    <row r="318" spans="3:39" x14ac:dyDescent="0.2">
      <c r="C318" s="69"/>
      <c r="D318" s="75" t="str">
        <f>IF(op!D251=0,"",op!D251)</f>
        <v/>
      </c>
      <c r="E318" s="75" t="str">
        <f>IF(op!E251=0,"-",op!E251)</f>
        <v/>
      </c>
      <c r="F318" s="88" t="str">
        <f>IF(op!F251="","",op!F251+1)</f>
        <v/>
      </c>
      <c r="G318" s="290" t="str">
        <f>IF(op!G251="","",op!G251)</f>
        <v/>
      </c>
      <c r="H318" s="88" t="str">
        <f>IF(op!H251=0,"",op!H251)</f>
        <v/>
      </c>
      <c r="I318" s="99" t="str">
        <f>IF(J318="","",(IF(op!I251+1&gt;LOOKUP(H318,schaal2019,regels2019),op!I251,op!I251+1)))</f>
        <v/>
      </c>
      <c r="J318" s="291" t="str">
        <f>IF(op!J251="","",op!J251)</f>
        <v/>
      </c>
      <c r="K318" s="971"/>
      <c r="L318" s="859">
        <f t="shared" si="126"/>
        <v>0</v>
      </c>
      <c r="M318" s="859">
        <f t="shared" si="126"/>
        <v>0</v>
      </c>
      <c r="N318" s="867" t="str">
        <f t="shared" si="121"/>
        <v/>
      </c>
      <c r="O318" s="867" t="str">
        <f t="shared" si="122"/>
        <v/>
      </c>
      <c r="P318" s="953" t="str">
        <f t="shared" si="108"/>
        <v/>
      </c>
      <c r="Q318" s="70"/>
      <c r="R318" s="739" t="str">
        <f t="shared" si="123"/>
        <v/>
      </c>
      <c r="S318" s="739" t="str">
        <f t="shared" si="109"/>
        <v/>
      </c>
      <c r="T318" s="740" t="str">
        <f t="shared" si="110"/>
        <v/>
      </c>
      <c r="U318" s="275"/>
      <c r="V318" s="288"/>
      <c r="W318" s="288"/>
      <c r="X318" s="288"/>
      <c r="Y318" s="908">
        <f t="shared" si="127"/>
        <v>0</v>
      </c>
      <c r="Z318" s="986">
        <f>tab!$D$62</f>
        <v>0.6</v>
      </c>
      <c r="AA318" s="944">
        <f t="shared" si="112"/>
        <v>0</v>
      </c>
      <c r="AB318" s="944">
        <f t="shared" si="113"/>
        <v>0</v>
      </c>
      <c r="AC318" s="944">
        <f t="shared" si="114"/>
        <v>0</v>
      </c>
      <c r="AD318" s="943" t="e">
        <f t="shared" si="115"/>
        <v>#VALUE!</v>
      </c>
      <c r="AE318" s="943">
        <f t="shared" si="116"/>
        <v>0</v>
      </c>
      <c r="AF318" s="916">
        <f>IF(H318&gt;8,tab!$D$63,tab!$D$65)</f>
        <v>0.5</v>
      </c>
      <c r="AG318" s="925">
        <f t="shared" si="117"/>
        <v>0</v>
      </c>
      <c r="AH318" s="940">
        <f t="shared" si="118"/>
        <v>0</v>
      </c>
      <c r="AI318" s="924" t="e">
        <f>DATE(YEAR(tab!$H$3),MONTH(G318),DAY(G318))&gt;tab!$H$3</f>
        <v>#VALUE!</v>
      </c>
      <c r="AJ318" s="924" t="e">
        <f t="shared" si="124"/>
        <v>#VALUE!</v>
      </c>
      <c r="AK318" s="884">
        <f t="shared" si="119"/>
        <v>30</v>
      </c>
      <c r="AL318" s="884">
        <f t="shared" si="125"/>
        <v>30</v>
      </c>
      <c r="AM318" s="925">
        <f t="shared" si="128"/>
        <v>0</v>
      </c>
    </row>
    <row r="319" spans="3:39" x14ac:dyDescent="0.2">
      <c r="C319" s="69"/>
      <c r="D319" s="75" t="str">
        <f>IF(op!D252=0,"",op!D252)</f>
        <v/>
      </c>
      <c r="E319" s="75" t="str">
        <f>IF(op!E252=0,"-",op!E252)</f>
        <v/>
      </c>
      <c r="F319" s="88" t="str">
        <f>IF(op!F252="","",op!F252+1)</f>
        <v/>
      </c>
      <c r="G319" s="290" t="str">
        <f>IF(op!G252="","",op!G252)</f>
        <v/>
      </c>
      <c r="H319" s="88" t="str">
        <f>IF(op!H252=0,"",op!H252)</f>
        <v/>
      </c>
      <c r="I319" s="99" t="str">
        <f>IF(J319="","",(IF(op!I252+1&gt;LOOKUP(H319,schaal2019,regels2019),op!I252,op!I252+1)))</f>
        <v/>
      </c>
      <c r="J319" s="291" t="str">
        <f>IF(op!J252="","",op!J252)</f>
        <v/>
      </c>
      <c r="K319" s="971"/>
      <c r="L319" s="859">
        <f t="shared" si="126"/>
        <v>0</v>
      </c>
      <c r="M319" s="859">
        <f t="shared" si="126"/>
        <v>0</v>
      </c>
      <c r="N319" s="867" t="str">
        <f t="shared" si="121"/>
        <v/>
      </c>
      <c r="O319" s="867" t="str">
        <f t="shared" si="122"/>
        <v/>
      </c>
      <c r="P319" s="953" t="str">
        <f t="shared" si="108"/>
        <v/>
      </c>
      <c r="Q319" s="70"/>
      <c r="R319" s="739" t="str">
        <f t="shared" si="123"/>
        <v/>
      </c>
      <c r="S319" s="739" t="str">
        <f t="shared" si="109"/>
        <v/>
      </c>
      <c r="T319" s="740" t="str">
        <f t="shared" si="110"/>
        <v/>
      </c>
      <c r="U319" s="275"/>
      <c r="V319" s="288"/>
      <c r="W319" s="288"/>
      <c r="X319" s="288"/>
      <c r="Y319" s="908">
        <f t="shared" si="127"/>
        <v>0</v>
      </c>
      <c r="Z319" s="986">
        <f>tab!$D$62</f>
        <v>0.6</v>
      </c>
      <c r="AA319" s="944">
        <f t="shared" si="112"/>
        <v>0</v>
      </c>
      <c r="AB319" s="944">
        <f t="shared" si="113"/>
        <v>0</v>
      </c>
      <c r="AC319" s="944">
        <f t="shared" si="114"/>
        <v>0</v>
      </c>
      <c r="AD319" s="943" t="e">
        <f t="shared" si="115"/>
        <v>#VALUE!</v>
      </c>
      <c r="AE319" s="943">
        <f t="shared" si="116"/>
        <v>0</v>
      </c>
      <c r="AF319" s="916">
        <f>IF(H319&gt;8,tab!$D$63,tab!$D$65)</f>
        <v>0.5</v>
      </c>
      <c r="AG319" s="925">
        <f t="shared" si="117"/>
        <v>0</v>
      </c>
      <c r="AH319" s="940">
        <f t="shared" si="118"/>
        <v>0</v>
      </c>
      <c r="AI319" s="924" t="e">
        <f>DATE(YEAR(tab!$H$3),MONTH(G319),DAY(G319))&gt;tab!$H$3</f>
        <v>#VALUE!</v>
      </c>
      <c r="AJ319" s="924" t="e">
        <f t="shared" si="124"/>
        <v>#VALUE!</v>
      </c>
      <c r="AK319" s="884">
        <f t="shared" si="119"/>
        <v>30</v>
      </c>
      <c r="AL319" s="884">
        <f t="shared" si="125"/>
        <v>30</v>
      </c>
      <c r="AM319" s="925">
        <f t="shared" si="128"/>
        <v>0</v>
      </c>
    </row>
    <row r="320" spans="3:39" x14ac:dyDescent="0.2">
      <c r="C320" s="69"/>
      <c r="D320" s="75" t="str">
        <f>IF(op!D253=0,"",op!D253)</f>
        <v/>
      </c>
      <c r="E320" s="75" t="str">
        <f>IF(op!E253=0,"-",op!E253)</f>
        <v/>
      </c>
      <c r="F320" s="88" t="str">
        <f>IF(op!F253="","",op!F253+1)</f>
        <v/>
      </c>
      <c r="G320" s="290" t="str">
        <f>IF(op!G253="","",op!G253)</f>
        <v/>
      </c>
      <c r="H320" s="88" t="str">
        <f>IF(op!H253=0,"",op!H253)</f>
        <v/>
      </c>
      <c r="I320" s="99" t="str">
        <f>IF(J320="","",(IF(op!I253+1&gt;LOOKUP(H320,schaal2019,regels2019),op!I253,op!I253+1)))</f>
        <v/>
      </c>
      <c r="J320" s="291" t="str">
        <f>IF(op!J253="","",op!J253)</f>
        <v/>
      </c>
      <c r="K320" s="971"/>
      <c r="L320" s="859">
        <f t="shared" si="126"/>
        <v>0</v>
      </c>
      <c r="M320" s="859">
        <f t="shared" si="126"/>
        <v>0</v>
      </c>
      <c r="N320" s="867" t="str">
        <f t="shared" si="121"/>
        <v/>
      </c>
      <c r="O320" s="867" t="str">
        <f t="shared" si="122"/>
        <v/>
      </c>
      <c r="P320" s="953" t="str">
        <f t="shared" si="108"/>
        <v/>
      </c>
      <c r="Q320" s="70"/>
      <c r="R320" s="739" t="str">
        <f t="shared" si="123"/>
        <v/>
      </c>
      <c r="S320" s="739" t="str">
        <f t="shared" si="109"/>
        <v/>
      </c>
      <c r="T320" s="740" t="str">
        <f t="shared" si="110"/>
        <v/>
      </c>
      <c r="U320" s="275"/>
      <c r="V320" s="288"/>
      <c r="W320" s="288"/>
      <c r="X320" s="288"/>
      <c r="Y320" s="908">
        <f t="shared" si="127"/>
        <v>0</v>
      </c>
      <c r="Z320" s="986">
        <f>tab!$D$62</f>
        <v>0.6</v>
      </c>
      <c r="AA320" s="944">
        <f t="shared" si="112"/>
        <v>0</v>
      </c>
      <c r="AB320" s="944">
        <f t="shared" si="113"/>
        <v>0</v>
      </c>
      <c r="AC320" s="944">
        <f t="shared" si="114"/>
        <v>0</v>
      </c>
      <c r="AD320" s="943" t="e">
        <f t="shared" si="115"/>
        <v>#VALUE!</v>
      </c>
      <c r="AE320" s="943">
        <f t="shared" si="116"/>
        <v>0</v>
      </c>
      <c r="AF320" s="916">
        <f>IF(H320&gt;8,tab!$D$63,tab!$D$65)</f>
        <v>0.5</v>
      </c>
      <c r="AG320" s="925">
        <f t="shared" si="117"/>
        <v>0</v>
      </c>
      <c r="AH320" s="940">
        <f t="shared" si="118"/>
        <v>0</v>
      </c>
      <c r="AI320" s="924" t="e">
        <f>DATE(YEAR(tab!$H$3),MONTH(G320),DAY(G320))&gt;tab!$H$3</f>
        <v>#VALUE!</v>
      </c>
      <c r="AJ320" s="924" t="e">
        <f t="shared" si="124"/>
        <v>#VALUE!</v>
      </c>
      <c r="AK320" s="884">
        <f t="shared" si="119"/>
        <v>30</v>
      </c>
      <c r="AL320" s="884">
        <f t="shared" si="125"/>
        <v>30</v>
      </c>
      <c r="AM320" s="925">
        <f t="shared" si="128"/>
        <v>0</v>
      </c>
    </row>
    <row r="321" spans="3:39" x14ac:dyDescent="0.2">
      <c r="C321" s="69"/>
      <c r="D321" s="75" t="str">
        <f>IF(op!D254=0,"",op!D254)</f>
        <v/>
      </c>
      <c r="E321" s="75" t="str">
        <f>IF(op!E254=0,"-",op!E254)</f>
        <v/>
      </c>
      <c r="F321" s="88" t="str">
        <f>IF(op!F254="","",op!F254+1)</f>
        <v/>
      </c>
      <c r="G321" s="290" t="str">
        <f>IF(op!G254="","",op!G254)</f>
        <v/>
      </c>
      <c r="H321" s="88" t="str">
        <f>IF(op!H254=0,"",op!H254)</f>
        <v/>
      </c>
      <c r="I321" s="99" t="str">
        <f>IF(J321="","",(IF(op!I254+1&gt;LOOKUP(H321,schaal2019,regels2019),op!I254,op!I254+1)))</f>
        <v/>
      </c>
      <c r="J321" s="291" t="str">
        <f>IF(op!J254="","",op!J254)</f>
        <v/>
      </c>
      <c r="K321" s="971"/>
      <c r="L321" s="859">
        <f t="shared" si="126"/>
        <v>0</v>
      </c>
      <c r="M321" s="859">
        <f t="shared" si="126"/>
        <v>0</v>
      </c>
      <c r="N321" s="867" t="str">
        <f t="shared" si="121"/>
        <v/>
      </c>
      <c r="O321" s="867" t="str">
        <f t="shared" si="122"/>
        <v/>
      </c>
      <c r="P321" s="953" t="str">
        <f t="shared" si="108"/>
        <v/>
      </c>
      <c r="Q321" s="70"/>
      <c r="R321" s="739" t="str">
        <f t="shared" si="123"/>
        <v/>
      </c>
      <c r="S321" s="739" t="str">
        <f t="shared" si="109"/>
        <v/>
      </c>
      <c r="T321" s="740" t="str">
        <f t="shared" si="110"/>
        <v/>
      </c>
      <c r="U321" s="275"/>
      <c r="V321" s="288"/>
      <c r="W321" s="288"/>
      <c r="X321" s="288"/>
      <c r="Y321" s="908">
        <f t="shared" si="127"/>
        <v>0</v>
      </c>
      <c r="Z321" s="986">
        <f>tab!$D$62</f>
        <v>0.6</v>
      </c>
      <c r="AA321" s="944">
        <f t="shared" si="112"/>
        <v>0</v>
      </c>
      <c r="AB321" s="944">
        <f t="shared" si="113"/>
        <v>0</v>
      </c>
      <c r="AC321" s="944">
        <f t="shared" si="114"/>
        <v>0</v>
      </c>
      <c r="AD321" s="943" t="e">
        <f t="shared" si="115"/>
        <v>#VALUE!</v>
      </c>
      <c r="AE321" s="943">
        <f t="shared" si="116"/>
        <v>0</v>
      </c>
      <c r="AF321" s="916">
        <f>IF(H321&gt;8,tab!$D$63,tab!$D$65)</f>
        <v>0.5</v>
      </c>
      <c r="AG321" s="925">
        <f t="shared" si="117"/>
        <v>0</v>
      </c>
      <c r="AH321" s="940">
        <f t="shared" si="118"/>
        <v>0</v>
      </c>
      <c r="AI321" s="924" t="e">
        <f>DATE(YEAR(tab!$H$3),MONTH(G321),DAY(G321))&gt;tab!$H$3</f>
        <v>#VALUE!</v>
      </c>
      <c r="AJ321" s="924" t="e">
        <f t="shared" si="124"/>
        <v>#VALUE!</v>
      </c>
      <c r="AK321" s="884">
        <f t="shared" si="119"/>
        <v>30</v>
      </c>
      <c r="AL321" s="884">
        <f t="shared" si="125"/>
        <v>30</v>
      </c>
      <c r="AM321" s="925">
        <f t="shared" si="128"/>
        <v>0</v>
      </c>
    </row>
    <row r="322" spans="3:39" x14ac:dyDescent="0.2">
      <c r="C322" s="69"/>
      <c r="D322" s="75" t="str">
        <f>IF(op!D255=0,"",op!D255)</f>
        <v/>
      </c>
      <c r="E322" s="75" t="str">
        <f>IF(op!E255=0,"-",op!E255)</f>
        <v/>
      </c>
      <c r="F322" s="88" t="str">
        <f>IF(op!F255="","",op!F255+1)</f>
        <v/>
      </c>
      <c r="G322" s="290" t="str">
        <f>IF(op!G255="","",op!G255)</f>
        <v/>
      </c>
      <c r="H322" s="88" t="str">
        <f>IF(op!H255=0,"",op!H255)</f>
        <v/>
      </c>
      <c r="I322" s="99" t="str">
        <f>IF(J322="","",(IF(op!I255+1&gt;LOOKUP(H322,schaal2019,regels2019),op!I255,op!I255+1)))</f>
        <v/>
      </c>
      <c r="J322" s="291" t="str">
        <f>IF(op!J255="","",op!J255)</f>
        <v/>
      </c>
      <c r="K322" s="971"/>
      <c r="L322" s="859">
        <f t="shared" si="126"/>
        <v>0</v>
      </c>
      <c r="M322" s="859">
        <f t="shared" si="126"/>
        <v>0</v>
      </c>
      <c r="N322" s="867" t="str">
        <f t="shared" si="121"/>
        <v/>
      </c>
      <c r="O322" s="867" t="str">
        <f t="shared" si="122"/>
        <v/>
      </c>
      <c r="P322" s="953" t="str">
        <f t="shared" si="108"/>
        <v/>
      </c>
      <c r="Q322" s="70"/>
      <c r="R322" s="739" t="str">
        <f t="shared" si="123"/>
        <v/>
      </c>
      <c r="S322" s="739" t="str">
        <f t="shared" si="109"/>
        <v/>
      </c>
      <c r="T322" s="740" t="str">
        <f t="shared" si="110"/>
        <v/>
      </c>
      <c r="U322" s="275"/>
      <c r="V322" s="288"/>
      <c r="W322" s="288"/>
      <c r="X322" s="288"/>
      <c r="Y322" s="908">
        <f t="shared" si="127"/>
        <v>0</v>
      </c>
      <c r="Z322" s="986">
        <f>tab!$D$62</f>
        <v>0.6</v>
      </c>
      <c r="AA322" s="944">
        <f t="shared" si="112"/>
        <v>0</v>
      </c>
      <c r="AB322" s="944">
        <f t="shared" si="113"/>
        <v>0</v>
      </c>
      <c r="AC322" s="944">
        <f t="shared" si="114"/>
        <v>0</v>
      </c>
      <c r="AD322" s="943" t="e">
        <f t="shared" si="115"/>
        <v>#VALUE!</v>
      </c>
      <c r="AE322" s="943">
        <f t="shared" si="116"/>
        <v>0</v>
      </c>
      <c r="AF322" s="916">
        <f>IF(H322&gt;8,tab!$D$63,tab!$D$65)</f>
        <v>0.5</v>
      </c>
      <c r="AG322" s="925">
        <f t="shared" si="117"/>
        <v>0</v>
      </c>
      <c r="AH322" s="940">
        <f t="shared" si="118"/>
        <v>0</v>
      </c>
      <c r="AI322" s="924" t="e">
        <f>DATE(YEAR(tab!$H$3),MONTH(G322),DAY(G322))&gt;tab!$H$3</f>
        <v>#VALUE!</v>
      </c>
      <c r="AJ322" s="924" t="e">
        <f t="shared" si="124"/>
        <v>#VALUE!</v>
      </c>
      <c r="AK322" s="884">
        <f t="shared" si="119"/>
        <v>30</v>
      </c>
      <c r="AL322" s="884">
        <f t="shared" si="125"/>
        <v>30</v>
      </c>
      <c r="AM322" s="925">
        <f t="shared" si="128"/>
        <v>0</v>
      </c>
    </row>
    <row r="323" spans="3:39" x14ac:dyDescent="0.2">
      <c r="C323" s="69"/>
      <c r="D323" s="75" t="str">
        <f>IF(op!D256=0,"",op!D256)</f>
        <v/>
      </c>
      <c r="E323" s="75" t="str">
        <f>IF(op!E256=0,"-",op!E256)</f>
        <v/>
      </c>
      <c r="F323" s="88" t="str">
        <f>IF(op!F256="","",op!F256+1)</f>
        <v/>
      </c>
      <c r="G323" s="290" t="str">
        <f>IF(op!G256="","",op!G256)</f>
        <v/>
      </c>
      <c r="H323" s="88" t="str">
        <f>IF(op!H256=0,"",op!H256)</f>
        <v/>
      </c>
      <c r="I323" s="99" t="str">
        <f>IF(J323="","",(IF(op!I256+1&gt;LOOKUP(H323,schaal2019,regels2019),op!I256,op!I256+1)))</f>
        <v/>
      </c>
      <c r="J323" s="291" t="str">
        <f>IF(op!J256="","",op!J256)</f>
        <v/>
      </c>
      <c r="K323" s="971"/>
      <c r="L323" s="859">
        <f t="shared" si="126"/>
        <v>0</v>
      </c>
      <c r="M323" s="859">
        <f t="shared" si="126"/>
        <v>0</v>
      </c>
      <c r="N323" s="867" t="str">
        <f t="shared" si="121"/>
        <v/>
      </c>
      <c r="O323" s="867" t="str">
        <f t="shared" si="122"/>
        <v/>
      </c>
      <c r="P323" s="953" t="str">
        <f t="shared" si="108"/>
        <v/>
      </c>
      <c r="Q323" s="70"/>
      <c r="R323" s="739" t="str">
        <f t="shared" si="123"/>
        <v/>
      </c>
      <c r="S323" s="739" t="str">
        <f t="shared" si="109"/>
        <v/>
      </c>
      <c r="T323" s="740" t="str">
        <f t="shared" si="110"/>
        <v/>
      </c>
      <c r="U323" s="275"/>
      <c r="V323" s="288"/>
      <c r="W323" s="288"/>
      <c r="X323" s="288"/>
      <c r="Y323" s="908">
        <f t="shared" si="127"/>
        <v>0</v>
      </c>
      <c r="Z323" s="986">
        <f>tab!$D$62</f>
        <v>0.6</v>
      </c>
      <c r="AA323" s="944">
        <f t="shared" si="112"/>
        <v>0</v>
      </c>
      <c r="AB323" s="944">
        <f t="shared" si="113"/>
        <v>0</v>
      </c>
      <c r="AC323" s="944">
        <f t="shared" si="114"/>
        <v>0</v>
      </c>
      <c r="AD323" s="943" t="e">
        <f t="shared" si="115"/>
        <v>#VALUE!</v>
      </c>
      <c r="AE323" s="943">
        <f t="shared" si="116"/>
        <v>0</v>
      </c>
      <c r="AF323" s="916">
        <f>IF(H323&gt;8,tab!$D$63,tab!$D$65)</f>
        <v>0.5</v>
      </c>
      <c r="AG323" s="925">
        <f t="shared" si="117"/>
        <v>0</v>
      </c>
      <c r="AH323" s="940">
        <f t="shared" si="118"/>
        <v>0</v>
      </c>
      <c r="AI323" s="924" t="e">
        <f>DATE(YEAR(tab!$H$3),MONTH(G323),DAY(G323))&gt;tab!$H$3</f>
        <v>#VALUE!</v>
      </c>
      <c r="AJ323" s="924" t="e">
        <f t="shared" si="124"/>
        <v>#VALUE!</v>
      </c>
      <c r="AK323" s="884">
        <f t="shared" si="119"/>
        <v>30</v>
      </c>
      <c r="AL323" s="884">
        <f t="shared" si="125"/>
        <v>30</v>
      </c>
      <c r="AM323" s="925">
        <f t="shared" si="128"/>
        <v>0</v>
      </c>
    </row>
    <row r="324" spans="3:39" x14ac:dyDescent="0.2">
      <c r="C324" s="69"/>
      <c r="D324" s="75" t="str">
        <f>IF(op!D257=0,"",op!D257)</f>
        <v/>
      </c>
      <c r="E324" s="75" t="str">
        <f>IF(op!E257=0,"-",op!E257)</f>
        <v/>
      </c>
      <c r="F324" s="88" t="str">
        <f>IF(op!F257="","",op!F257+1)</f>
        <v/>
      </c>
      <c r="G324" s="290" t="str">
        <f>IF(op!G257="","",op!G257)</f>
        <v/>
      </c>
      <c r="H324" s="88" t="str">
        <f>IF(op!H257=0,"",op!H257)</f>
        <v/>
      </c>
      <c r="I324" s="99" t="str">
        <f>IF(J324="","",(IF(op!I257+1&gt;LOOKUP(H324,schaal2019,regels2019),op!I257,op!I257+1)))</f>
        <v/>
      </c>
      <c r="J324" s="291" t="str">
        <f>IF(op!J257="","",op!J257)</f>
        <v/>
      </c>
      <c r="K324" s="971"/>
      <c r="L324" s="859">
        <f t="shared" si="126"/>
        <v>0</v>
      </c>
      <c r="M324" s="859">
        <f t="shared" si="126"/>
        <v>0</v>
      </c>
      <c r="N324" s="867" t="str">
        <f t="shared" si="121"/>
        <v/>
      </c>
      <c r="O324" s="867" t="str">
        <f t="shared" si="122"/>
        <v/>
      </c>
      <c r="P324" s="953" t="str">
        <f t="shared" si="108"/>
        <v/>
      </c>
      <c r="Q324" s="70"/>
      <c r="R324" s="739" t="str">
        <f t="shared" si="123"/>
        <v/>
      </c>
      <c r="S324" s="739" t="str">
        <f t="shared" si="109"/>
        <v/>
      </c>
      <c r="T324" s="740" t="str">
        <f t="shared" si="110"/>
        <v/>
      </c>
      <c r="U324" s="275"/>
      <c r="V324" s="288"/>
      <c r="W324" s="288"/>
      <c r="X324" s="288"/>
      <c r="Y324" s="908">
        <f t="shared" si="127"/>
        <v>0</v>
      </c>
      <c r="Z324" s="986">
        <f>tab!$D$62</f>
        <v>0.6</v>
      </c>
      <c r="AA324" s="944">
        <f t="shared" si="112"/>
        <v>0</v>
      </c>
      <c r="AB324" s="944">
        <f t="shared" si="113"/>
        <v>0</v>
      </c>
      <c r="AC324" s="944">
        <f t="shared" si="114"/>
        <v>0</v>
      </c>
      <c r="AD324" s="943" t="e">
        <f t="shared" si="115"/>
        <v>#VALUE!</v>
      </c>
      <c r="AE324" s="943">
        <f t="shared" si="116"/>
        <v>0</v>
      </c>
      <c r="AF324" s="916">
        <f>IF(H324&gt;8,tab!$D$63,tab!$D$65)</f>
        <v>0.5</v>
      </c>
      <c r="AG324" s="925">
        <f t="shared" si="117"/>
        <v>0</v>
      </c>
      <c r="AH324" s="940">
        <f t="shared" si="118"/>
        <v>0</v>
      </c>
      <c r="AI324" s="924" t="e">
        <f>DATE(YEAR(tab!$H$3),MONTH(G324),DAY(G324))&gt;tab!$H$3</f>
        <v>#VALUE!</v>
      </c>
      <c r="AJ324" s="924" t="e">
        <f t="shared" si="124"/>
        <v>#VALUE!</v>
      </c>
      <c r="AK324" s="884">
        <f t="shared" si="119"/>
        <v>30</v>
      </c>
      <c r="AL324" s="884">
        <f t="shared" si="125"/>
        <v>30</v>
      </c>
      <c r="AM324" s="925">
        <f t="shared" si="128"/>
        <v>0</v>
      </c>
    </row>
    <row r="325" spans="3:39" x14ac:dyDescent="0.2">
      <c r="C325" s="69"/>
      <c r="D325" s="75" t="str">
        <f>IF(op!D258=0,"",op!D258)</f>
        <v/>
      </c>
      <c r="E325" s="75" t="str">
        <f>IF(op!E258=0,"-",op!E258)</f>
        <v/>
      </c>
      <c r="F325" s="88" t="str">
        <f>IF(op!F258="","",op!F258+1)</f>
        <v/>
      </c>
      <c r="G325" s="290" t="str">
        <f>IF(op!G258="","",op!G258)</f>
        <v/>
      </c>
      <c r="H325" s="88" t="str">
        <f>IF(op!H258=0,"",op!H258)</f>
        <v/>
      </c>
      <c r="I325" s="99" t="str">
        <f>IF(J325="","",(IF(op!I258+1&gt;LOOKUP(H325,schaal2019,regels2019),op!I258,op!I258+1)))</f>
        <v/>
      </c>
      <c r="J325" s="291" t="str">
        <f>IF(op!J258="","",op!J258)</f>
        <v/>
      </c>
      <c r="K325" s="971"/>
      <c r="L325" s="859">
        <f t="shared" ref="L325:M339" si="129">IF(L258="","",L258)</f>
        <v>0</v>
      </c>
      <c r="M325" s="859">
        <f t="shared" si="129"/>
        <v>0</v>
      </c>
      <c r="N325" s="867" t="str">
        <f t="shared" si="121"/>
        <v/>
      </c>
      <c r="O325" s="867" t="str">
        <f t="shared" si="122"/>
        <v/>
      </c>
      <c r="P325" s="953" t="str">
        <f t="shared" si="108"/>
        <v/>
      </c>
      <c r="Q325" s="70"/>
      <c r="R325" s="739" t="str">
        <f t="shared" si="123"/>
        <v/>
      </c>
      <c r="S325" s="739" t="str">
        <f t="shared" si="109"/>
        <v/>
      </c>
      <c r="T325" s="740" t="str">
        <f t="shared" si="110"/>
        <v/>
      </c>
      <c r="U325" s="275"/>
      <c r="V325" s="288"/>
      <c r="W325" s="288"/>
      <c r="X325" s="288"/>
      <c r="Y325" s="908">
        <f t="shared" si="127"/>
        <v>0</v>
      </c>
      <c r="Z325" s="986">
        <f>tab!$D$62</f>
        <v>0.6</v>
      </c>
      <c r="AA325" s="944">
        <f t="shared" si="112"/>
        <v>0</v>
      </c>
      <c r="AB325" s="944">
        <f t="shared" si="113"/>
        <v>0</v>
      </c>
      <c r="AC325" s="944">
        <f t="shared" si="114"/>
        <v>0</v>
      </c>
      <c r="AD325" s="943" t="e">
        <f t="shared" si="115"/>
        <v>#VALUE!</v>
      </c>
      <c r="AE325" s="943">
        <f t="shared" si="116"/>
        <v>0</v>
      </c>
      <c r="AF325" s="916">
        <f>IF(H325&gt;8,tab!$D$63,tab!$D$65)</f>
        <v>0.5</v>
      </c>
      <c r="AG325" s="925">
        <f t="shared" si="117"/>
        <v>0</v>
      </c>
      <c r="AH325" s="940">
        <f t="shared" si="118"/>
        <v>0</v>
      </c>
      <c r="AI325" s="924" t="e">
        <f>DATE(YEAR(tab!$H$3),MONTH(G325),DAY(G325))&gt;tab!$H$3</f>
        <v>#VALUE!</v>
      </c>
      <c r="AJ325" s="924" t="e">
        <f t="shared" si="124"/>
        <v>#VALUE!</v>
      </c>
      <c r="AK325" s="884">
        <f t="shared" si="119"/>
        <v>30</v>
      </c>
      <c r="AL325" s="884">
        <f t="shared" si="125"/>
        <v>30</v>
      </c>
      <c r="AM325" s="925">
        <f t="shared" si="128"/>
        <v>0</v>
      </c>
    </row>
    <row r="326" spans="3:39" x14ac:dyDescent="0.2">
      <c r="C326" s="69"/>
      <c r="D326" s="75" t="str">
        <f>IF(op!D259=0,"",op!D259)</f>
        <v/>
      </c>
      <c r="E326" s="75" t="str">
        <f>IF(op!E259=0,"-",op!E259)</f>
        <v/>
      </c>
      <c r="F326" s="88" t="str">
        <f>IF(op!F259="","",op!F259+1)</f>
        <v/>
      </c>
      <c r="G326" s="290" t="str">
        <f>IF(op!G259="","",op!G259)</f>
        <v/>
      </c>
      <c r="H326" s="88" t="str">
        <f>IF(op!H259=0,"",op!H259)</f>
        <v/>
      </c>
      <c r="I326" s="99" t="str">
        <f>IF(J326="","",(IF(op!I259+1&gt;LOOKUP(H326,schaal2019,regels2019),op!I259,op!I259+1)))</f>
        <v/>
      </c>
      <c r="J326" s="291" t="str">
        <f>IF(op!J259="","",op!J259)</f>
        <v/>
      </c>
      <c r="K326" s="971"/>
      <c r="L326" s="859">
        <f t="shared" si="129"/>
        <v>0</v>
      </c>
      <c r="M326" s="859">
        <f t="shared" si="129"/>
        <v>0</v>
      </c>
      <c r="N326" s="867" t="str">
        <f t="shared" si="121"/>
        <v/>
      </c>
      <c r="O326" s="867" t="str">
        <f t="shared" si="122"/>
        <v/>
      </c>
      <c r="P326" s="953" t="str">
        <f t="shared" si="108"/>
        <v/>
      </c>
      <c r="Q326" s="70"/>
      <c r="R326" s="739" t="str">
        <f t="shared" si="123"/>
        <v/>
      </c>
      <c r="S326" s="739" t="str">
        <f t="shared" si="109"/>
        <v/>
      </c>
      <c r="T326" s="740" t="str">
        <f t="shared" si="110"/>
        <v/>
      </c>
      <c r="U326" s="275"/>
      <c r="V326" s="288"/>
      <c r="W326" s="288"/>
      <c r="X326" s="288"/>
      <c r="Y326" s="908">
        <f t="shared" si="127"/>
        <v>0</v>
      </c>
      <c r="Z326" s="986">
        <f>tab!$D$62</f>
        <v>0.6</v>
      </c>
      <c r="AA326" s="944">
        <f t="shared" si="112"/>
        <v>0</v>
      </c>
      <c r="AB326" s="944">
        <f t="shared" si="113"/>
        <v>0</v>
      </c>
      <c r="AC326" s="944">
        <f t="shared" si="114"/>
        <v>0</v>
      </c>
      <c r="AD326" s="943" t="e">
        <f t="shared" si="115"/>
        <v>#VALUE!</v>
      </c>
      <c r="AE326" s="943">
        <f t="shared" si="116"/>
        <v>0</v>
      </c>
      <c r="AF326" s="916">
        <f>IF(H326&gt;8,tab!$D$63,tab!$D$65)</f>
        <v>0.5</v>
      </c>
      <c r="AG326" s="925">
        <f t="shared" si="117"/>
        <v>0</v>
      </c>
      <c r="AH326" s="940">
        <f t="shared" si="118"/>
        <v>0</v>
      </c>
      <c r="AI326" s="924" t="e">
        <f>DATE(YEAR(tab!$H$3),MONTH(G326),DAY(G326))&gt;tab!$H$3</f>
        <v>#VALUE!</v>
      </c>
      <c r="AJ326" s="924" t="e">
        <f t="shared" si="124"/>
        <v>#VALUE!</v>
      </c>
      <c r="AK326" s="884">
        <f t="shared" si="119"/>
        <v>30</v>
      </c>
      <c r="AL326" s="884">
        <f t="shared" si="125"/>
        <v>30</v>
      </c>
      <c r="AM326" s="925">
        <f t="shared" si="128"/>
        <v>0</v>
      </c>
    </row>
    <row r="327" spans="3:39" x14ac:dyDescent="0.2">
      <c r="C327" s="69"/>
      <c r="D327" s="75" t="str">
        <f>IF(op!D260=0,"",op!D260)</f>
        <v/>
      </c>
      <c r="E327" s="75" t="str">
        <f>IF(op!E260=0,"-",op!E260)</f>
        <v/>
      </c>
      <c r="F327" s="88" t="str">
        <f>IF(op!F260="","",op!F260+1)</f>
        <v/>
      </c>
      <c r="G327" s="290" t="str">
        <f>IF(op!G260="","",op!G260)</f>
        <v/>
      </c>
      <c r="H327" s="88" t="str">
        <f>IF(op!H260=0,"",op!H260)</f>
        <v/>
      </c>
      <c r="I327" s="99" t="str">
        <f>IF(J327="","",(IF(op!I260+1&gt;LOOKUP(H327,schaal2019,regels2019),op!I260,op!I260+1)))</f>
        <v/>
      </c>
      <c r="J327" s="291" t="str">
        <f>IF(op!J260="","",op!J260)</f>
        <v/>
      </c>
      <c r="K327" s="971"/>
      <c r="L327" s="859">
        <f t="shared" si="129"/>
        <v>0</v>
      </c>
      <c r="M327" s="859">
        <f t="shared" si="129"/>
        <v>0</v>
      </c>
      <c r="N327" s="867" t="str">
        <f t="shared" si="121"/>
        <v/>
      </c>
      <c r="O327" s="867" t="str">
        <f t="shared" si="122"/>
        <v/>
      </c>
      <c r="P327" s="953" t="str">
        <f t="shared" si="108"/>
        <v/>
      </c>
      <c r="Q327" s="70"/>
      <c r="R327" s="739" t="str">
        <f t="shared" si="123"/>
        <v/>
      </c>
      <c r="S327" s="739" t="str">
        <f t="shared" si="109"/>
        <v/>
      </c>
      <c r="T327" s="740" t="str">
        <f t="shared" si="110"/>
        <v/>
      </c>
      <c r="U327" s="275"/>
      <c r="V327" s="288"/>
      <c r="W327" s="288"/>
      <c r="X327" s="288"/>
      <c r="Y327" s="908">
        <f t="shared" si="127"/>
        <v>0</v>
      </c>
      <c r="Z327" s="986">
        <f>tab!$D$62</f>
        <v>0.6</v>
      </c>
      <c r="AA327" s="944">
        <f t="shared" si="112"/>
        <v>0</v>
      </c>
      <c r="AB327" s="944">
        <f t="shared" si="113"/>
        <v>0</v>
      </c>
      <c r="AC327" s="944">
        <f t="shared" si="114"/>
        <v>0</v>
      </c>
      <c r="AD327" s="943" t="e">
        <f t="shared" si="115"/>
        <v>#VALUE!</v>
      </c>
      <c r="AE327" s="943">
        <f t="shared" si="116"/>
        <v>0</v>
      </c>
      <c r="AF327" s="916">
        <f>IF(H327&gt;8,tab!$D$63,tab!$D$65)</f>
        <v>0.5</v>
      </c>
      <c r="AG327" s="925">
        <f t="shared" si="117"/>
        <v>0</v>
      </c>
      <c r="AH327" s="940">
        <f t="shared" si="118"/>
        <v>0</v>
      </c>
      <c r="AI327" s="924" t="e">
        <f>DATE(YEAR(tab!$H$3),MONTH(G327),DAY(G327))&gt;tab!$H$3</f>
        <v>#VALUE!</v>
      </c>
      <c r="AJ327" s="924" t="e">
        <f t="shared" si="124"/>
        <v>#VALUE!</v>
      </c>
      <c r="AK327" s="884">
        <f t="shared" si="119"/>
        <v>30</v>
      </c>
      <c r="AL327" s="884">
        <f t="shared" si="125"/>
        <v>30</v>
      </c>
      <c r="AM327" s="925">
        <f t="shared" si="128"/>
        <v>0</v>
      </c>
    </row>
    <row r="328" spans="3:39" x14ac:dyDescent="0.2">
      <c r="C328" s="69"/>
      <c r="D328" s="75" t="str">
        <f>IF(op!D261=0,"",op!D261)</f>
        <v/>
      </c>
      <c r="E328" s="75" t="str">
        <f>IF(op!E261=0,"-",op!E261)</f>
        <v/>
      </c>
      <c r="F328" s="88" t="str">
        <f>IF(op!F261="","",op!F261+1)</f>
        <v/>
      </c>
      <c r="G328" s="290" t="str">
        <f>IF(op!G261="","",op!G261)</f>
        <v/>
      </c>
      <c r="H328" s="88" t="str">
        <f>IF(op!H261=0,"",op!H261)</f>
        <v/>
      </c>
      <c r="I328" s="99" t="str">
        <f>IF(J328="","",(IF(op!I261+1&gt;LOOKUP(H328,schaal2019,regels2019),op!I261,op!I261+1)))</f>
        <v/>
      </c>
      <c r="J328" s="291" t="str">
        <f>IF(op!J261="","",op!J261)</f>
        <v/>
      </c>
      <c r="K328" s="971"/>
      <c r="L328" s="859">
        <f t="shared" si="129"/>
        <v>0</v>
      </c>
      <c r="M328" s="859">
        <f t="shared" si="129"/>
        <v>0</v>
      </c>
      <c r="N328" s="867" t="str">
        <f t="shared" si="121"/>
        <v/>
      </c>
      <c r="O328" s="867" t="str">
        <f t="shared" si="122"/>
        <v/>
      </c>
      <c r="P328" s="953" t="str">
        <f t="shared" si="108"/>
        <v/>
      </c>
      <c r="Q328" s="70"/>
      <c r="R328" s="739" t="str">
        <f t="shared" si="123"/>
        <v/>
      </c>
      <c r="S328" s="739" t="str">
        <f t="shared" si="109"/>
        <v/>
      </c>
      <c r="T328" s="740" t="str">
        <f t="shared" si="110"/>
        <v/>
      </c>
      <c r="U328" s="275"/>
      <c r="V328" s="288"/>
      <c r="W328" s="288"/>
      <c r="X328" s="288"/>
      <c r="Y328" s="908">
        <f t="shared" si="127"/>
        <v>0</v>
      </c>
      <c r="Z328" s="986">
        <f>tab!$D$62</f>
        <v>0.6</v>
      </c>
      <c r="AA328" s="944">
        <f t="shared" si="112"/>
        <v>0</v>
      </c>
      <c r="AB328" s="944">
        <f t="shared" si="113"/>
        <v>0</v>
      </c>
      <c r="AC328" s="944">
        <f t="shared" si="114"/>
        <v>0</v>
      </c>
      <c r="AD328" s="943" t="e">
        <f t="shared" si="115"/>
        <v>#VALUE!</v>
      </c>
      <c r="AE328" s="943">
        <f t="shared" si="116"/>
        <v>0</v>
      </c>
      <c r="AF328" s="916">
        <f>IF(H328&gt;8,tab!$D$63,tab!$D$65)</f>
        <v>0.5</v>
      </c>
      <c r="AG328" s="925">
        <f t="shared" si="117"/>
        <v>0</v>
      </c>
      <c r="AH328" s="940">
        <f t="shared" si="118"/>
        <v>0</v>
      </c>
      <c r="AI328" s="924" t="e">
        <f>DATE(YEAR(tab!$H$3),MONTH(G328),DAY(G328))&gt;tab!$H$3</f>
        <v>#VALUE!</v>
      </c>
      <c r="AJ328" s="924" t="e">
        <f t="shared" si="124"/>
        <v>#VALUE!</v>
      </c>
      <c r="AK328" s="884">
        <f t="shared" si="119"/>
        <v>30</v>
      </c>
      <c r="AL328" s="884">
        <f t="shared" si="125"/>
        <v>30</v>
      </c>
      <c r="AM328" s="925">
        <f t="shared" si="128"/>
        <v>0</v>
      </c>
    </row>
    <row r="329" spans="3:39" x14ac:dyDescent="0.2">
      <c r="C329" s="69"/>
      <c r="D329" s="75" t="str">
        <f>IF(op!D262=0,"",op!D262)</f>
        <v/>
      </c>
      <c r="E329" s="75" t="str">
        <f>IF(op!E262=0,"-",op!E262)</f>
        <v/>
      </c>
      <c r="F329" s="88" t="str">
        <f>IF(op!F262="","",op!F262+1)</f>
        <v/>
      </c>
      <c r="G329" s="290" t="str">
        <f>IF(op!G262="","",op!G262)</f>
        <v/>
      </c>
      <c r="H329" s="88" t="str">
        <f>IF(op!H262=0,"",op!H262)</f>
        <v/>
      </c>
      <c r="I329" s="99" t="str">
        <f>IF(J329="","",(IF(op!I262+1&gt;LOOKUP(H329,schaal2019,regels2019),op!I262,op!I262+1)))</f>
        <v/>
      </c>
      <c r="J329" s="291" t="str">
        <f>IF(op!J262="","",op!J262)</f>
        <v/>
      </c>
      <c r="K329" s="971"/>
      <c r="L329" s="859">
        <f t="shared" si="129"/>
        <v>0</v>
      </c>
      <c r="M329" s="859">
        <f t="shared" si="129"/>
        <v>0</v>
      </c>
      <c r="N329" s="867" t="str">
        <f t="shared" si="121"/>
        <v/>
      </c>
      <c r="O329" s="867" t="str">
        <f t="shared" si="122"/>
        <v/>
      </c>
      <c r="P329" s="953" t="str">
        <f t="shared" si="108"/>
        <v/>
      </c>
      <c r="Q329" s="70"/>
      <c r="R329" s="739" t="str">
        <f t="shared" si="123"/>
        <v/>
      </c>
      <c r="S329" s="739" t="str">
        <f t="shared" si="109"/>
        <v/>
      </c>
      <c r="T329" s="740" t="str">
        <f t="shared" si="110"/>
        <v/>
      </c>
      <c r="U329" s="275"/>
      <c r="V329" s="288"/>
      <c r="W329" s="288"/>
      <c r="X329" s="288"/>
      <c r="Y329" s="908">
        <f t="shared" si="127"/>
        <v>0</v>
      </c>
      <c r="Z329" s="986">
        <f>tab!$D$62</f>
        <v>0.6</v>
      </c>
      <c r="AA329" s="944">
        <f t="shared" si="112"/>
        <v>0</v>
      </c>
      <c r="AB329" s="944">
        <f t="shared" si="113"/>
        <v>0</v>
      </c>
      <c r="AC329" s="944">
        <f t="shared" si="114"/>
        <v>0</v>
      </c>
      <c r="AD329" s="943" t="e">
        <f t="shared" si="115"/>
        <v>#VALUE!</v>
      </c>
      <c r="AE329" s="943">
        <f t="shared" si="116"/>
        <v>0</v>
      </c>
      <c r="AF329" s="916">
        <f>IF(H329&gt;8,tab!$D$63,tab!$D$65)</f>
        <v>0.5</v>
      </c>
      <c r="AG329" s="925">
        <f t="shared" si="117"/>
        <v>0</v>
      </c>
      <c r="AH329" s="940">
        <f t="shared" si="118"/>
        <v>0</v>
      </c>
      <c r="AI329" s="924" t="e">
        <f>DATE(YEAR(tab!$H$3),MONTH(G329),DAY(G329))&gt;tab!$H$3</f>
        <v>#VALUE!</v>
      </c>
      <c r="AJ329" s="924" t="e">
        <f t="shared" si="124"/>
        <v>#VALUE!</v>
      </c>
      <c r="AK329" s="884">
        <f t="shared" si="119"/>
        <v>30</v>
      </c>
      <c r="AL329" s="884">
        <f t="shared" si="125"/>
        <v>30</v>
      </c>
      <c r="AM329" s="925">
        <f t="shared" si="128"/>
        <v>0</v>
      </c>
    </row>
    <row r="330" spans="3:39" x14ac:dyDescent="0.2">
      <c r="C330" s="69"/>
      <c r="D330" s="75" t="str">
        <f>IF(op!D263=0,"",op!D263)</f>
        <v/>
      </c>
      <c r="E330" s="75" t="str">
        <f>IF(op!E263=0,"-",op!E263)</f>
        <v/>
      </c>
      <c r="F330" s="88" t="str">
        <f>IF(op!F263="","",op!F263+1)</f>
        <v/>
      </c>
      <c r="G330" s="290" t="str">
        <f>IF(op!G263="","",op!G263)</f>
        <v/>
      </c>
      <c r="H330" s="88" t="str">
        <f>IF(op!H263=0,"",op!H263)</f>
        <v/>
      </c>
      <c r="I330" s="99" t="str">
        <f>IF(J330="","",(IF(op!I263+1&gt;LOOKUP(H330,schaal2019,regels2019),op!I263,op!I263+1)))</f>
        <v/>
      </c>
      <c r="J330" s="291" t="str">
        <f>IF(op!J263="","",op!J263)</f>
        <v/>
      </c>
      <c r="K330" s="971"/>
      <c r="L330" s="859">
        <f t="shared" si="129"/>
        <v>0</v>
      </c>
      <c r="M330" s="859">
        <f t="shared" si="129"/>
        <v>0</v>
      </c>
      <c r="N330" s="867" t="str">
        <f t="shared" si="121"/>
        <v/>
      </c>
      <c r="O330" s="867" t="str">
        <f t="shared" si="122"/>
        <v/>
      </c>
      <c r="P330" s="953" t="str">
        <f t="shared" si="108"/>
        <v/>
      </c>
      <c r="Q330" s="70"/>
      <c r="R330" s="739" t="str">
        <f t="shared" si="123"/>
        <v/>
      </c>
      <c r="S330" s="739" t="str">
        <f t="shared" si="109"/>
        <v/>
      </c>
      <c r="T330" s="740" t="str">
        <f t="shared" si="110"/>
        <v/>
      </c>
      <c r="U330" s="275"/>
      <c r="V330" s="288"/>
      <c r="W330" s="288"/>
      <c r="X330" s="288"/>
      <c r="Y330" s="908">
        <f t="shared" si="127"/>
        <v>0</v>
      </c>
      <c r="Z330" s="986">
        <f>tab!$D$62</f>
        <v>0.6</v>
      </c>
      <c r="AA330" s="944">
        <f t="shared" si="112"/>
        <v>0</v>
      </c>
      <c r="AB330" s="944">
        <f t="shared" si="113"/>
        <v>0</v>
      </c>
      <c r="AC330" s="944">
        <f t="shared" si="114"/>
        <v>0</v>
      </c>
      <c r="AD330" s="943" t="e">
        <f t="shared" si="115"/>
        <v>#VALUE!</v>
      </c>
      <c r="AE330" s="943">
        <f t="shared" si="116"/>
        <v>0</v>
      </c>
      <c r="AF330" s="916">
        <f>IF(H330&gt;8,tab!$D$63,tab!$D$65)</f>
        <v>0.5</v>
      </c>
      <c r="AG330" s="925">
        <f t="shared" si="117"/>
        <v>0</v>
      </c>
      <c r="AH330" s="940">
        <f t="shared" si="118"/>
        <v>0</v>
      </c>
      <c r="AI330" s="924" t="e">
        <f>DATE(YEAR(tab!$H$3),MONTH(G330),DAY(G330))&gt;tab!$H$3</f>
        <v>#VALUE!</v>
      </c>
      <c r="AJ330" s="924" t="e">
        <f t="shared" si="124"/>
        <v>#VALUE!</v>
      </c>
      <c r="AK330" s="884">
        <f t="shared" si="119"/>
        <v>30</v>
      </c>
      <c r="AL330" s="884">
        <f t="shared" si="125"/>
        <v>30</v>
      </c>
      <c r="AM330" s="925">
        <f t="shared" si="128"/>
        <v>0</v>
      </c>
    </row>
    <row r="331" spans="3:39" x14ac:dyDescent="0.2">
      <c r="C331" s="69"/>
      <c r="D331" s="75" t="str">
        <f>IF(op!D264=0,"",op!D264)</f>
        <v/>
      </c>
      <c r="E331" s="75" t="str">
        <f>IF(op!E264=0,"-",op!E264)</f>
        <v/>
      </c>
      <c r="F331" s="88" t="str">
        <f>IF(op!F264="","",op!F264+1)</f>
        <v/>
      </c>
      <c r="G331" s="290" t="str">
        <f>IF(op!G264="","",op!G264)</f>
        <v/>
      </c>
      <c r="H331" s="88" t="str">
        <f>IF(op!H264=0,"",op!H264)</f>
        <v/>
      </c>
      <c r="I331" s="99" t="str">
        <f>IF(J331="","",(IF(op!I264+1&gt;LOOKUP(H331,schaal2019,regels2019),op!I264,op!I264+1)))</f>
        <v/>
      </c>
      <c r="J331" s="291" t="str">
        <f>IF(op!J264="","",op!J264)</f>
        <v/>
      </c>
      <c r="K331" s="971"/>
      <c r="L331" s="859">
        <f t="shared" si="129"/>
        <v>0</v>
      </c>
      <c r="M331" s="859">
        <f t="shared" si="129"/>
        <v>0</v>
      </c>
      <c r="N331" s="867" t="str">
        <f t="shared" si="121"/>
        <v/>
      </c>
      <c r="O331" s="867" t="str">
        <f t="shared" si="122"/>
        <v/>
      </c>
      <c r="P331" s="953" t="str">
        <f t="shared" si="108"/>
        <v/>
      </c>
      <c r="Q331" s="70"/>
      <c r="R331" s="739" t="str">
        <f t="shared" si="123"/>
        <v/>
      </c>
      <c r="S331" s="739" t="str">
        <f t="shared" si="109"/>
        <v/>
      </c>
      <c r="T331" s="740" t="str">
        <f t="shared" si="110"/>
        <v/>
      </c>
      <c r="U331" s="275"/>
      <c r="V331" s="288"/>
      <c r="W331" s="288"/>
      <c r="X331" s="288"/>
      <c r="Y331" s="908">
        <f t="shared" si="127"/>
        <v>0</v>
      </c>
      <c r="Z331" s="986">
        <f>tab!$D$62</f>
        <v>0.6</v>
      </c>
      <c r="AA331" s="944">
        <f t="shared" si="112"/>
        <v>0</v>
      </c>
      <c r="AB331" s="944">
        <f t="shared" si="113"/>
        <v>0</v>
      </c>
      <c r="AC331" s="944">
        <f t="shared" si="114"/>
        <v>0</v>
      </c>
      <c r="AD331" s="943" t="e">
        <f t="shared" si="115"/>
        <v>#VALUE!</v>
      </c>
      <c r="AE331" s="943">
        <f t="shared" si="116"/>
        <v>0</v>
      </c>
      <c r="AF331" s="916">
        <f>IF(H331&gt;8,tab!$D$63,tab!$D$65)</f>
        <v>0.5</v>
      </c>
      <c r="AG331" s="925">
        <f t="shared" si="117"/>
        <v>0</v>
      </c>
      <c r="AH331" s="940">
        <f t="shared" si="118"/>
        <v>0</v>
      </c>
      <c r="AI331" s="924" t="e">
        <f>DATE(YEAR(tab!$H$3),MONTH(G331),DAY(G331))&gt;tab!$H$3</f>
        <v>#VALUE!</v>
      </c>
      <c r="AJ331" s="924" t="e">
        <f t="shared" si="124"/>
        <v>#VALUE!</v>
      </c>
      <c r="AK331" s="884">
        <f t="shared" si="119"/>
        <v>30</v>
      </c>
      <c r="AL331" s="884">
        <f t="shared" si="125"/>
        <v>30</v>
      </c>
      <c r="AM331" s="925">
        <f t="shared" si="128"/>
        <v>0</v>
      </c>
    </row>
    <row r="332" spans="3:39" x14ac:dyDescent="0.2">
      <c r="C332" s="69"/>
      <c r="D332" s="75" t="str">
        <f>IF(op!D265=0,"",op!D265)</f>
        <v/>
      </c>
      <c r="E332" s="75" t="str">
        <f>IF(op!E265=0,"-",op!E265)</f>
        <v/>
      </c>
      <c r="F332" s="88" t="str">
        <f>IF(op!F265="","",op!F265+1)</f>
        <v/>
      </c>
      <c r="G332" s="290" t="str">
        <f>IF(op!G265="","",op!G265)</f>
        <v/>
      </c>
      <c r="H332" s="88" t="str">
        <f>IF(op!H265=0,"",op!H265)</f>
        <v/>
      </c>
      <c r="I332" s="99" t="str">
        <f>IF(J332="","",(IF(op!I265+1&gt;LOOKUP(H332,schaal2019,regels2019),op!I265,op!I265+1)))</f>
        <v/>
      </c>
      <c r="J332" s="291" t="str">
        <f>IF(op!J265="","",op!J265)</f>
        <v/>
      </c>
      <c r="K332" s="971"/>
      <c r="L332" s="859">
        <f t="shared" si="129"/>
        <v>0</v>
      </c>
      <c r="M332" s="859">
        <f t="shared" si="129"/>
        <v>0</v>
      </c>
      <c r="N332" s="867" t="str">
        <f t="shared" si="121"/>
        <v/>
      </c>
      <c r="O332" s="867" t="str">
        <f t="shared" si="122"/>
        <v/>
      </c>
      <c r="P332" s="953" t="str">
        <f t="shared" si="108"/>
        <v/>
      </c>
      <c r="Q332" s="70"/>
      <c r="R332" s="739" t="str">
        <f t="shared" si="123"/>
        <v/>
      </c>
      <c r="S332" s="739" t="str">
        <f t="shared" si="109"/>
        <v/>
      </c>
      <c r="T332" s="740" t="str">
        <f t="shared" si="110"/>
        <v/>
      </c>
      <c r="U332" s="275"/>
      <c r="V332" s="288"/>
      <c r="W332" s="288"/>
      <c r="X332" s="288"/>
      <c r="Y332" s="908">
        <f t="shared" si="127"/>
        <v>0</v>
      </c>
      <c r="Z332" s="986">
        <f>tab!$D$62</f>
        <v>0.6</v>
      </c>
      <c r="AA332" s="944">
        <f t="shared" si="112"/>
        <v>0</v>
      </c>
      <c r="AB332" s="944">
        <f t="shared" si="113"/>
        <v>0</v>
      </c>
      <c r="AC332" s="944">
        <f t="shared" si="114"/>
        <v>0</v>
      </c>
      <c r="AD332" s="943" t="e">
        <f t="shared" si="115"/>
        <v>#VALUE!</v>
      </c>
      <c r="AE332" s="943">
        <f t="shared" si="116"/>
        <v>0</v>
      </c>
      <c r="AF332" s="916">
        <f>IF(H332&gt;8,tab!$D$63,tab!$D$65)</f>
        <v>0.5</v>
      </c>
      <c r="AG332" s="925">
        <f t="shared" si="117"/>
        <v>0</v>
      </c>
      <c r="AH332" s="940">
        <f t="shared" si="118"/>
        <v>0</v>
      </c>
      <c r="AI332" s="924" t="e">
        <f>DATE(YEAR(tab!$H$3),MONTH(G332),DAY(G332))&gt;tab!$H$3</f>
        <v>#VALUE!</v>
      </c>
      <c r="AJ332" s="924" t="e">
        <f t="shared" si="124"/>
        <v>#VALUE!</v>
      </c>
      <c r="AK332" s="884">
        <f t="shared" si="119"/>
        <v>30</v>
      </c>
      <c r="AL332" s="884">
        <f t="shared" si="125"/>
        <v>30</v>
      </c>
      <c r="AM332" s="925">
        <f t="shared" si="128"/>
        <v>0</v>
      </c>
    </row>
    <row r="333" spans="3:39" x14ac:dyDescent="0.2">
      <c r="C333" s="69"/>
      <c r="D333" s="75" t="str">
        <f>IF(op!D266=0,"",op!D266)</f>
        <v/>
      </c>
      <c r="E333" s="75" t="str">
        <f>IF(op!E266=0,"-",op!E266)</f>
        <v/>
      </c>
      <c r="F333" s="88" t="str">
        <f>IF(op!F266="","",op!F266+1)</f>
        <v/>
      </c>
      <c r="G333" s="290" t="str">
        <f>IF(op!G266="","",op!G266)</f>
        <v/>
      </c>
      <c r="H333" s="88" t="str">
        <f>IF(op!H266=0,"",op!H266)</f>
        <v/>
      </c>
      <c r="I333" s="99" t="str">
        <f>IF(J333="","",(IF(op!I266+1&gt;LOOKUP(H333,schaal2019,regels2019),op!I266,op!I266+1)))</f>
        <v/>
      </c>
      <c r="J333" s="291" t="str">
        <f>IF(op!J266="","",op!J266)</f>
        <v/>
      </c>
      <c r="K333" s="971"/>
      <c r="L333" s="859">
        <f t="shared" si="129"/>
        <v>0</v>
      </c>
      <c r="M333" s="859">
        <f t="shared" si="129"/>
        <v>0</v>
      </c>
      <c r="N333" s="867" t="str">
        <f t="shared" si="121"/>
        <v/>
      </c>
      <c r="O333" s="867" t="str">
        <f t="shared" si="122"/>
        <v/>
      </c>
      <c r="P333" s="953" t="str">
        <f t="shared" si="108"/>
        <v/>
      </c>
      <c r="Q333" s="70"/>
      <c r="R333" s="739" t="str">
        <f t="shared" si="123"/>
        <v/>
      </c>
      <c r="S333" s="739" t="str">
        <f t="shared" si="109"/>
        <v/>
      </c>
      <c r="T333" s="740" t="str">
        <f t="shared" si="110"/>
        <v/>
      </c>
      <c r="U333" s="275"/>
      <c r="V333" s="288"/>
      <c r="W333" s="288"/>
      <c r="X333" s="288"/>
      <c r="Y333" s="908">
        <f t="shared" si="127"/>
        <v>0</v>
      </c>
      <c r="Z333" s="986">
        <f>tab!$D$62</f>
        <v>0.6</v>
      </c>
      <c r="AA333" s="944">
        <f t="shared" si="112"/>
        <v>0</v>
      </c>
      <c r="AB333" s="944">
        <f t="shared" si="113"/>
        <v>0</v>
      </c>
      <c r="AC333" s="944">
        <f t="shared" si="114"/>
        <v>0</v>
      </c>
      <c r="AD333" s="943" t="e">
        <f t="shared" si="115"/>
        <v>#VALUE!</v>
      </c>
      <c r="AE333" s="943">
        <f t="shared" si="116"/>
        <v>0</v>
      </c>
      <c r="AF333" s="916">
        <f>IF(H333&gt;8,tab!$D$63,tab!$D$65)</f>
        <v>0.5</v>
      </c>
      <c r="AG333" s="925">
        <f t="shared" si="117"/>
        <v>0</v>
      </c>
      <c r="AH333" s="940">
        <f t="shared" si="118"/>
        <v>0</v>
      </c>
      <c r="AI333" s="924" t="e">
        <f>DATE(YEAR(tab!$H$3),MONTH(G333),DAY(G333))&gt;tab!$H$3</f>
        <v>#VALUE!</v>
      </c>
      <c r="AJ333" s="924" t="e">
        <f t="shared" si="124"/>
        <v>#VALUE!</v>
      </c>
      <c r="AK333" s="884">
        <f t="shared" si="119"/>
        <v>30</v>
      </c>
      <c r="AL333" s="884">
        <f t="shared" si="125"/>
        <v>30</v>
      </c>
      <c r="AM333" s="925">
        <f t="shared" si="128"/>
        <v>0</v>
      </c>
    </row>
    <row r="334" spans="3:39" x14ac:dyDescent="0.2">
      <c r="C334" s="69"/>
      <c r="D334" s="75" t="str">
        <f>IF(op!D267=0,"",op!D267)</f>
        <v/>
      </c>
      <c r="E334" s="75" t="str">
        <f>IF(op!E267=0,"-",op!E267)</f>
        <v/>
      </c>
      <c r="F334" s="88" t="str">
        <f>IF(op!F267="","",op!F267+1)</f>
        <v/>
      </c>
      <c r="G334" s="290" t="str">
        <f>IF(op!G267="","",op!G267)</f>
        <v/>
      </c>
      <c r="H334" s="88" t="str">
        <f>IF(op!H267=0,"",op!H267)</f>
        <v/>
      </c>
      <c r="I334" s="99" t="str">
        <f>IF(J334="","",(IF(op!I267+1&gt;LOOKUP(H334,schaal2019,regels2019),op!I267,op!I267+1)))</f>
        <v/>
      </c>
      <c r="J334" s="291" t="str">
        <f>IF(op!J267="","",op!J267)</f>
        <v/>
      </c>
      <c r="K334" s="971"/>
      <c r="L334" s="859">
        <f t="shared" si="129"/>
        <v>0</v>
      </c>
      <c r="M334" s="859">
        <f t="shared" si="129"/>
        <v>0</v>
      </c>
      <c r="N334" s="867" t="str">
        <f t="shared" si="121"/>
        <v/>
      </c>
      <c r="O334" s="867" t="str">
        <f t="shared" si="122"/>
        <v/>
      </c>
      <c r="P334" s="953" t="str">
        <f t="shared" si="108"/>
        <v/>
      </c>
      <c r="Q334" s="70"/>
      <c r="R334" s="739" t="str">
        <f t="shared" si="123"/>
        <v/>
      </c>
      <c r="S334" s="739" t="str">
        <f t="shared" si="109"/>
        <v/>
      </c>
      <c r="T334" s="740" t="str">
        <f t="shared" si="110"/>
        <v/>
      </c>
      <c r="U334" s="275"/>
      <c r="V334" s="288"/>
      <c r="W334" s="288"/>
      <c r="X334" s="288"/>
      <c r="Y334" s="908">
        <f t="shared" si="127"/>
        <v>0</v>
      </c>
      <c r="Z334" s="986">
        <f>tab!$D$62</f>
        <v>0.6</v>
      </c>
      <c r="AA334" s="944">
        <f t="shared" si="112"/>
        <v>0</v>
      </c>
      <c r="AB334" s="944">
        <f t="shared" si="113"/>
        <v>0</v>
      </c>
      <c r="AC334" s="944">
        <f t="shared" si="114"/>
        <v>0</v>
      </c>
      <c r="AD334" s="943" t="e">
        <f t="shared" si="115"/>
        <v>#VALUE!</v>
      </c>
      <c r="AE334" s="943">
        <f t="shared" si="116"/>
        <v>0</v>
      </c>
      <c r="AF334" s="916">
        <f>IF(H334&gt;8,tab!$D$63,tab!$D$65)</f>
        <v>0.5</v>
      </c>
      <c r="AG334" s="925">
        <f t="shared" si="117"/>
        <v>0</v>
      </c>
      <c r="AH334" s="940">
        <f t="shared" si="118"/>
        <v>0</v>
      </c>
      <c r="AI334" s="924" t="e">
        <f>DATE(YEAR(tab!$H$3),MONTH(G334),DAY(G334))&gt;tab!$H$3</f>
        <v>#VALUE!</v>
      </c>
      <c r="AJ334" s="924" t="e">
        <f t="shared" si="124"/>
        <v>#VALUE!</v>
      </c>
      <c r="AK334" s="884">
        <f t="shared" si="119"/>
        <v>30</v>
      </c>
      <c r="AL334" s="884">
        <f t="shared" si="125"/>
        <v>30</v>
      </c>
      <c r="AM334" s="925">
        <f t="shared" si="128"/>
        <v>0</v>
      </c>
    </row>
    <row r="335" spans="3:39" x14ac:dyDescent="0.2">
      <c r="C335" s="69"/>
      <c r="D335" s="75" t="str">
        <f>IF(op!D268=0,"",op!D268)</f>
        <v/>
      </c>
      <c r="E335" s="75" t="str">
        <f>IF(op!E268=0,"-",op!E268)</f>
        <v/>
      </c>
      <c r="F335" s="88" t="str">
        <f>IF(op!F268="","",op!F268+1)</f>
        <v/>
      </c>
      <c r="G335" s="290" t="str">
        <f>IF(op!G268="","",op!G268)</f>
        <v/>
      </c>
      <c r="H335" s="88" t="str">
        <f>IF(op!H268=0,"",op!H268)</f>
        <v/>
      </c>
      <c r="I335" s="99" t="str">
        <f>IF(J335="","",(IF(op!I268+1&gt;LOOKUP(H335,schaal2019,regels2019),op!I268,op!I268+1)))</f>
        <v/>
      </c>
      <c r="J335" s="291" t="str">
        <f>IF(op!J268="","",op!J268)</f>
        <v/>
      </c>
      <c r="K335" s="971"/>
      <c r="L335" s="859">
        <f t="shared" si="129"/>
        <v>0</v>
      </c>
      <c r="M335" s="859">
        <f t="shared" si="129"/>
        <v>0</v>
      </c>
      <c r="N335" s="867" t="str">
        <f t="shared" si="121"/>
        <v/>
      </c>
      <c r="O335" s="867" t="str">
        <f t="shared" si="122"/>
        <v/>
      </c>
      <c r="P335" s="953" t="str">
        <f t="shared" si="108"/>
        <v/>
      </c>
      <c r="Q335" s="70"/>
      <c r="R335" s="739" t="str">
        <f t="shared" si="123"/>
        <v/>
      </c>
      <c r="S335" s="739" t="str">
        <f t="shared" si="109"/>
        <v/>
      </c>
      <c r="T335" s="740" t="str">
        <f t="shared" si="110"/>
        <v/>
      </c>
      <c r="U335" s="275"/>
      <c r="V335" s="288"/>
      <c r="W335" s="288"/>
      <c r="X335" s="288"/>
      <c r="Y335" s="908">
        <f t="shared" si="127"/>
        <v>0</v>
      </c>
      <c r="Z335" s="986">
        <f>tab!$D$62</f>
        <v>0.6</v>
      </c>
      <c r="AA335" s="944">
        <f t="shared" si="112"/>
        <v>0</v>
      </c>
      <c r="AB335" s="944">
        <f t="shared" si="113"/>
        <v>0</v>
      </c>
      <c r="AC335" s="944">
        <f t="shared" si="114"/>
        <v>0</v>
      </c>
      <c r="AD335" s="943" t="e">
        <f t="shared" si="115"/>
        <v>#VALUE!</v>
      </c>
      <c r="AE335" s="943">
        <f t="shared" si="116"/>
        <v>0</v>
      </c>
      <c r="AF335" s="916">
        <f>IF(H335&gt;8,tab!$D$63,tab!$D$65)</f>
        <v>0.5</v>
      </c>
      <c r="AG335" s="925">
        <f t="shared" si="117"/>
        <v>0</v>
      </c>
      <c r="AH335" s="940">
        <f t="shared" si="118"/>
        <v>0</v>
      </c>
      <c r="AI335" s="924" t="e">
        <f>DATE(YEAR(tab!$H$3),MONTH(G335),DAY(G335))&gt;tab!$H$3</f>
        <v>#VALUE!</v>
      </c>
      <c r="AJ335" s="924" t="e">
        <f t="shared" si="124"/>
        <v>#VALUE!</v>
      </c>
      <c r="AK335" s="884">
        <f t="shared" si="119"/>
        <v>30</v>
      </c>
      <c r="AL335" s="884">
        <f t="shared" si="125"/>
        <v>30</v>
      </c>
      <c r="AM335" s="925">
        <f t="shared" si="128"/>
        <v>0</v>
      </c>
    </row>
    <row r="336" spans="3:39" x14ac:dyDescent="0.2">
      <c r="C336" s="69"/>
      <c r="D336" s="75" t="str">
        <f>IF(op!D269=0,"",op!D269)</f>
        <v/>
      </c>
      <c r="E336" s="75" t="str">
        <f>IF(op!E269=0,"-",op!E269)</f>
        <v/>
      </c>
      <c r="F336" s="88" t="str">
        <f>IF(op!F269="","",op!F269+1)</f>
        <v/>
      </c>
      <c r="G336" s="290" t="str">
        <f>IF(op!G269="","",op!G269)</f>
        <v/>
      </c>
      <c r="H336" s="88" t="str">
        <f>IF(op!H269=0,"",op!H269)</f>
        <v/>
      </c>
      <c r="I336" s="99" t="str">
        <f>IF(J336="","",(IF(op!I269+1&gt;LOOKUP(H336,schaal2019,regels2019),op!I269,op!I269+1)))</f>
        <v/>
      </c>
      <c r="J336" s="291" t="str">
        <f>IF(op!J269="","",op!J269)</f>
        <v/>
      </c>
      <c r="K336" s="971"/>
      <c r="L336" s="859">
        <f t="shared" si="129"/>
        <v>0</v>
      </c>
      <c r="M336" s="859">
        <f t="shared" si="129"/>
        <v>0</v>
      </c>
      <c r="N336" s="867" t="str">
        <f t="shared" si="121"/>
        <v/>
      </c>
      <c r="O336" s="867" t="str">
        <f t="shared" si="122"/>
        <v/>
      </c>
      <c r="P336" s="953" t="str">
        <f t="shared" si="108"/>
        <v/>
      </c>
      <c r="Q336" s="70"/>
      <c r="R336" s="739" t="str">
        <f t="shared" si="123"/>
        <v/>
      </c>
      <c r="S336" s="739" t="str">
        <f t="shared" si="109"/>
        <v/>
      </c>
      <c r="T336" s="740" t="str">
        <f t="shared" si="110"/>
        <v/>
      </c>
      <c r="U336" s="275"/>
      <c r="V336" s="288"/>
      <c r="W336" s="288"/>
      <c r="X336" s="288"/>
      <c r="Y336" s="908">
        <f t="shared" si="127"/>
        <v>0</v>
      </c>
      <c r="Z336" s="986">
        <f>tab!$D$62</f>
        <v>0.6</v>
      </c>
      <c r="AA336" s="944">
        <f t="shared" si="112"/>
        <v>0</v>
      </c>
      <c r="AB336" s="944">
        <f t="shared" si="113"/>
        <v>0</v>
      </c>
      <c r="AC336" s="944">
        <f t="shared" si="114"/>
        <v>0</v>
      </c>
      <c r="AD336" s="943" t="e">
        <f t="shared" si="115"/>
        <v>#VALUE!</v>
      </c>
      <c r="AE336" s="943">
        <f t="shared" si="116"/>
        <v>0</v>
      </c>
      <c r="AF336" s="916">
        <f>IF(H336&gt;8,tab!$D$63,tab!$D$65)</f>
        <v>0.5</v>
      </c>
      <c r="AG336" s="925">
        <f t="shared" si="117"/>
        <v>0</v>
      </c>
      <c r="AH336" s="940">
        <f t="shared" si="118"/>
        <v>0</v>
      </c>
      <c r="AI336" s="924" t="e">
        <f>DATE(YEAR(tab!$H$3),MONTH(G336),DAY(G336))&gt;tab!$H$3</f>
        <v>#VALUE!</v>
      </c>
      <c r="AJ336" s="924" t="e">
        <f t="shared" si="124"/>
        <v>#VALUE!</v>
      </c>
      <c r="AK336" s="884">
        <f t="shared" si="119"/>
        <v>30</v>
      </c>
      <c r="AL336" s="884">
        <f t="shared" si="125"/>
        <v>30</v>
      </c>
      <c r="AM336" s="925">
        <f t="shared" si="128"/>
        <v>0</v>
      </c>
    </row>
    <row r="337" spans="3:39" x14ac:dyDescent="0.2">
      <c r="C337" s="69"/>
      <c r="D337" s="75" t="str">
        <f>IF(op!D270=0,"",op!D270)</f>
        <v/>
      </c>
      <c r="E337" s="75" t="str">
        <f>IF(op!E270=0,"-",op!E270)</f>
        <v/>
      </c>
      <c r="F337" s="88" t="str">
        <f>IF(op!F270="","",op!F270+1)</f>
        <v/>
      </c>
      <c r="G337" s="290" t="str">
        <f>IF(op!G270="","",op!G270)</f>
        <v/>
      </c>
      <c r="H337" s="88" t="str">
        <f>IF(op!H270=0,"",op!H270)</f>
        <v/>
      </c>
      <c r="I337" s="99" t="str">
        <f>IF(J337="","",(IF(op!I270+1&gt;LOOKUP(H337,schaal2019,regels2019),op!I270,op!I270+1)))</f>
        <v/>
      </c>
      <c r="J337" s="291" t="str">
        <f>IF(op!J270="","",op!J270)</f>
        <v/>
      </c>
      <c r="K337" s="971"/>
      <c r="L337" s="859">
        <f t="shared" si="129"/>
        <v>0</v>
      </c>
      <c r="M337" s="859">
        <f t="shared" si="129"/>
        <v>0</v>
      </c>
      <c r="N337" s="867" t="str">
        <f t="shared" si="121"/>
        <v/>
      </c>
      <c r="O337" s="867" t="str">
        <f t="shared" si="122"/>
        <v/>
      </c>
      <c r="P337" s="953" t="str">
        <f t="shared" si="108"/>
        <v/>
      </c>
      <c r="Q337" s="70"/>
      <c r="R337" s="739" t="str">
        <f t="shared" si="123"/>
        <v/>
      </c>
      <c r="S337" s="739" t="str">
        <f t="shared" si="109"/>
        <v/>
      </c>
      <c r="T337" s="740" t="str">
        <f t="shared" si="110"/>
        <v/>
      </c>
      <c r="U337" s="275"/>
      <c r="V337" s="288"/>
      <c r="W337" s="288"/>
      <c r="X337" s="288"/>
      <c r="Y337" s="908">
        <f t="shared" si="127"/>
        <v>0</v>
      </c>
      <c r="Z337" s="986">
        <f>tab!$D$62</f>
        <v>0.6</v>
      </c>
      <c r="AA337" s="944">
        <f t="shared" si="112"/>
        <v>0</v>
      </c>
      <c r="AB337" s="944">
        <f t="shared" si="113"/>
        <v>0</v>
      </c>
      <c r="AC337" s="944">
        <f t="shared" si="114"/>
        <v>0</v>
      </c>
      <c r="AD337" s="943" t="e">
        <f t="shared" si="115"/>
        <v>#VALUE!</v>
      </c>
      <c r="AE337" s="943">
        <f t="shared" si="116"/>
        <v>0</v>
      </c>
      <c r="AF337" s="916">
        <f>IF(H337&gt;8,tab!$D$63,tab!$D$65)</f>
        <v>0.5</v>
      </c>
      <c r="AG337" s="925">
        <f t="shared" si="117"/>
        <v>0</v>
      </c>
      <c r="AH337" s="940">
        <f t="shared" si="118"/>
        <v>0</v>
      </c>
      <c r="AI337" s="924" t="e">
        <f>DATE(YEAR(tab!$H$3),MONTH(G337),DAY(G337))&gt;tab!$H$3</f>
        <v>#VALUE!</v>
      </c>
      <c r="AJ337" s="924" t="e">
        <f t="shared" si="124"/>
        <v>#VALUE!</v>
      </c>
      <c r="AK337" s="884">
        <f t="shared" si="119"/>
        <v>30</v>
      </c>
      <c r="AL337" s="884">
        <f t="shared" si="125"/>
        <v>30</v>
      </c>
      <c r="AM337" s="925">
        <f t="shared" si="128"/>
        <v>0</v>
      </c>
    </row>
    <row r="338" spans="3:39" x14ac:dyDescent="0.2">
      <c r="C338" s="69"/>
      <c r="D338" s="75" t="str">
        <f>IF(op!D271=0,"",op!D271)</f>
        <v/>
      </c>
      <c r="E338" s="75" t="str">
        <f>IF(op!E271=0,"-",op!E271)</f>
        <v/>
      </c>
      <c r="F338" s="88" t="str">
        <f>IF(op!F271="","",op!F271+1)</f>
        <v/>
      </c>
      <c r="G338" s="290" t="str">
        <f>IF(op!G271="","",op!G271)</f>
        <v/>
      </c>
      <c r="H338" s="88" t="str">
        <f>IF(op!H271=0,"",op!H271)</f>
        <v/>
      </c>
      <c r="I338" s="99" t="str">
        <f>IF(J338="","",(IF(op!I271+1&gt;LOOKUP(H338,schaal2019,regels2019),op!I271,op!I271+1)))</f>
        <v/>
      </c>
      <c r="J338" s="291" t="str">
        <f>IF(op!J271="","",op!J271)</f>
        <v/>
      </c>
      <c r="K338" s="971"/>
      <c r="L338" s="859">
        <f t="shared" si="129"/>
        <v>0</v>
      </c>
      <c r="M338" s="859">
        <f t="shared" si="129"/>
        <v>0</v>
      </c>
      <c r="N338" s="867" t="str">
        <f t="shared" si="121"/>
        <v/>
      </c>
      <c r="O338" s="867" t="str">
        <f t="shared" si="122"/>
        <v/>
      </c>
      <c r="P338" s="953" t="str">
        <f t="shared" si="108"/>
        <v/>
      </c>
      <c r="Q338" s="70"/>
      <c r="R338" s="739" t="str">
        <f t="shared" si="123"/>
        <v/>
      </c>
      <c r="S338" s="739" t="str">
        <f t="shared" si="109"/>
        <v/>
      </c>
      <c r="T338" s="740" t="str">
        <f t="shared" si="110"/>
        <v/>
      </c>
      <c r="U338" s="275"/>
      <c r="V338" s="288"/>
      <c r="W338" s="288"/>
      <c r="X338" s="288"/>
      <c r="Y338" s="908">
        <f t="shared" si="127"/>
        <v>0</v>
      </c>
      <c r="Z338" s="986">
        <f>tab!$D$62</f>
        <v>0.6</v>
      </c>
      <c r="AA338" s="944">
        <f t="shared" si="112"/>
        <v>0</v>
      </c>
      <c r="AB338" s="944">
        <f t="shared" si="113"/>
        <v>0</v>
      </c>
      <c r="AC338" s="944">
        <f t="shared" si="114"/>
        <v>0</v>
      </c>
      <c r="AD338" s="943" t="e">
        <f t="shared" si="115"/>
        <v>#VALUE!</v>
      </c>
      <c r="AE338" s="943">
        <f t="shared" si="116"/>
        <v>0</v>
      </c>
      <c r="AF338" s="916">
        <f>IF(H338&gt;8,tab!$D$63,tab!$D$65)</f>
        <v>0.5</v>
      </c>
      <c r="AG338" s="925">
        <f t="shared" si="117"/>
        <v>0</v>
      </c>
      <c r="AH338" s="940">
        <f t="shared" si="118"/>
        <v>0</v>
      </c>
      <c r="AI338" s="924" t="e">
        <f>DATE(YEAR(tab!$H$3),MONTH(G338),DAY(G338))&gt;tab!$H$3</f>
        <v>#VALUE!</v>
      </c>
      <c r="AJ338" s="924" t="e">
        <f t="shared" si="124"/>
        <v>#VALUE!</v>
      </c>
      <c r="AK338" s="884">
        <f t="shared" si="119"/>
        <v>30</v>
      </c>
      <c r="AL338" s="884">
        <f t="shared" si="125"/>
        <v>30</v>
      </c>
      <c r="AM338" s="925">
        <f t="shared" si="128"/>
        <v>0</v>
      </c>
    </row>
    <row r="339" spans="3:39" x14ac:dyDescent="0.2">
      <c r="C339" s="69"/>
      <c r="D339" s="75" t="str">
        <f>IF(op!D272=0,"",op!D272)</f>
        <v/>
      </c>
      <c r="E339" s="75" t="str">
        <f>IF(op!E272=0,"-",op!E272)</f>
        <v/>
      </c>
      <c r="F339" s="88" t="str">
        <f>IF(op!F272="","",op!F272+1)</f>
        <v/>
      </c>
      <c r="G339" s="290" t="str">
        <f>IF(op!G272="","",op!G272)</f>
        <v/>
      </c>
      <c r="H339" s="88" t="str">
        <f>IF(op!H272=0,"",op!H272)</f>
        <v/>
      </c>
      <c r="I339" s="99" t="str">
        <f>IF(J339="","",(IF(op!I272+1&gt;LOOKUP(H339,schaal2019,regels2019),op!I272,op!I272+1)))</f>
        <v/>
      </c>
      <c r="J339" s="291" t="str">
        <f>IF(op!J272="","",op!J272)</f>
        <v/>
      </c>
      <c r="K339" s="971"/>
      <c r="L339" s="859">
        <f t="shared" si="129"/>
        <v>0</v>
      </c>
      <c r="M339" s="859">
        <f t="shared" si="129"/>
        <v>0</v>
      </c>
      <c r="N339" s="867" t="str">
        <f t="shared" si="121"/>
        <v/>
      </c>
      <c r="O339" s="867" t="str">
        <f t="shared" si="122"/>
        <v/>
      </c>
      <c r="P339" s="953" t="str">
        <f t="shared" si="108"/>
        <v/>
      </c>
      <c r="Q339" s="70"/>
      <c r="R339" s="739" t="str">
        <f t="shared" si="123"/>
        <v/>
      </c>
      <c r="S339" s="739" t="str">
        <f t="shared" si="109"/>
        <v/>
      </c>
      <c r="T339" s="740" t="str">
        <f t="shared" si="110"/>
        <v/>
      </c>
      <c r="U339" s="275"/>
      <c r="V339" s="288"/>
      <c r="W339" s="288"/>
      <c r="X339" s="288"/>
      <c r="Y339" s="908">
        <f t="shared" si="127"/>
        <v>0</v>
      </c>
      <c r="Z339" s="986">
        <f>tab!$D$62</f>
        <v>0.6</v>
      </c>
      <c r="AA339" s="944">
        <f t="shared" si="112"/>
        <v>0</v>
      </c>
      <c r="AB339" s="944">
        <f t="shared" si="113"/>
        <v>0</v>
      </c>
      <c r="AC339" s="944">
        <f t="shared" si="114"/>
        <v>0</v>
      </c>
      <c r="AD339" s="943" t="e">
        <f t="shared" si="115"/>
        <v>#VALUE!</v>
      </c>
      <c r="AE339" s="943">
        <f t="shared" si="116"/>
        <v>0</v>
      </c>
      <c r="AF339" s="916">
        <f>IF(H339&gt;8,tab!$D$63,tab!$D$65)</f>
        <v>0.5</v>
      </c>
      <c r="AG339" s="925">
        <f t="shared" si="117"/>
        <v>0</v>
      </c>
      <c r="AH339" s="940">
        <f t="shared" si="118"/>
        <v>0</v>
      </c>
      <c r="AI339" s="924" t="e">
        <f>DATE(YEAR(tab!$H$3),MONTH(G339),DAY(G339))&gt;tab!$H$3</f>
        <v>#VALUE!</v>
      </c>
      <c r="AJ339" s="924" t="e">
        <f t="shared" si="124"/>
        <v>#VALUE!</v>
      </c>
      <c r="AK339" s="884">
        <f t="shared" si="119"/>
        <v>30</v>
      </c>
      <c r="AL339" s="884">
        <f t="shared" si="125"/>
        <v>30</v>
      </c>
      <c r="AM339" s="925">
        <f t="shared" si="128"/>
        <v>0</v>
      </c>
    </row>
    <row r="340" spans="3:39" x14ac:dyDescent="0.2">
      <c r="C340" s="76"/>
      <c r="D340" s="172"/>
      <c r="E340" s="345"/>
      <c r="F340" s="345"/>
      <c r="G340" s="346"/>
      <c r="H340" s="345"/>
      <c r="I340" s="347"/>
      <c r="J340" s="755">
        <f>SUM(J285:J339)</f>
        <v>0.1</v>
      </c>
      <c r="K340" s="972"/>
      <c r="L340" s="942">
        <f>SUM(L285:L339)</f>
        <v>0</v>
      </c>
      <c r="M340" s="942">
        <f>SUM(M285:M339)</f>
        <v>0</v>
      </c>
      <c r="N340" s="942">
        <f>SUM(N285:N339)</f>
        <v>4</v>
      </c>
      <c r="O340" s="942">
        <f>SUM(O285:O339)</f>
        <v>0</v>
      </c>
      <c r="P340" s="942">
        <f>SUM(P285:P339)</f>
        <v>4</v>
      </c>
      <c r="Q340" s="172"/>
      <c r="R340" s="756">
        <f>SUM(R285:R339)</f>
        <v>7326.1945750452078</v>
      </c>
      <c r="S340" s="756">
        <f>SUM(S285:S339)</f>
        <v>181.00542495479203</v>
      </c>
      <c r="T340" s="756">
        <f>SUM(T285:T339)</f>
        <v>7507.2</v>
      </c>
      <c r="U340" s="81"/>
      <c r="Y340" s="909">
        <f>SUM(Y285:Y339)</f>
        <v>3910</v>
      </c>
      <c r="AA340" s="909">
        <f t="shared" si="112"/>
        <v>28.282097649186255</v>
      </c>
      <c r="AB340" s="909">
        <f>SUM(AB285:AB339)</f>
        <v>45.251356238698008</v>
      </c>
      <c r="AC340" s="909">
        <f t="shared" si="114"/>
        <v>16.969258589511753</v>
      </c>
      <c r="AF340" s="927"/>
      <c r="AG340" s="928">
        <f>SUM(AG285:AG339)</f>
        <v>0</v>
      </c>
      <c r="AH340" s="937">
        <f>SUM(AH285:AH339)</f>
        <v>0</v>
      </c>
      <c r="AI340" s="926"/>
      <c r="AJ340" s="926"/>
    </row>
    <row r="341" spans="3:39" x14ac:dyDescent="0.2">
      <c r="H341" s="127"/>
      <c r="K341" s="973"/>
      <c r="Q341" s="209"/>
      <c r="R341" s="348"/>
      <c r="S341" s="328"/>
      <c r="Y341" s="881"/>
      <c r="AA341" s="909"/>
      <c r="AB341" s="909"/>
      <c r="AC341" s="909"/>
      <c r="AF341" s="927"/>
      <c r="AG341" s="928"/>
      <c r="AH341" s="937"/>
    </row>
    <row r="344" spans="3:39" x14ac:dyDescent="0.2">
      <c r="C344" s="48" t="s">
        <v>165</v>
      </c>
      <c r="E344" s="327" t="str">
        <f>dir!E123</f>
        <v>2024/25</v>
      </c>
    </row>
    <row r="345" spans="3:39" x14ac:dyDescent="0.2">
      <c r="C345" s="48" t="s">
        <v>187</v>
      </c>
      <c r="E345" s="327">
        <f>dir!E124</f>
        <v>45566</v>
      </c>
    </row>
    <row r="347" spans="3:39" x14ac:dyDescent="0.2">
      <c r="C347" s="341"/>
      <c r="D347" s="724"/>
      <c r="E347" s="723"/>
      <c r="F347" s="704"/>
      <c r="G347" s="725"/>
      <c r="H347" s="726"/>
      <c r="I347" s="726"/>
      <c r="J347" s="727"/>
      <c r="K347" s="967"/>
      <c r="L347" s="816"/>
      <c r="M347" s="816"/>
      <c r="N347" s="816"/>
      <c r="O347" s="816"/>
      <c r="P347" s="950"/>
      <c r="Q347" s="728"/>
      <c r="R347" s="728"/>
      <c r="S347" s="728"/>
      <c r="T347" s="729"/>
      <c r="U347" s="710"/>
    </row>
    <row r="348" spans="3:39" x14ac:dyDescent="0.2">
      <c r="C348" s="135"/>
      <c r="D348" s="864" t="s">
        <v>298</v>
      </c>
      <c r="E348" s="865"/>
      <c r="F348" s="865"/>
      <c r="G348" s="865"/>
      <c r="H348" s="866"/>
      <c r="I348" s="866"/>
      <c r="J348" s="866"/>
      <c r="K348" s="968"/>
      <c r="L348" s="864" t="s">
        <v>492</v>
      </c>
      <c r="M348" s="858"/>
      <c r="N348" s="864"/>
      <c r="O348" s="864"/>
      <c r="P348" s="951"/>
      <c r="Q348" s="730"/>
      <c r="R348" s="864" t="s">
        <v>494</v>
      </c>
      <c r="S348" s="866"/>
      <c r="T348" s="935"/>
      <c r="U348" s="746"/>
      <c r="Y348" s="882"/>
      <c r="Z348" s="913"/>
      <c r="AD348" s="912"/>
      <c r="AE348" s="912"/>
      <c r="AF348" s="913"/>
      <c r="AG348" s="933"/>
      <c r="AH348" s="941"/>
      <c r="AI348" s="923"/>
      <c r="AJ348" s="923"/>
      <c r="AK348" s="923"/>
      <c r="AL348" s="923"/>
      <c r="AM348" s="923"/>
    </row>
    <row r="349" spans="3:39" x14ac:dyDescent="0.2">
      <c r="C349" s="135"/>
      <c r="D349" s="693" t="s">
        <v>480</v>
      </c>
      <c r="E349" s="693" t="s">
        <v>171</v>
      </c>
      <c r="F349" s="732" t="s">
        <v>119</v>
      </c>
      <c r="G349" s="733" t="s">
        <v>289</v>
      </c>
      <c r="H349" s="732" t="s">
        <v>201</v>
      </c>
      <c r="I349" s="732" t="s">
        <v>229</v>
      </c>
      <c r="J349" s="734" t="s">
        <v>122</v>
      </c>
      <c r="K349" s="969"/>
      <c r="L349" s="735" t="s">
        <v>475</v>
      </c>
      <c r="M349" s="735" t="s">
        <v>468</v>
      </c>
      <c r="N349" s="735" t="s">
        <v>482</v>
      </c>
      <c r="O349" s="735" t="s">
        <v>475</v>
      </c>
      <c r="P349" s="952" t="s">
        <v>487</v>
      </c>
      <c r="Q349" s="702"/>
      <c r="R349" s="863" t="s">
        <v>186</v>
      </c>
      <c r="S349" s="737" t="s">
        <v>493</v>
      </c>
      <c r="T349" s="738" t="s">
        <v>186</v>
      </c>
      <c r="U349" s="747"/>
      <c r="Y349" s="914" t="s">
        <v>322</v>
      </c>
      <c r="Z349" s="960" t="s">
        <v>479</v>
      </c>
      <c r="AA349" s="903" t="s">
        <v>488</v>
      </c>
      <c r="AB349" s="903" t="s">
        <v>488</v>
      </c>
      <c r="AC349" s="903" t="s">
        <v>491</v>
      </c>
      <c r="AD349" s="915" t="s">
        <v>473</v>
      </c>
      <c r="AE349" s="915" t="s">
        <v>474</v>
      </c>
      <c r="AF349" s="902" t="s">
        <v>470</v>
      </c>
      <c r="AG349" s="934" t="s">
        <v>306</v>
      </c>
      <c r="AH349" s="941" t="s">
        <v>415</v>
      </c>
      <c r="AI349" s="902" t="s">
        <v>292</v>
      </c>
      <c r="AJ349" s="902" t="s">
        <v>293</v>
      </c>
      <c r="AK349" s="902" t="s">
        <v>121</v>
      </c>
      <c r="AL349" s="902" t="s">
        <v>198</v>
      </c>
      <c r="AM349" s="915" t="s">
        <v>173</v>
      </c>
    </row>
    <row r="350" spans="3:39" x14ac:dyDescent="0.2">
      <c r="C350" s="135"/>
      <c r="D350" s="865"/>
      <c r="E350" s="693"/>
      <c r="F350" s="732" t="s">
        <v>120</v>
      </c>
      <c r="G350" s="733" t="s">
        <v>290</v>
      </c>
      <c r="H350" s="732"/>
      <c r="I350" s="732"/>
      <c r="J350" s="734"/>
      <c r="K350" s="969"/>
      <c r="L350" s="735" t="s">
        <v>476</v>
      </c>
      <c r="M350" s="735" t="s">
        <v>478</v>
      </c>
      <c r="N350" s="735" t="s">
        <v>483</v>
      </c>
      <c r="O350" s="735" t="s">
        <v>477</v>
      </c>
      <c r="P350" s="952" t="s">
        <v>284</v>
      </c>
      <c r="Q350" s="702"/>
      <c r="R350" s="706" t="s">
        <v>485</v>
      </c>
      <c r="S350" s="737" t="s">
        <v>469</v>
      </c>
      <c r="T350" s="738" t="s">
        <v>284</v>
      </c>
      <c r="U350" s="710"/>
      <c r="Y350" s="914" t="s">
        <v>193</v>
      </c>
      <c r="Z350" s="961">
        <f>tab!$D$62</f>
        <v>0.6</v>
      </c>
      <c r="AA350" s="903" t="s">
        <v>489</v>
      </c>
      <c r="AB350" s="903" t="s">
        <v>490</v>
      </c>
      <c r="AC350" s="903" t="s">
        <v>486</v>
      </c>
      <c r="AD350" s="915" t="s">
        <v>472</v>
      </c>
      <c r="AE350" s="915" t="s">
        <v>472</v>
      </c>
      <c r="AF350" s="902" t="s">
        <v>471</v>
      </c>
      <c r="AG350" s="934"/>
      <c r="AH350" s="940" t="s">
        <v>228</v>
      </c>
      <c r="AI350" s="915" t="s">
        <v>291</v>
      </c>
      <c r="AJ350" s="915" t="s">
        <v>291</v>
      </c>
      <c r="AK350" s="902"/>
      <c r="AL350" s="902" t="s">
        <v>173</v>
      </c>
      <c r="AM350" s="915"/>
    </row>
    <row r="351" spans="3:39" x14ac:dyDescent="0.2">
      <c r="C351" s="69"/>
      <c r="D351" s="865"/>
      <c r="E351" s="865"/>
      <c r="F351" s="703"/>
      <c r="G351" s="748"/>
      <c r="H351" s="732"/>
      <c r="I351" s="732"/>
      <c r="J351" s="734"/>
      <c r="K351" s="970"/>
      <c r="L351" s="735"/>
      <c r="M351" s="735"/>
      <c r="N351" s="735"/>
      <c r="O351" s="735"/>
      <c r="P351" s="952"/>
      <c r="Q351" s="865"/>
      <c r="R351" s="749"/>
      <c r="S351" s="749"/>
      <c r="T351" s="750"/>
      <c r="U351" s="710"/>
      <c r="Y351" s="914"/>
      <c r="Z351" s="901"/>
      <c r="AA351" s="901"/>
      <c r="AB351" s="901"/>
      <c r="AC351" s="901"/>
      <c r="AD351" s="915"/>
      <c r="AE351" s="915"/>
      <c r="AF351" s="901"/>
      <c r="AG351" s="934"/>
      <c r="AH351" s="940"/>
      <c r="AM351" s="915"/>
    </row>
    <row r="352" spans="3:39" x14ac:dyDescent="0.2">
      <c r="C352" s="69"/>
      <c r="D352" s="75" t="str">
        <f>IF(op!D285=0,"",op!D285)</f>
        <v/>
      </c>
      <c r="E352" s="75" t="str">
        <f>IF(op!E285=0,"-",op!E285)</f>
        <v>nn</v>
      </c>
      <c r="F352" s="88">
        <f>IF(op!F285="","",op!F285+1)</f>
        <v>30</v>
      </c>
      <c r="G352" s="290">
        <f>IF(op!G285="","",op!G285)</f>
        <v>27395</v>
      </c>
      <c r="H352" s="88" t="str">
        <f>IF(op!H285=0,"",op!H285)</f>
        <v>L10</v>
      </c>
      <c r="I352" s="99">
        <f>IF(J352="","",(IF(op!I285+1&gt;LOOKUP(H352,schaal2019,regels2019),op!I285,op!I285+1)))</f>
        <v>15</v>
      </c>
      <c r="J352" s="291">
        <f>IF(op!J285="","",op!J285)</f>
        <v>0.1</v>
      </c>
      <c r="K352" s="971"/>
      <c r="L352" s="859">
        <f t="shared" ref="L352:M371" si="130">IF(L285="","",L285)</f>
        <v>0</v>
      </c>
      <c r="M352" s="859">
        <f t="shared" si="130"/>
        <v>0</v>
      </c>
      <c r="N352" s="867">
        <f>IF(J352="","",IF((J352*40)&gt;40,40,((J352*40))))</f>
        <v>4</v>
      </c>
      <c r="O352" s="867">
        <f>IF(J352="","",IF(I352&lt;4,(40*J352),0))</f>
        <v>0</v>
      </c>
      <c r="P352" s="953">
        <f t="shared" ref="P352:P406" si="131">IF(J352="","",(SUM(L352:O352)))</f>
        <v>4</v>
      </c>
      <c r="Q352" s="70"/>
      <c r="R352" s="739">
        <f>IF(J352="","",(((1659*J352)-P352)*AB352))</f>
        <v>7326.1945750452078</v>
      </c>
      <c r="S352" s="739">
        <f t="shared" ref="S352:S406" si="132">IF(J352="","",(P352*AC352)+(AA352*AD352)+((AE352*AA352*(1-AF352))))</f>
        <v>181.00542495479203</v>
      </c>
      <c r="T352" s="740">
        <f t="shared" ref="T352:T406" si="133">IF(J352="","",(R352+S352))</f>
        <v>7507.2</v>
      </c>
      <c r="U352" s="275"/>
      <c r="V352" s="288"/>
      <c r="W352" s="288"/>
      <c r="X352" s="288"/>
      <c r="Y352" s="908">
        <f t="shared" ref="Y352:Y383" si="134">IF(H352="",0,VLOOKUP(H352,salaris2020,I352+1,FALSE))</f>
        <v>3910</v>
      </c>
      <c r="Z352" s="986">
        <f>tab!$D$62</f>
        <v>0.6</v>
      </c>
      <c r="AA352" s="944">
        <f t="shared" ref="AA352:AA406" si="135">(Y352*12/1659)</f>
        <v>28.282097649186255</v>
      </c>
      <c r="AB352" s="944">
        <f t="shared" ref="AB352:AB406" si="136">(Y352*12*(1+Z352))/1659</f>
        <v>45.251356238698008</v>
      </c>
      <c r="AC352" s="944">
        <f t="shared" ref="AC352:AC406" si="137">AB352-AA352</f>
        <v>16.969258589511753</v>
      </c>
      <c r="AD352" s="943">
        <f t="shared" ref="AD352:AD406" si="138">(N352+O352)</f>
        <v>4</v>
      </c>
      <c r="AE352" s="943">
        <f t="shared" ref="AE352:AE406" si="139">(L352+M352)</f>
        <v>0</v>
      </c>
      <c r="AF352" s="916">
        <f>IF(H352&gt;8,tab!$D$63,tab!$D$65)</f>
        <v>0.5</v>
      </c>
      <c r="AG352" s="925">
        <f t="shared" ref="AG352:AG406" si="140">IF(F352&lt;25,0,IF(F352=25,25,IF(F352&lt;40,0,IF(F352=40,40,IF(F352&gt;=40,0)))))</f>
        <v>0</v>
      </c>
      <c r="AH352" s="940">
        <f t="shared" ref="AH352:AH406" si="141">IF(AG352=25,(Y352*1.08*(J352)/2),IF(AG352=40,(Y352*1.08*(J352)),IF(AG352=0,0)))</f>
        <v>0</v>
      </c>
      <c r="AI352" s="924" t="b">
        <f>DATE(YEAR(tab!$H$3),MONTH(G352),DAY(G352))&gt;tab!$H$3</f>
        <v>0</v>
      </c>
      <c r="AJ352" s="925">
        <f>YEAR($E$345)-YEAR(G352)-AI352</f>
        <v>49</v>
      </c>
      <c r="AK352" s="884">
        <f t="shared" ref="AK352:AK406" si="142">IF((G352=""),30,AJ352)</f>
        <v>49</v>
      </c>
      <c r="AL352" s="884">
        <f>IF((AK352)&gt;50,50,(AK352))</f>
        <v>49</v>
      </c>
      <c r="AM352" s="925">
        <f t="shared" ref="AM352:AM383" si="143">ROUND((AL352*(SUM(J352:J352))),2)</f>
        <v>4.9000000000000004</v>
      </c>
    </row>
    <row r="353" spans="3:39" x14ac:dyDescent="0.2">
      <c r="C353" s="69"/>
      <c r="D353" s="75" t="str">
        <f>IF(op!D286=0,"",op!D286)</f>
        <v/>
      </c>
      <c r="E353" s="75" t="str">
        <f>IF(op!E286=0,"-",op!E286)</f>
        <v/>
      </c>
      <c r="F353" s="88" t="str">
        <f>IF(op!F286="","",op!F286+1)</f>
        <v/>
      </c>
      <c r="G353" s="290" t="str">
        <f>IF(op!G286="","",op!G286)</f>
        <v/>
      </c>
      <c r="H353" s="88" t="str">
        <f>IF(op!H286=0,"",op!H286)</f>
        <v/>
      </c>
      <c r="I353" s="99" t="str">
        <f>IF(J353="","",(IF(op!I286+1&gt;LOOKUP(H353,schaal2019,regels2019),op!I286,op!I286+1)))</f>
        <v/>
      </c>
      <c r="J353" s="291" t="str">
        <f>IF(op!J286="","",op!J286)</f>
        <v/>
      </c>
      <c r="K353" s="971"/>
      <c r="L353" s="859">
        <f t="shared" si="130"/>
        <v>0</v>
      </c>
      <c r="M353" s="859">
        <f t="shared" si="130"/>
        <v>0</v>
      </c>
      <c r="N353" s="867" t="str">
        <f t="shared" ref="N353:N406" si="144">IF(J353="","",IF((J353*40)&gt;40,40,((J353*40))))</f>
        <v/>
      </c>
      <c r="O353" s="867" t="str">
        <f t="shared" ref="O353:O406" si="145">IF(J353="","",IF(I353&lt;4,(40*J353),0))</f>
        <v/>
      </c>
      <c r="P353" s="953" t="str">
        <f t="shared" si="131"/>
        <v/>
      </c>
      <c r="Q353" s="70"/>
      <c r="R353" s="739" t="str">
        <f t="shared" ref="R353:R406" si="146">IF(J353="","",(((1659*J353)-P353)*AB353))</f>
        <v/>
      </c>
      <c r="S353" s="739" t="str">
        <f t="shared" si="132"/>
        <v/>
      </c>
      <c r="T353" s="740" t="str">
        <f t="shared" si="133"/>
        <v/>
      </c>
      <c r="U353" s="275"/>
      <c r="V353" s="288"/>
      <c r="W353" s="288"/>
      <c r="X353" s="288"/>
      <c r="Y353" s="908">
        <f t="shared" si="134"/>
        <v>0</v>
      </c>
      <c r="Z353" s="986">
        <f>tab!$D$62</f>
        <v>0.6</v>
      </c>
      <c r="AA353" s="944">
        <f t="shared" si="135"/>
        <v>0</v>
      </c>
      <c r="AB353" s="944">
        <f t="shared" si="136"/>
        <v>0</v>
      </c>
      <c r="AC353" s="944">
        <f t="shared" si="137"/>
        <v>0</v>
      </c>
      <c r="AD353" s="943" t="e">
        <f t="shared" si="138"/>
        <v>#VALUE!</v>
      </c>
      <c r="AE353" s="943">
        <f t="shared" si="139"/>
        <v>0</v>
      </c>
      <c r="AF353" s="916">
        <f>IF(H353&gt;8,tab!$D$63,tab!$D$65)</f>
        <v>0.5</v>
      </c>
      <c r="AG353" s="925">
        <f t="shared" si="140"/>
        <v>0</v>
      </c>
      <c r="AH353" s="940">
        <f t="shared" si="141"/>
        <v>0</v>
      </c>
      <c r="AI353" s="924" t="e">
        <f>DATE(YEAR(tab!$H$3),MONTH(G353),DAY(G353))&gt;tab!$H$3</f>
        <v>#VALUE!</v>
      </c>
      <c r="AJ353" s="924" t="e">
        <f t="shared" ref="AJ353:AJ406" si="147">YEAR($E$211)-YEAR(G353)-AI353</f>
        <v>#VALUE!</v>
      </c>
      <c r="AK353" s="884">
        <f t="shared" si="142"/>
        <v>30</v>
      </c>
      <c r="AL353" s="884">
        <f t="shared" ref="AL353:AL406" si="148">IF((AK353)&gt;50,50,(AK353))</f>
        <v>30</v>
      </c>
      <c r="AM353" s="925">
        <f t="shared" si="143"/>
        <v>0</v>
      </c>
    </row>
    <row r="354" spans="3:39" x14ac:dyDescent="0.2">
      <c r="C354" s="69"/>
      <c r="D354" s="75" t="str">
        <f>IF(op!D287=0,"",op!D287)</f>
        <v/>
      </c>
      <c r="E354" s="75" t="str">
        <f>IF(op!E287=0,"-",op!E287)</f>
        <v/>
      </c>
      <c r="F354" s="88" t="str">
        <f>IF(op!F287="","",op!F287+1)</f>
        <v/>
      </c>
      <c r="G354" s="290" t="str">
        <f>IF(op!G287="","",op!G287)</f>
        <v/>
      </c>
      <c r="H354" s="88" t="str">
        <f>IF(op!H287=0,"",op!H287)</f>
        <v/>
      </c>
      <c r="I354" s="99" t="str">
        <f>IF(J354="","",(IF(op!I287+1&gt;LOOKUP(H354,schaal2019,regels2019),op!I287,op!I287+1)))</f>
        <v/>
      </c>
      <c r="J354" s="291" t="str">
        <f>IF(op!J287="","",op!J287)</f>
        <v/>
      </c>
      <c r="K354" s="971"/>
      <c r="L354" s="859">
        <f t="shared" si="130"/>
        <v>0</v>
      </c>
      <c r="M354" s="859">
        <f t="shared" si="130"/>
        <v>0</v>
      </c>
      <c r="N354" s="867" t="str">
        <f t="shared" si="144"/>
        <v/>
      </c>
      <c r="O354" s="867" t="str">
        <f t="shared" si="145"/>
        <v/>
      </c>
      <c r="P354" s="953" t="str">
        <f t="shared" si="131"/>
        <v/>
      </c>
      <c r="Q354" s="70"/>
      <c r="R354" s="739" t="str">
        <f t="shared" si="146"/>
        <v/>
      </c>
      <c r="S354" s="739" t="str">
        <f t="shared" si="132"/>
        <v/>
      </c>
      <c r="T354" s="740" t="str">
        <f t="shared" si="133"/>
        <v/>
      </c>
      <c r="U354" s="275"/>
      <c r="V354" s="288"/>
      <c r="W354" s="288"/>
      <c r="X354" s="288"/>
      <c r="Y354" s="908">
        <f t="shared" si="134"/>
        <v>0</v>
      </c>
      <c r="Z354" s="986">
        <f>tab!$D$62</f>
        <v>0.6</v>
      </c>
      <c r="AA354" s="944">
        <f t="shared" si="135"/>
        <v>0</v>
      </c>
      <c r="AB354" s="944">
        <f t="shared" si="136"/>
        <v>0</v>
      </c>
      <c r="AC354" s="944">
        <f t="shared" si="137"/>
        <v>0</v>
      </c>
      <c r="AD354" s="943" t="e">
        <f t="shared" si="138"/>
        <v>#VALUE!</v>
      </c>
      <c r="AE354" s="943">
        <f t="shared" si="139"/>
        <v>0</v>
      </c>
      <c r="AF354" s="916">
        <f>IF(H354&gt;8,tab!$D$63,tab!$D$65)</f>
        <v>0.5</v>
      </c>
      <c r="AG354" s="925">
        <f t="shared" si="140"/>
        <v>0</v>
      </c>
      <c r="AH354" s="940">
        <f t="shared" si="141"/>
        <v>0</v>
      </c>
      <c r="AI354" s="924" t="e">
        <f>DATE(YEAR(tab!$H$3),MONTH(G354),DAY(G354))&gt;tab!$H$3</f>
        <v>#VALUE!</v>
      </c>
      <c r="AJ354" s="924" t="e">
        <f t="shared" si="147"/>
        <v>#VALUE!</v>
      </c>
      <c r="AK354" s="884">
        <f t="shared" si="142"/>
        <v>30</v>
      </c>
      <c r="AL354" s="884">
        <f t="shared" si="148"/>
        <v>30</v>
      </c>
      <c r="AM354" s="925">
        <f t="shared" si="143"/>
        <v>0</v>
      </c>
    </row>
    <row r="355" spans="3:39" x14ac:dyDescent="0.2">
      <c r="C355" s="69"/>
      <c r="D355" s="75" t="str">
        <f>IF(op!D288=0,"",op!D288)</f>
        <v/>
      </c>
      <c r="E355" s="75" t="str">
        <f>IF(op!E288=0,"-",op!E288)</f>
        <v/>
      </c>
      <c r="F355" s="88" t="str">
        <f>IF(op!F288="","",op!F288+1)</f>
        <v/>
      </c>
      <c r="G355" s="290" t="str">
        <f>IF(op!G288="","",op!G288)</f>
        <v/>
      </c>
      <c r="H355" s="88" t="str">
        <f>IF(op!H288=0,"",op!H288)</f>
        <v/>
      </c>
      <c r="I355" s="99" t="str">
        <f>IF(J355="","",(IF(op!I288+1&gt;LOOKUP(H355,schaal2019,regels2019),op!I288,op!I288+1)))</f>
        <v/>
      </c>
      <c r="J355" s="291" t="str">
        <f>IF(op!J288="","",op!J288)</f>
        <v/>
      </c>
      <c r="K355" s="971"/>
      <c r="L355" s="859">
        <f t="shared" si="130"/>
        <v>0</v>
      </c>
      <c r="M355" s="859">
        <f t="shared" si="130"/>
        <v>0</v>
      </c>
      <c r="N355" s="867" t="str">
        <f t="shared" si="144"/>
        <v/>
      </c>
      <c r="O355" s="867" t="str">
        <f t="shared" si="145"/>
        <v/>
      </c>
      <c r="P355" s="953" t="str">
        <f t="shared" si="131"/>
        <v/>
      </c>
      <c r="Q355" s="70"/>
      <c r="R355" s="739" t="str">
        <f t="shared" si="146"/>
        <v/>
      </c>
      <c r="S355" s="739" t="str">
        <f t="shared" si="132"/>
        <v/>
      </c>
      <c r="T355" s="740" t="str">
        <f t="shared" si="133"/>
        <v/>
      </c>
      <c r="U355" s="275"/>
      <c r="V355" s="288"/>
      <c r="W355" s="288"/>
      <c r="X355" s="288"/>
      <c r="Y355" s="908">
        <f t="shared" si="134"/>
        <v>0</v>
      </c>
      <c r="Z355" s="986">
        <f>tab!$D$62</f>
        <v>0.6</v>
      </c>
      <c r="AA355" s="944">
        <f t="shared" si="135"/>
        <v>0</v>
      </c>
      <c r="AB355" s="944">
        <f t="shared" si="136"/>
        <v>0</v>
      </c>
      <c r="AC355" s="944">
        <f t="shared" si="137"/>
        <v>0</v>
      </c>
      <c r="AD355" s="943" t="e">
        <f t="shared" si="138"/>
        <v>#VALUE!</v>
      </c>
      <c r="AE355" s="943">
        <f t="shared" si="139"/>
        <v>0</v>
      </c>
      <c r="AF355" s="916">
        <f>IF(H355&gt;8,tab!$D$63,tab!$D$65)</f>
        <v>0.5</v>
      </c>
      <c r="AG355" s="925">
        <f t="shared" si="140"/>
        <v>0</v>
      </c>
      <c r="AH355" s="940">
        <f t="shared" si="141"/>
        <v>0</v>
      </c>
      <c r="AI355" s="924" t="e">
        <f>DATE(YEAR(tab!$H$3),MONTH(G355),DAY(G355))&gt;tab!$H$3</f>
        <v>#VALUE!</v>
      </c>
      <c r="AJ355" s="924" t="e">
        <f t="shared" si="147"/>
        <v>#VALUE!</v>
      </c>
      <c r="AK355" s="884">
        <f t="shared" si="142"/>
        <v>30</v>
      </c>
      <c r="AL355" s="884">
        <f t="shared" si="148"/>
        <v>30</v>
      </c>
      <c r="AM355" s="925">
        <f t="shared" si="143"/>
        <v>0</v>
      </c>
    </row>
    <row r="356" spans="3:39" x14ac:dyDescent="0.2">
      <c r="C356" s="69"/>
      <c r="D356" s="75" t="str">
        <f>IF(op!D289=0,"",op!D289)</f>
        <v/>
      </c>
      <c r="E356" s="75" t="str">
        <f>IF(op!E289=0,"-",op!E289)</f>
        <v/>
      </c>
      <c r="F356" s="88" t="str">
        <f>IF(op!F289="","",op!F289+1)</f>
        <v/>
      </c>
      <c r="G356" s="290" t="str">
        <f>IF(op!G289="","",op!G289)</f>
        <v/>
      </c>
      <c r="H356" s="88" t="str">
        <f>IF(op!H289=0,"",op!H289)</f>
        <v/>
      </c>
      <c r="I356" s="99" t="str">
        <f>IF(J356="","",(IF(op!I289+1&gt;LOOKUP(H356,schaal2019,regels2019),op!I289,op!I289+1)))</f>
        <v/>
      </c>
      <c r="J356" s="291" t="str">
        <f>IF(op!J289="","",op!J289)</f>
        <v/>
      </c>
      <c r="K356" s="971"/>
      <c r="L356" s="859">
        <f t="shared" si="130"/>
        <v>0</v>
      </c>
      <c r="M356" s="859">
        <f t="shared" si="130"/>
        <v>0</v>
      </c>
      <c r="N356" s="867" t="str">
        <f t="shared" si="144"/>
        <v/>
      </c>
      <c r="O356" s="867" t="str">
        <f t="shared" si="145"/>
        <v/>
      </c>
      <c r="P356" s="953" t="str">
        <f t="shared" si="131"/>
        <v/>
      </c>
      <c r="Q356" s="70"/>
      <c r="R356" s="739" t="str">
        <f t="shared" si="146"/>
        <v/>
      </c>
      <c r="S356" s="739" t="str">
        <f t="shared" si="132"/>
        <v/>
      </c>
      <c r="T356" s="740" t="str">
        <f t="shared" si="133"/>
        <v/>
      </c>
      <c r="U356" s="275"/>
      <c r="V356" s="288"/>
      <c r="W356" s="288"/>
      <c r="X356" s="288"/>
      <c r="Y356" s="908">
        <f t="shared" si="134"/>
        <v>0</v>
      </c>
      <c r="Z356" s="986">
        <f>tab!$D$62</f>
        <v>0.6</v>
      </c>
      <c r="AA356" s="944">
        <f t="shared" si="135"/>
        <v>0</v>
      </c>
      <c r="AB356" s="944">
        <f t="shared" si="136"/>
        <v>0</v>
      </c>
      <c r="AC356" s="944">
        <f t="shared" si="137"/>
        <v>0</v>
      </c>
      <c r="AD356" s="943" t="e">
        <f t="shared" si="138"/>
        <v>#VALUE!</v>
      </c>
      <c r="AE356" s="943">
        <f t="shared" si="139"/>
        <v>0</v>
      </c>
      <c r="AF356" s="916">
        <f>IF(H356&gt;8,tab!$D$63,tab!$D$65)</f>
        <v>0.5</v>
      </c>
      <c r="AG356" s="925">
        <f t="shared" si="140"/>
        <v>0</v>
      </c>
      <c r="AH356" s="940">
        <f t="shared" si="141"/>
        <v>0</v>
      </c>
      <c r="AI356" s="924" t="e">
        <f>DATE(YEAR(tab!$H$3),MONTH(G356),DAY(G356))&gt;tab!$H$3</f>
        <v>#VALUE!</v>
      </c>
      <c r="AJ356" s="924" t="e">
        <f t="shared" si="147"/>
        <v>#VALUE!</v>
      </c>
      <c r="AK356" s="884">
        <f t="shared" si="142"/>
        <v>30</v>
      </c>
      <c r="AL356" s="884">
        <f t="shared" si="148"/>
        <v>30</v>
      </c>
      <c r="AM356" s="925">
        <f t="shared" si="143"/>
        <v>0</v>
      </c>
    </row>
    <row r="357" spans="3:39" x14ac:dyDescent="0.2">
      <c r="C357" s="69"/>
      <c r="D357" s="75" t="str">
        <f>IF(op!D290=0,"",op!D290)</f>
        <v/>
      </c>
      <c r="E357" s="75" t="str">
        <f>IF(op!E290=0,"-",op!E290)</f>
        <v/>
      </c>
      <c r="F357" s="88" t="str">
        <f>IF(op!F290="","",op!F290+1)</f>
        <v/>
      </c>
      <c r="G357" s="290" t="str">
        <f>IF(op!G290="","",op!G290)</f>
        <v/>
      </c>
      <c r="H357" s="88" t="str">
        <f>IF(op!H290=0,"",op!H290)</f>
        <v/>
      </c>
      <c r="I357" s="99" t="str">
        <f>IF(J357="","",(IF(op!I290+1&gt;LOOKUP(H357,schaal2019,regels2019),op!I290,op!I290+1)))</f>
        <v/>
      </c>
      <c r="J357" s="291" t="str">
        <f>IF(op!J290="","",op!J290)</f>
        <v/>
      </c>
      <c r="K357" s="971"/>
      <c r="L357" s="859">
        <f t="shared" si="130"/>
        <v>0</v>
      </c>
      <c r="M357" s="859">
        <f t="shared" si="130"/>
        <v>0</v>
      </c>
      <c r="N357" s="867" t="str">
        <f t="shared" si="144"/>
        <v/>
      </c>
      <c r="O357" s="867" t="str">
        <f t="shared" si="145"/>
        <v/>
      </c>
      <c r="P357" s="953" t="str">
        <f t="shared" si="131"/>
        <v/>
      </c>
      <c r="Q357" s="70"/>
      <c r="R357" s="739" t="str">
        <f t="shared" si="146"/>
        <v/>
      </c>
      <c r="S357" s="739" t="str">
        <f t="shared" si="132"/>
        <v/>
      </c>
      <c r="T357" s="740" t="str">
        <f t="shared" si="133"/>
        <v/>
      </c>
      <c r="U357" s="275"/>
      <c r="V357" s="288"/>
      <c r="W357" s="288"/>
      <c r="X357" s="288"/>
      <c r="Y357" s="908">
        <f t="shared" si="134"/>
        <v>0</v>
      </c>
      <c r="Z357" s="986">
        <f>tab!$D$62</f>
        <v>0.6</v>
      </c>
      <c r="AA357" s="944">
        <f t="shared" si="135"/>
        <v>0</v>
      </c>
      <c r="AB357" s="944">
        <f t="shared" si="136"/>
        <v>0</v>
      </c>
      <c r="AC357" s="944">
        <f t="shared" si="137"/>
        <v>0</v>
      </c>
      <c r="AD357" s="943" t="e">
        <f t="shared" si="138"/>
        <v>#VALUE!</v>
      </c>
      <c r="AE357" s="943">
        <f t="shared" si="139"/>
        <v>0</v>
      </c>
      <c r="AF357" s="916">
        <f>IF(H357&gt;8,tab!$D$63,tab!$D$65)</f>
        <v>0.5</v>
      </c>
      <c r="AG357" s="925">
        <f t="shared" si="140"/>
        <v>0</v>
      </c>
      <c r="AH357" s="940">
        <f t="shared" si="141"/>
        <v>0</v>
      </c>
      <c r="AI357" s="924" t="e">
        <f>DATE(YEAR(tab!$H$3),MONTH(G357),DAY(G357))&gt;tab!$H$3</f>
        <v>#VALUE!</v>
      </c>
      <c r="AJ357" s="924" t="e">
        <f t="shared" si="147"/>
        <v>#VALUE!</v>
      </c>
      <c r="AK357" s="884">
        <f t="shared" si="142"/>
        <v>30</v>
      </c>
      <c r="AL357" s="884">
        <f t="shared" si="148"/>
        <v>30</v>
      </c>
      <c r="AM357" s="925">
        <f t="shared" si="143"/>
        <v>0</v>
      </c>
    </row>
    <row r="358" spans="3:39" x14ac:dyDescent="0.2">
      <c r="C358" s="69"/>
      <c r="D358" s="75" t="str">
        <f>IF(op!D291=0,"",op!D291)</f>
        <v/>
      </c>
      <c r="E358" s="75" t="str">
        <f>IF(op!E291=0,"-",op!E291)</f>
        <v/>
      </c>
      <c r="F358" s="88" t="str">
        <f>IF(op!F291="","",op!F291+1)</f>
        <v/>
      </c>
      <c r="G358" s="290" t="str">
        <f>IF(op!G291="","",op!G291)</f>
        <v/>
      </c>
      <c r="H358" s="88" t="str">
        <f>IF(op!H291=0,"",op!H291)</f>
        <v/>
      </c>
      <c r="I358" s="99" t="str">
        <f>IF(J358="","",(IF(op!I291+1&gt;LOOKUP(H358,schaal2019,regels2019),op!I291,op!I291+1)))</f>
        <v/>
      </c>
      <c r="J358" s="291" t="str">
        <f>IF(op!J291="","",op!J291)</f>
        <v/>
      </c>
      <c r="K358" s="971"/>
      <c r="L358" s="859">
        <f t="shared" si="130"/>
        <v>0</v>
      </c>
      <c r="M358" s="859">
        <f t="shared" si="130"/>
        <v>0</v>
      </c>
      <c r="N358" s="867" t="str">
        <f t="shared" si="144"/>
        <v/>
      </c>
      <c r="O358" s="867" t="str">
        <f t="shared" si="145"/>
        <v/>
      </c>
      <c r="P358" s="953" t="str">
        <f t="shared" si="131"/>
        <v/>
      </c>
      <c r="Q358" s="70"/>
      <c r="R358" s="739" t="str">
        <f t="shared" si="146"/>
        <v/>
      </c>
      <c r="S358" s="739" t="str">
        <f t="shared" si="132"/>
        <v/>
      </c>
      <c r="T358" s="740" t="str">
        <f t="shared" si="133"/>
        <v/>
      </c>
      <c r="U358" s="275"/>
      <c r="V358" s="288"/>
      <c r="W358" s="288"/>
      <c r="X358" s="288"/>
      <c r="Y358" s="908">
        <f t="shared" si="134"/>
        <v>0</v>
      </c>
      <c r="Z358" s="986">
        <f>tab!$D$62</f>
        <v>0.6</v>
      </c>
      <c r="AA358" s="944">
        <f t="shared" si="135"/>
        <v>0</v>
      </c>
      <c r="AB358" s="944">
        <f t="shared" si="136"/>
        <v>0</v>
      </c>
      <c r="AC358" s="944">
        <f t="shared" si="137"/>
        <v>0</v>
      </c>
      <c r="AD358" s="943" t="e">
        <f t="shared" si="138"/>
        <v>#VALUE!</v>
      </c>
      <c r="AE358" s="943">
        <f t="shared" si="139"/>
        <v>0</v>
      </c>
      <c r="AF358" s="916">
        <f>IF(H358&gt;8,tab!$D$63,tab!$D$65)</f>
        <v>0.5</v>
      </c>
      <c r="AG358" s="925">
        <f t="shared" si="140"/>
        <v>0</v>
      </c>
      <c r="AH358" s="940">
        <f t="shared" si="141"/>
        <v>0</v>
      </c>
      <c r="AI358" s="924" t="e">
        <f>DATE(YEAR(tab!$H$3),MONTH(G358),DAY(G358))&gt;tab!$H$3</f>
        <v>#VALUE!</v>
      </c>
      <c r="AJ358" s="924" t="e">
        <f t="shared" si="147"/>
        <v>#VALUE!</v>
      </c>
      <c r="AK358" s="884">
        <f t="shared" si="142"/>
        <v>30</v>
      </c>
      <c r="AL358" s="884">
        <f t="shared" si="148"/>
        <v>30</v>
      </c>
      <c r="AM358" s="925">
        <f t="shared" si="143"/>
        <v>0</v>
      </c>
    </row>
    <row r="359" spans="3:39" x14ac:dyDescent="0.2">
      <c r="C359" s="69"/>
      <c r="D359" s="75" t="str">
        <f>IF(op!D292=0,"",op!D292)</f>
        <v/>
      </c>
      <c r="E359" s="75" t="str">
        <f>IF(op!E292=0,"-",op!E292)</f>
        <v/>
      </c>
      <c r="F359" s="88" t="str">
        <f>IF(op!F292="","",op!F292+1)</f>
        <v/>
      </c>
      <c r="G359" s="290" t="str">
        <f>IF(op!G292="","",op!G292)</f>
        <v/>
      </c>
      <c r="H359" s="88" t="str">
        <f>IF(op!H292=0,"",op!H292)</f>
        <v/>
      </c>
      <c r="I359" s="99" t="str">
        <f>IF(J359="","",(IF(op!I292+1&gt;LOOKUP(H359,schaal2019,regels2019),op!I292,op!I292+1)))</f>
        <v/>
      </c>
      <c r="J359" s="291" t="str">
        <f>IF(op!J292="","",op!J292)</f>
        <v/>
      </c>
      <c r="K359" s="971"/>
      <c r="L359" s="859">
        <f t="shared" si="130"/>
        <v>0</v>
      </c>
      <c r="M359" s="859">
        <f t="shared" si="130"/>
        <v>0</v>
      </c>
      <c r="N359" s="867" t="str">
        <f t="shared" si="144"/>
        <v/>
      </c>
      <c r="O359" s="867" t="str">
        <f t="shared" si="145"/>
        <v/>
      </c>
      <c r="P359" s="953" t="str">
        <f t="shared" si="131"/>
        <v/>
      </c>
      <c r="Q359" s="70"/>
      <c r="R359" s="739" t="str">
        <f t="shared" si="146"/>
        <v/>
      </c>
      <c r="S359" s="739" t="str">
        <f t="shared" si="132"/>
        <v/>
      </c>
      <c r="T359" s="740" t="str">
        <f t="shared" si="133"/>
        <v/>
      </c>
      <c r="U359" s="275"/>
      <c r="V359" s="288"/>
      <c r="W359" s="288"/>
      <c r="X359" s="288"/>
      <c r="Y359" s="908">
        <f t="shared" si="134"/>
        <v>0</v>
      </c>
      <c r="Z359" s="986">
        <f>tab!$D$62</f>
        <v>0.6</v>
      </c>
      <c r="AA359" s="944">
        <f t="shared" si="135"/>
        <v>0</v>
      </c>
      <c r="AB359" s="944">
        <f t="shared" si="136"/>
        <v>0</v>
      </c>
      <c r="AC359" s="944">
        <f t="shared" si="137"/>
        <v>0</v>
      </c>
      <c r="AD359" s="943" t="e">
        <f t="shared" si="138"/>
        <v>#VALUE!</v>
      </c>
      <c r="AE359" s="943">
        <f t="shared" si="139"/>
        <v>0</v>
      </c>
      <c r="AF359" s="916">
        <f>IF(H359&gt;8,tab!$D$63,tab!$D$65)</f>
        <v>0.5</v>
      </c>
      <c r="AG359" s="925">
        <f t="shared" si="140"/>
        <v>0</v>
      </c>
      <c r="AH359" s="940">
        <f t="shared" si="141"/>
        <v>0</v>
      </c>
      <c r="AI359" s="924" t="e">
        <f>DATE(YEAR(tab!$H$3),MONTH(G359),DAY(G359))&gt;tab!$H$3</f>
        <v>#VALUE!</v>
      </c>
      <c r="AJ359" s="924" t="e">
        <f t="shared" si="147"/>
        <v>#VALUE!</v>
      </c>
      <c r="AK359" s="884">
        <f t="shared" si="142"/>
        <v>30</v>
      </c>
      <c r="AL359" s="884">
        <f t="shared" si="148"/>
        <v>30</v>
      </c>
      <c r="AM359" s="925">
        <f t="shared" si="143"/>
        <v>0</v>
      </c>
    </row>
    <row r="360" spans="3:39" x14ac:dyDescent="0.2">
      <c r="C360" s="69"/>
      <c r="D360" s="75" t="str">
        <f>IF(op!D293=0,"",op!D293)</f>
        <v/>
      </c>
      <c r="E360" s="75" t="str">
        <f>IF(op!E293=0,"-",op!E293)</f>
        <v/>
      </c>
      <c r="F360" s="88" t="str">
        <f>IF(op!F293="","",op!F293+1)</f>
        <v/>
      </c>
      <c r="G360" s="290" t="str">
        <f>IF(op!G293="","",op!G293)</f>
        <v/>
      </c>
      <c r="H360" s="88" t="str">
        <f>IF(op!H293=0,"",op!H293)</f>
        <v/>
      </c>
      <c r="I360" s="99" t="str">
        <f>IF(J360="","",(IF(op!I293+1&gt;LOOKUP(H360,schaal2019,regels2019),op!I293,op!I293+1)))</f>
        <v/>
      </c>
      <c r="J360" s="291" t="str">
        <f>IF(op!J293="","",op!J293)</f>
        <v/>
      </c>
      <c r="K360" s="971"/>
      <c r="L360" s="859">
        <f t="shared" si="130"/>
        <v>0</v>
      </c>
      <c r="M360" s="859">
        <f t="shared" si="130"/>
        <v>0</v>
      </c>
      <c r="N360" s="867" t="str">
        <f t="shared" si="144"/>
        <v/>
      </c>
      <c r="O360" s="867" t="str">
        <f t="shared" si="145"/>
        <v/>
      </c>
      <c r="P360" s="953" t="str">
        <f t="shared" si="131"/>
        <v/>
      </c>
      <c r="Q360" s="70"/>
      <c r="R360" s="739" t="str">
        <f t="shared" si="146"/>
        <v/>
      </c>
      <c r="S360" s="739" t="str">
        <f t="shared" si="132"/>
        <v/>
      </c>
      <c r="T360" s="740" t="str">
        <f t="shared" si="133"/>
        <v/>
      </c>
      <c r="U360" s="275"/>
      <c r="V360" s="288"/>
      <c r="W360" s="288"/>
      <c r="X360" s="288"/>
      <c r="Y360" s="908">
        <f t="shared" si="134"/>
        <v>0</v>
      </c>
      <c r="Z360" s="986">
        <f>tab!$D$62</f>
        <v>0.6</v>
      </c>
      <c r="AA360" s="944">
        <f t="shared" si="135"/>
        <v>0</v>
      </c>
      <c r="AB360" s="944">
        <f t="shared" si="136"/>
        <v>0</v>
      </c>
      <c r="AC360" s="944">
        <f t="shared" si="137"/>
        <v>0</v>
      </c>
      <c r="AD360" s="943" t="e">
        <f t="shared" si="138"/>
        <v>#VALUE!</v>
      </c>
      <c r="AE360" s="943">
        <f t="shared" si="139"/>
        <v>0</v>
      </c>
      <c r="AF360" s="916">
        <f>IF(H360&gt;8,tab!$D$63,tab!$D$65)</f>
        <v>0.5</v>
      </c>
      <c r="AG360" s="925">
        <f t="shared" si="140"/>
        <v>0</v>
      </c>
      <c r="AH360" s="940">
        <f t="shared" si="141"/>
        <v>0</v>
      </c>
      <c r="AI360" s="924" t="e">
        <f>DATE(YEAR(tab!$H$3),MONTH(G360),DAY(G360))&gt;tab!$H$3</f>
        <v>#VALUE!</v>
      </c>
      <c r="AJ360" s="924" t="e">
        <f t="shared" si="147"/>
        <v>#VALUE!</v>
      </c>
      <c r="AK360" s="884">
        <f t="shared" si="142"/>
        <v>30</v>
      </c>
      <c r="AL360" s="884">
        <f t="shared" si="148"/>
        <v>30</v>
      </c>
      <c r="AM360" s="925">
        <f t="shared" si="143"/>
        <v>0</v>
      </c>
    </row>
    <row r="361" spans="3:39" x14ac:dyDescent="0.2">
      <c r="C361" s="69"/>
      <c r="D361" s="75" t="str">
        <f>IF(op!D294=0,"",op!D294)</f>
        <v/>
      </c>
      <c r="E361" s="75" t="str">
        <f>IF(op!E294=0,"-",op!E294)</f>
        <v/>
      </c>
      <c r="F361" s="88" t="str">
        <f>IF(op!F294="","",op!F294+1)</f>
        <v/>
      </c>
      <c r="G361" s="290" t="str">
        <f>IF(op!G294="","",op!G294)</f>
        <v/>
      </c>
      <c r="H361" s="88" t="str">
        <f>IF(op!H294=0,"",op!H294)</f>
        <v/>
      </c>
      <c r="I361" s="99" t="str">
        <f>IF(J361="","",(IF(op!I294+1&gt;LOOKUP(H361,schaal2019,regels2019),op!I294,op!I294+1)))</f>
        <v/>
      </c>
      <c r="J361" s="291" t="str">
        <f>IF(op!J294="","",op!J294)</f>
        <v/>
      </c>
      <c r="K361" s="971"/>
      <c r="L361" s="859">
        <f t="shared" si="130"/>
        <v>0</v>
      </c>
      <c r="M361" s="859">
        <f t="shared" si="130"/>
        <v>0</v>
      </c>
      <c r="N361" s="867" t="str">
        <f t="shared" si="144"/>
        <v/>
      </c>
      <c r="O361" s="867" t="str">
        <f t="shared" si="145"/>
        <v/>
      </c>
      <c r="P361" s="953" t="str">
        <f t="shared" si="131"/>
        <v/>
      </c>
      <c r="Q361" s="70"/>
      <c r="R361" s="739" t="str">
        <f t="shared" si="146"/>
        <v/>
      </c>
      <c r="S361" s="739" t="str">
        <f t="shared" si="132"/>
        <v/>
      </c>
      <c r="T361" s="740" t="str">
        <f t="shared" si="133"/>
        <v/>
      </c>
      <c r="U361" s="275"/>
      <c r="V361" s="288"/>
      <c r="W361" s="288"/>
      <c r="X361" s="288"/>
      <c r="Y361" s="908">
        <f t="shared" si="134"/>
        <v>0</v>
      </c>
      <c r="Z361" s="986">
        <f>tab!$D$62</f>
        <v>0.6</v>
      </c>
      <c r="AA361" s="944">
        <f t="shared" si="135"/>
        <v>0</v>
      </c>
      <c r="AB361" s="944">
        <f t="shared" si="136"/>
        <v>0</v>
      </c>
      <c r="AC361" s="944">
        <f t="shared" si="137"/>
        <v>0</v>
      </c>
      <c r="AD361" s="943" t="e">
        <f t="shared" si="138"/>
        <v>#VALUE!</v>
      </c>
      <c r="AE361" s="943">
        <f t="shared" si="139"/>
        <v>0</v>
      </c>
      <c r="AF361" s="916">
        <f>IF(H361&gt;8,tab!$D$63,tab!$D$65)</f>
        <v>0.5</v>
      </c>
      <c r="AG361" s="925">
        <f t="shared" si="140"/>
        <v>0</v>
      </c>
      <c r="AH361" s="940">
        <f t="shared" si="141"/>
        <v>0</v>
      </c>
      <c r="AI361" s="924" t="e">
        <f>DATE(YEAR(tab!$H$3),MONTH(G361),DAY(G361))&gt;tab!$H$3</f>
        <v>#VALUE!</v>
      </c>
      <c r="AJ361" s="924" t="e">
        <f t="shared" si="147"/>
        <v>#VALUE!</v>
      </c>
      <c r="AK361" s="884">
        <f t="shared" si="142"/>
        <v>30</v>
      </c>
      <c r="AL361" s="884">
        <f t="shared" si="148"/>
        <v>30</v>
      </c>
      <c r="AM361" s="925">
        <f t="shared" si="143"/>
        <v>0</v>
      </c>
    </row>
    <row r="362" spans="3:39" x14ac:dyDescent="0.2">
      <c r="C362" s="69"/>
      <c r="D362" s="75" t="str">
        <f>IF(op!D295=0,"",op!D295)</f>
        <v/>
      </c>
      <c r="E362" s="75" t="str">
        <f>IF(op!E295=0,"-",op!E295)</f>
        <v/>
      </c>
      <c r="F362" s="88" t="str">
        <f>IF(op!F295="","",op!F295+1)</f>
        <v/>
      </c>
      <c r="G362" s="290" t="str">
        <f>IF(op!G295="","",op!G295)</f>
        <v/>
      </c>
      <c r="H362" s="88" t="str">
        <f>IF(op!H295=0,"",op!H295)</f>
        <v/>
      </c>
      <c r="I362" s="99" t="str">
        <f>IF(J362="","",(IF(op!I295+1&gt;LOOKUP(H362,schaal2019,regels2019),op!I295,op!I295+1)))</f>
        <v/>
      </c>
      <c r="J362" s="291" t="str">
        <f>IF(op!J295="","",op!J295)</f>
        <v/>
      </c>
      <c r="K362" s="971"/>
      <c r="L362" s="859">
        <f t="shared" si="130"/>
        <v>0</v>
      </c>
      <c r="M362" s="859">
        <f t="shared" si="130"/>
        <v>0</v>
      </c>
      <c r="N362" s="867" t="str">
        <f t="shared" si="144"/>
        <v/>
      </c>
      <c r="O362" s="867" t="str">
        <f t="shared" si="145"/>
        <v/>
      </c>
      <c r="P362" s="953" t="str">
        <f t="shared" si="131"/>
        <v/>
      </c>
      <c r="Q362" s="70"/>
      <c r="R362" s="739" t="str">
        <f t="shared" si="146"/>
        <v/>
      </c>
      <c r="S362" s="739" t="str">
        <f t="shared" si="132"/>
        <v/>
      </c>
      <c r="T362" s="740" t="str">
        <f t="shared" si="133"/>
        <v/>
      </c>
      <c r="U362" s="275"/>
      <c r="V362" s="288"/>
      <c r="W362" s="288"/>
      <c r="X362" s="288"/>
      <c r="Y362" s="908">
        <f t="shared" si="134"/>
        <v>0</v>
      </c>
      <c r="Z362" s="986">
        <f>tab!$D$62</f>
        <v>0.6</v>
      </c>
      <c r="AA362" s="944">
        <f t="shared" si="135"/>
        <v>0</v>
      </c>
      <c r="AB362" s="944">
        <f t="shared" si="136"/>
        <v>0</v>
      </c>
      <c r="AC362" s="944">
        <f t="shared" si="137"/>
        <v>0</v>
      </c>
      <c r="AD362" s="943" t="e">
        <f t="shared" si="138"/>
        <v>#VALUE!</v>
      </c>
      <c r="AE362" s="943">
        <f t="shared" si="139"/>
        <v>0</v>
      </c>
      <c r="AF362" s="916">
        <f>IF(H362&gt;8,tab!$D$63,tab!$D$65)</f>
        <v>0.5</v>
      </c>
      <c r="AG362" s="925">
        <f t="shared" si="140"/>
        <v>0</v>
      </c>
      <c r="AH362" s="940">
        <f t="shared" si="141"/>
        <v>0</v>
      </c>
      <c r="AI362" s="924" t="e">
        <f>DATE(YEAR(tab!$H$3),MONTH(G362),DAY(G362))&gt;tab!$H$3</f>
        <v>#VALUE!</v>
      </c>
      <c r="AJ362" s="924" t="e">
        <f t="shared" si="147"/>
        <v>#VALUE!</v>
      </c>
      <c r="AK362" s="884">
        <f t="shared" si="142"/>
        <v>30</v>
      </c>
      <c r="AL362" s="884">
        <f t="shared" si="148"/>
        <v>30</v>
      </c>
      <c r="AM362" s="925">
        <f t="shared" si="143"/>
        <v>0</v>
      </c>
    </row>
    <row r="363" spans="3:39" x14ac:dyDescent="0.2">
      <c r="C363" s="69"/>
      <c r="D363" s="75" t="str">
        <f>IF(op!D296=0,"",op!D296)</f>
        <v/>
      </c>
      <c r="E363" s="75" t="str">
        <f>IF(op!E296=0,"-",op!E296)</f>
        <v/>
      </c>
      <c r="F363" s="88" t="str">
        <f>IF(op!F296="","",op!F296+1)</f>
        <v/>
      </c>
      <c r="G363" s="290" t="str">
        <f>IF(op!G296="","",op!G296)</f>
        <v/>
      </c>
      <c r="H363" s="88" t="str">
        <f>IF(op!H296=0,"",op!H296)</f>
        <v/>
      </c>
      <c r="I363" s="99" t="str">
        <f>IF(J363="","",(IF(op!I296+1&gt;LOOKUP(H363,schaal2019,regels2019),op!I296,op!I296+1)))</f>
        <v/>
      </c>
      <c r="J363" s="291" t="str">
        <f>IF(op!J296="","",op!J296)</f>
        <v/>
      </c>
      <c r="K363" s="971"/>
      <c r="L363" s="859">
        <f t="shared" si="130"/>
        <v>0</v>
      </c>
      <c r="M363" s="859">
        <f t="shared" si="130"/>
        <v>0</v>
      </c>
      <c r="N363" s="867" t="str">
        <f t="shared" si="144"/>
        <v/>
      </c>
      <c r="O363" s="867" t="str">
        <f t="shared" si="145"/>
        <v/>
      </c>
      <c r="P363" s="953" t="str">
        <f t="shared" si="131"/>
        <v/>
      </c>
      <c r="Q363" s="70"/>
      <c r="R363" s="739" t="str">
        <f t="shared" si="146"/>
        <v/>
      </c>
      <c r="S363" s="739" t="str">
        <f t="shared" si="132"/>
        <v/>
      </c>
      <c r="T363" s="740" t="str">
        <f t="shared" si="133"/>
        <v/>
      </c>
      <c r="U363" s="275"/>
      <c r="V363" s="288"/>
      <c r="W363" s="288"/>
      <c r="X363" s="288"/>
      <c r="Y363" s="908">
        <f t="shared" si="134"/>
        <v>0</v>
      </c>
      <c r="Z363" s="986">
        <f>tab!$D$62</f>
        <v>0.6</v>
      </c>
      <c r="AA363" s="944">
        <f t="shared" si="135"/>
        <v>0</v>
      </c>
      <c r="AB363" s="944">
        <f t="shared" si="136"/>
        <v>0</v>
      </c>
      <c r="AC363" s="944">
        <f t="shared" si="137"/>
        <v>0</v>
      </c>
      <c r="AD363" s="943" t="e">
        <f t="shared" si="138"/>
        <v>#VALUE!</v>
      </c>
      <c r="AE363" s="943">
        <f t="shared" si="139"/>
        <v>0</v>
      </c>
      <c r="AF363" s="916">
        <f>IF(H363&gt;8,tab!$D$63,tab!$D$65)</f>
        <v>0.5</v>
      </c>
      <c r="AG363" s="925">
        <f t="shared" si="140"/>
        <v>0</v>
      </c>
      <c r="AH363" s="940">
        <f t="shared" si="141"/>
        <v>0</v>
      </c>
      <c r="AI363" s="924" t="e">
        <f>DATE(YEAR(tab!$H$3),MONTH(G363),DAY(G363))&gt;tab!$H$3</f>
        <v>#VALUE!</v>
      </c>
      <c r="AJ363" s="924" t="e">
        <f t="shared" si="147"/>
        <v>#VALUE!</v>
      </c>
      <c r="AK363" s="884">
        <f t="shared" si="142"/>
        <v>30</v>
      </c>
      <c r="AL363" s="884">
        <f t="shared" si="148"/>
        <v>30</v>
      </c>
      <c r="AM363" s="925">
        <f t="shared" si="143"/>
        <v>0</v>
      </c>
    </row>
    <row r="364" spans="3:39" x14ac:dyDescent="0.2">
      <c r="C364" s="69"/>
      <c r="D364" s="75" t="str">
        <f>IF(op!D297=0,"",op!D297)</f>
        <v/>
      </c>
      <c r="E364" s="75" t="str">
        <f>IF(op!E297=0,"-",op!E297)</f>
        <v/>
      </c>
      <c r="F364" s="88" t="str">
        <f>IF(op!F297="","",op!F297+1)</f>
        <v/>
      </c>
      <c r="G364" s="290" t="str">
        <f>IF(op!G297="","",op!G297)</f>
        <v/>
      </c>
      <c r="H364" s="88" t="str">
        <f>IF(op!H297=0,"",op!H297)</f>
        <v/>
      </c>
      <c r="I364" s="99" t="str">
        <f>IF(J364="","",(IF(op!I297+1&gt;LOOKUP(H364,schaal2019,regels2019),op!I297,op!I297+1)))</f>
        <v/>
      </c>
      <c r="J364" s="291" t="str">
        <f>IF(op!J297="","",op!J297)</f>
        <v/>
      </c>
      <c r="K364" s="971"/>
      <c r="L364" s="859">
        <f t="shared" si="130"/>
        <v>0</v>
      </c>
      <c r="M364" s="859">
        <f t="shared" si="130"/>
        <v>0</v>
      </c>
      <c r="N364" s="867" t="str">
        <f t="shared" si="144"/>
        <v/>
      </c>
      <c r="O364" s="867" t="str">
        <f t="shared" si="145"/>
        <v/>
      </c>
      <c r="P364" s="953" t="str">
        <f t="shared" si="131"/>
        <v/>
      </c>
      <c r="Q364" s="70"/>
      <c r="R364" s="739" t="str">
        <f t="shared" si="146"/>
        <v/>
      </c>
      <c r="S364" s="739" t="str">
        <f t="shared" si="132"/>
        <v/>
      </c>
      <c r="T364" s="740" t="str">
        <f t="shared" si="133"/>
        <v/>
      </c>
      <c r="U364" s="275"/>
      <c r="V364" s="288"/>
      <c r="W364" s="288"/>
      <c r="X364" s="288"/>
      <c r="Y364" s="908">
        <f t="shared" si="134"/>
        <v>0</v>
      </c>
      <c r="Z364" s="986">
        <f>tab!$D$62</f>
        <v>0.6</v>
      </c>
      <c r="AA364" s="944">
        <f t="shared" si="135"/>
        <v>0</v>
      </c>
      <c r="AB364" s="944">
        <f t="shared" si="136"/>
        <v>0</v>
      </c>
      <c r="AC364" s="944">
        <f t="shared" si="137"/>
        <v>0</v>
      </c>
      <c r="AD364" s="943" t="e">
        <f t="shared" si="138"/>
        <v>#VALUE!</v>
      </c>
      <c r="AE364" s="943">
        <f t="shared" si="139"/>
        <v>0</v>
      </c>
      <c r="AF364" s="916">
        <f>IF(H364&gt;8,tab!$D$63,tab!$D$65)</f>
        <v>0.5</v>
      </c>
      <c r="AG364" s="925">
        <f t="shared" si="140"/>
        <v>0</v>
      </c>
      <c r="AH364" s="940">
        <f t="shared" si="141"/>
        <v>0</v>
      </c>
      <c r="AI364" s="924" t="e">
        <f>DATE(YEAR(tab!$H$3),MONTH(G364),DAY(G364))&gt;tab!$H$3</f>
        <v>#VALUE!</v>
      </c>
      <c r="AJ364" s="924" t="e">
        <f t="shared" si="147"/>
        <v>#VALUE!</v>
      </c>
      <c r="AK364" s="884">
        <f t="shared" si="142"/>
        <v>30</v>
      </c>
      <c r="AL364" s="884">
        <f t="shared" si="148"/>
        <v>30</v>
      </c>
      <c r="AM364" s="925">
        <f t="shared" si="143"/>
        <v>0</v>
      </c>
    </row>
    <row r="365" spans="3:39" x14ac:dyDescent="0.2">
      <c r="C365" s="69"/>
      <c r="D365" s="75" t="str">
        <f>IF(op!D298=0,"",op!D298)</f>
        <v/>
      </c>
      <c r="E365" s="75" t="str">
        <f>IF(op!E298=0,"-",op!E298)</f>
        <v/>
      </c>
      <c r="F365" s="88" t="str">
        <f>IF(op!F298="","",op!F298+1)</f>
        <v/>
      </c>
      <c r="G365" s="290" t="str">
        <f>IF(op!G298="","",op!G298)</f>
        <v/>
      </c>
      <c r="H365" s="88" t="str">
        <f>IF(op!H298=0,"",op!H298)</f>
        <v/>
      </c>
      <c r="I365" s="99" t="str">
        <f>IF(J365="","",(IF(op!I298+1&gt;LOOKUP(H365,schaal2019,regels2019),op!I298,op!I298+1)))</f>
        <v/>
      </c>
      <c r="J365" s="291" t="str">
        <f>IF(op!J298="","",op!J298)</f>
        <v/>
      </c>
      <c r="K365" s="971"/>
      <c r="L365" s="859">
        <f t="shared" si="130"/>
        <v>0</v>
      </c>
      <c r="M365" s="859">
        <f t="shared" si="130"/>
        <v>0</v>
      </c>
      <c r="N365" s="867" t="str">
        <f t="shared" si="144"/>
        <v/>
      </c>
      <c r="O365" s="867" t="str">
        <f t="shared" si="145"/>
        <v/>
      </c>
      <c r="P365" s="953" t="str">
        <f t="shared" si="131"/>
        <v/>
      </c>
      <c r="Q365" s="70"/>
      <c r="R365" s="739" t="str">
        <f t="shared" si="146"/>
        <v/>
      </c>
      <c r="S365" s="739" t="str">
        <f t="shared" si="132"/>
        <v/>
      </c>
      <c r="T365" s="740" t="str">
        <f t="shared" si="133"/>
        <v/>
      </c>
      <c r="U365" s="275"/>
      <c r="V365" s="288"/>
      <c r="W365" s="288"/>
      <c r="X365" s="288"/>
      <c r="Y365" s="908">
        <f t="shared" si="134"/>
        <v>0</v>
      </c>
      <c r="Z365" s="986">
        <f>tab!$D$62</f>
        <v>0.6</v>
      </c>
      <c r="AA365" s="944">
        <f t="shared" si="135"/>
        <v>0</v>
      </c>
      <c r="AB365" s="944">
        <f t="shared" si="136"/>
        <v>0</v>
      </c>
      <c r="AC365" s="944">
        <f t="shared" si="137"/>
        <v>0</v>
      </c>
      <c r="AD365" s="943" t="e">
        <f t="shared" si="138"/>
        <v>#VALUE!</v>
      </c>
      <c r="AE365" s="943">
        <f t="shared" si="139"/>
        <v>0</v>
      </c>
      <c r="AF365" s="916">
        <f>IF(H365&gt;8,tab!$D$63,tab!$D$65)</f>
        <v>0.5</v>
      </c>
      <c r="AG365" s="925">
        <f t="shared" si="140"/>
        <v>0</v>
      </c>
      <c r="AH365" s="940">
        <f t="shared" si="141"/>
        <v>0</v>
      </c>
      <c r="AI365" s="924" t="e">
        <f>DATE(YEAR(tab!$H$3),MONTH(G365),DAY(G365))&gt;tab!$H$3</f>
        <v>#VALUE!</v>
      </c>
      <c r="AJ365" s="924" t="e">
        <f t="shared" si="147"/>
        <v>#VALUE!</v>
      </c>
      <c r="AK365" s="884">
        <f t="shared" si="142"/>
        <v>30</v>
      </c>
      <c r="AL365" s="884">
        <f t="shared" si="148"/>
        <v>30</v>
      </c>
      <c r="AM365" s="925">
        <f t="shared" si="143"/>
        <v>0</v>
      </c>
    </row>
    <row r="366" spans="3:39" x14ac:dyDescent="0.2">
      <c r="C366" s="69"/>
      <c r="D366" s="75" t="str">
        <f>IF(op!D299=0,"",op!D299)</f>
        <v/>
      </c>
      <c r="E366" s="75" t="str">
        <f>IF(op!E299=0,"-",op!E299)</f>
        <v/>
      </c>
      <c r="F366" s="88" t="str">
        <f>IF(op!F299="","",op!F299+1)</f>
        <v/>
      </c>
      <c r="G366" s="290" t="str">
        <f>IF(op!G299="","",op!G299)</f>
        <v/>
      </c>
      <c r="H366" s="88" t="str">
        <f>IF(op!H299=0,"",op!H299)</f>
        <v/>
      </c>
      <c r="I366" s="99" t="str">
        <f>IF(J366="","",(IF(op!I299+1&gt;LOOKUP(H366,schaal2019,regels2019),op!I299,op!I299+1)))</f>
        <v/>
      </c>
      <c r="J366" s="291" t="str">
        <f>IF(op!J299="","",op!J299)</f>
        <v/>
      </c>
      <c r="K366" s="971"/>
      <c r="L366" s="859">
        <f t="shared" si="130"/>
        <v>0</v>
      </c>
      <c r="M366" s="859">
        <f t="shared" si="130"/>
        <v>0</v>
      </c>
      <c r="N366" s="867" t="str">
        <f t="shared" si="144"/>
        <v/>
      </c>
      <c r="O366" s="867" t="str">
        <f t="shared" si="145"/>
        <v/>
      </c>
      <c r="P366" s="953" t="str">
        <f t="shared" si="131"/>
        <v/>
      </c>
      <c r="Q366" s="70"/>
      <c r="R366" s="739" t="str">
        <f t="shared" si="146"/>
        <v/>
      </c>
      <c r="S366" s="739" t="str">
        <f t="shared" si="132"/>
        <v/>
      </c>
      <c r="T366" s="740" t="str">
        <f t="shared" si="133"/>
        <v/>
      </c>
      <c r="U366" s="275"/>
      <c r="V366" s="288"/>
      <c r="W366" s="288"/>
      <c r="X366" s="288"/>
      <c r="Y366" s="908">
        <f t="shared" si="134"/>
        <v>0</v>
      </c>
      <c r="Z366" s="986">
        <f>tab!$D$62</f>
        <v>0.6</v>
      </c>
      <c r="AA366" s="944">
        <f t="shared" si="135"/>
        <v>0</v>
      </c>
      <c r="AB366" s="944">
        <f t="shared" si="136"/>
        <v>0</v>
      </c>
      <c r="AC366" s="944">
        <f t="shared" si="137"/>
        <v>0</v>
      </c>
      <c r="AD366" s="943" t="e">
        <f t="shared" si="138"/>
        <v>#VALUE!</v>
      </c>
      <c r="AE366" s="943">
        <f t="shared" si="139"/>
        <v>0</v>
      </c>
      <c r="AF366" s="916">
        <f>IF(H366&gt;8,tab!$D$63,tab!$D$65)</f>
        <v>0.5</v>
      </c>
      <c r="AG366" s="925">
        <f t="shared" si="140"/>
        <v>0</v>
      </c>
      <c r="AH366" s="940">
        <f t="shared" si="141"/>
        <v>0</v>
      </c>
      <c r="AI366" s="924" t="e">
        <f>DATE(YEAR(tab!$H$3),MONTH(G366),DAY(G366))&gt;tab!$H$3</f>
        <v>#VALUE!</v>
      </c>
      <c r="AJ366" s="924" t="e">
        <f t="shared" si="147"/>
        <v>#VALUE!</v>
      </c>
      <c r="AK366" s="884">
        <f t="shared" si="142"/>
        <v>30</v>
      </c>
      <c r="AL366" s="884">
        <f t="shared" si="148"/>
        <v>30</v>
      </c>
      <c r="AM366" s="925">
        <f t="shared" si="143"/>
        <v>0</v>
      </c>
    </row>
    <row r="367" spans="3:39" x14ac:dyDescent="0.2">
      <c r="C367" s="69"/>
      <c r="D367" s="75" t="str">
        <f>IF(op!D300=0,"",op!D300)</f>
        <v/>
      </c>
      <c r="E367" s="75" t="str">
        <f>IF(op!E300=0,"-",op!E300)</f>
        <v/>
      </c>
      <c r="F367" s="88" t="str">
        <f>IF(op!F300="","",op!F300+1)</f>
        <v/>
      </c>
      <c r="G367" s="290" t="str">
        <f>IF(op!G300="","",op!G300)</f>
        <v/>
      </c>
      <c r="H367" s="88" t="str">
        <f>IF(op!H300=0,"",op!H300)</f>
        <v/>
      </c>
      <c r="I367" s="99" t="str">
        <f>IF(J367="","",(IF(op!I300+1&gt;LOOKUP(H367,schaal2019,regels2019),op!I300,op!I300+1)))</f>
        <v/>
      </c>
      <c r="J367" s="291" t="str">
        <f>IF(op!J300="","",op!J300)</f>
        <v/>
      </c>
      <c r="K367" s="971"/>
      <c r="L367" s="859">
        <f t="shared" si="130"/>
        <v>0</v>
      </c>
      <c r="M367" s="859">
        <f t="shared" si="130"/>
        <v>0</v>
      </c>
      <c r="N367" s="867" t="str">
        <f t="shared" si="144"/>
        <v/>
      </c>
      <c r="O367" s="867" t="str">
        <f t="shared" si="145"/>
        <v/>
      </c>
      <c r="P367" s="953" t="str">
        <f t="shared" si="131"/>
        <v/>
      </c>
      <c r="Q367" s="70"/>
      <c r="R367" s="739" t="str">
        <f t="shared" si="146"/>
        <v/>
      </c>
      <c r="S367" s="739" t="str">
        <f t="shared" si="132"/>
        <v/>
      </c>
      <c r="T367" s="740" t="str">
        <f t="shared" si="133"/>
        <v/>
      </c>
      <c r="U367" s="275"/>
      <c r="V367" s="288"/>
      <c r="W367" s="288"/>
      <c r="X367" s="288"/>
      <c r="Y367" s="908">
        <f t="shared" si="134"/>
        <v>0</v>
      </c>
      <c r="Z367" s="986">
        <f>tab!$D$62</f>
        <v>0.6</v>
      </c>
      <c r="AA367" s="944">
        <f t="shared" si="135"/>
        <v>0</v>
      </c>
      <c r="AB367" s="944">
        <f t="shared" si="136"/>
        <v>0</v>
      </c>
      <c r="AC367" s="944">
        <f t="shared" si="137"/>
        <v>0</v>
      </c>
      <c r="AD367" s="943" t="e">
        <f t="shared" si="138"/>
        <v>#VALUE!</v>
      </c>
      <c r="AE367" s="943">
        <f t="shared" si="139"/>
        <v>0</v>
      </c>
      <c r="AF367" s="916">
        <f>IF(H367&gt;8,tab!$D$63,tab!$D$65)</f>
        <v>0.5</v>
      </c>
      <c r="AG367" s="925">
        <f t="shared" si="140"/>
        <v>0</v>
      </c>
      <c r="AH367" s="940">
        <f t="shared" si="141"/>
        <v>0</v>
      </c>
      <c r="AI367" s="924" t="e">
        <f>DATE(YEAR(tab!$H$3),MONTH(G367),DAY(G367))&gt;tab!$H$3</f>
        <v>#VALUE!</v>
      </c>
      <c r="AJ367" s="924" t="e">
        <f t="shared" si="147"/>
        <v>#VALUE!</v>
      </c>
      <c r="AK367" s="884">
        <f t="shared" si="142"/>
        <v>30</v>
      </c>
      <c r="AL367" s="884">
        <f t="shared" si="148"/>
        <v>30</v>
      </c>
      <c r="AM367" s="925">
        <f t="shared" si="143"/>
        <v>0</v>
      </c>
    </row>
    <row r="368" spans="3:39" x14ac:dyDescent="0.2">
      <c r="C368" s="69"/>
      <c r="D368" s="75" t="str">
        <f>IF(op!D301=0,"",op!D301)</f>
        <v/>
      </c>
      <c r="E368" s="75" t="str">
        <f>IF(op!E301=0,"-",op!E301)</f>
        <v/>
      </c>
      <c r="F368" s="88" t="str">
        <f>IF(op!F301="","",op!F301+1)</f>
        <v/>
      </c>
      <c r="G368" s="290" t="str">
        <f>IF(op!G301="","",op!G301)</f>
        <v/>
      </c>
      <c r="H368" s="88" t="str">
        <f>IF(op!H301=0,"",op!H301)</f>
        <v/>
      </c>
      <c r="I368" s="99" t="str">
        <f>IF(J368="","",(IF(op!I301+1&gt;LOOKUP(H368,schaal2019,regels2019),op!I301,op!I301+1)))</f>
        <v/>
      </c>
      <c r="J368" s="291" t="str">
        <f>IF(op!J301="","",op!J301)</f>
        <v/>
      </c>
      <c r="K368" s="971"/>
      <c r="L368" s="859">
        <f t="shared" si="130"/>
        <v>0</v>
      </c>
      <c r="M368" s="859">
        <f t="shared" si="130"/>
        <v>0</v>
      </c>
      <c r="N368" s="867" t="str">
        <f t="shared" si="144"/>
        <v/>
      </c>
      <c r="O368" s="867" t="str">
        <f t="shared" si="145"/>
        <v/>
      </c>
      <c r="P368" s="953" t="str">
        <f t="shared" si="131"/>
        <v/>
      </c>
      <c r="Q368" s="70"/>
      <c r="R368" s="739" t="str">
        <f t="shared" si="146"/>
        <v/>
      </c>
      <c r="S368" s="739" t="str">
        <f t="shared" si="132"/>
        <v/>
      </c>
      <c r="T368" s="740" t="str">
        <f t="shared" si="133"/>
        <v/>
      </c>
      <c r="U368" s="275"/>
      <c r="V368" s="288"/>
      <c r="W368" s="288"/>
      <c r="X368" s="288"/>
      <c r="Y368" s="908">
        <f t="shared" si="134"/>
        <v>0</v>
      </c>
      <c r="Z368" s="986">
        <f>tab!$D$62</f>
        <v>0.6</v>
      </c>
      <c r="AA368" s="944">
        <f t="shared" si="135"/>
        <v>0</v>
      </c>
      <c r="AB368" s="944">
        <f t="shared" si="136"/>
        <v>0</v>
      </c>
      <c r="AC368" s="944">
        <f t="shared" si="137"/>
        <v>0</v>
      </c>
      <c r="AD368" s="943" t="e">
        <f t="shared" si="138"/>
        <v>#VALUE!</v>
      </c>
      <c r="AE368" s="943">
        <f t="shared" si="139"/>
        <v>0</v>
      </c>
      <c r="AF368" s="916">
        <f>IF(H368&gt;8,tab!$D$63,tab!$D$65)</f>
        <v>0.5</v>
      </c>
      <c r="AG368" s="925">
        <f t="shared" si="140"/>
        <v>0</v>
      </c>
      <c r="AH368" s="940">
        <f t="shared" si="141"/>
        <v>0</v>
      </c>
      <c r="AI368" s="924" t="e">
        <f>DATE(YEAR(tab!$H$3),MONTH(G368),DAY(G368))&gt;tab!$H$3</f>
        <v>#VALUE!</v>
      </c>
      <c r="AJ368" s="924" t="e">
        <f t="shared" si="147"/>
        <v>#VALUE!</v>
      </c>
      <c r="AK368" s="884">
        <f t="shared" si="142"/>
        <v>30</v>
      </c>
      <c r="AL368" s="884">
        <f t="shared" si="148"/>
        <v>30</v>
      </c>
      <c r="AM368" s="925">
        <f t="shared" si="143"/>
        <v>0</v>
      </c>
    </row>
    <row r="369" spans="3:39" x14ac:dyDescent="0.2">
      <c r="C369" s="69"/>
      <c r="D369" s="75" t="str">
        <f>IF(op!D302=0,"",op!D302)</f>
        <v/>
      </c>
      <c r="E369" s="75" t="str">
        <f>IF(op!E302=0,"-",op!E302)</f>
        <v/>
      </c>
      <c r="F369" s="88" t="str">
        <f>IF(op!F302="","",op!F302+1)</f>
        <v/>
      </c>
      <c r="G369" s="290" t="str">
        <f>IF(op!G302="","",op!G302)</f>
        <v/>
      </c>
      <c r="H369" s="88" t="str">
        <f>IF(op!H302=0,"",op!H302)</f>
        <v/>
      </c>
      <c r="I369" s="99" t="str">
        <f>IF(J369="","",(IF(op!I302+1&gt;LOOKUP(H369,schaal2019,regels2019),op!I302,op!I302+1)))</f>
        <v/>
      </c>
      <c r="J369" s="291" t="str">
        <f>IF(op!J302="","",op!J302)</f>
        <v/>
      </c>
      <c r="K369" s="971"/>
      <c r="L369" s="859">
        <f t="shared" si="130"/>
        <v>0</v>
      </c>
      <c r="M369" s="859">
        <f t="shared" si="130"/>
        <v>0</v>
      </c>
      <c r="N369" s="867" t="str">
        <f t="shared" si="144"/>
        <v/>
      </c>
      <c r="O369" s="867" t="str">
        <f t="shared" si="145"/>
        <v/>
      </c>
      <c r="P369" s="953" t="str">
        <f t="shared" si="131"/>
        <v/>
      </c>
      <c r="Q369" s="70"/>
      <c r="R369" s="739" t="str">
        <f t="shared" si="146"/>
        <v/>
      </c>
      <c r="S369" s="739" t="str">
        <f t="shared" si="132"/>
        <v/>
      </c>
      <c r="T369" s="740" t="str">
        <f t="shared" si="133"/>
        <v/>
      </c>
      <c r="U369" s="275"/>
      <c r="V369" s="288"/>
      <c r="W369" s="288"/>
      <c r="X369" s="288"/>
      <c r="Y369" s="908">
        <f t="shared" si="134"/>
        <v>0</v>
      </c>
      <c r="Z369" s="986">
        <f>tab!$D$62</f>
        <v>0.6</v>
      </c>
      <c r="AA369" s="944">
        <f t="shared" si="135"/>
        <v>0</v>
      </c>
      <c r="AB369" s="944">
        <f t="shared" si="136"/>
        <v>0</v>
      </c>
      <c r="AC369" s="944">
        <f t="shared" si="137"/>
        <v>0</v>
      </c>
      <c r="AD369" s="943" t="e">
        <f t="shared" si="138"/>
        <v>#VALUE!</v>
      </c>
      <c r="AE369" s="943">
        <f t="shared" si="139"/>
        <v>0</v>
      </c>
      <c r="AF369" s="916">
        <f>IF(H369&gt;8,tab!$D$63,tab!$D$65)</f>
        <v>0.5</v>
      </c>
      <c r="AG369" s="925">
        <f t="shared" si="140"/>
        <v>0</v>
      </c>
      <c r="AH369" s="940">
        <f t="shared" si="141"/>
        <v>0</v>
      </c>
      <c r="AI369" s="924" t="e">
        <f>DATE(YEAR(tab!$H$3),MONTH(G369),DAY(G369))&gt;tab!$H$3</f>
        <v>#VALUE!</v>
      </c>
      <c r="AJ369" s="924" t="e">
        <f t="shared" si="147"/>
        <v>#VALUE!</v>
      </c>
      <c r="AK369" s="884">
        <f t="shared" si="142"/>
        <v>30</v>
      </c>
      <c r="AL369" s="884">
        <f t="shared" si="148"/>
        <v>30</v>
      </c>
      <c r="AM369" s="925">
        <f t="shared" si="143"/>
        <v>0</v>
      </c>
    </row>
    <row r="370" spans="3:39" x14ac:dyDescent="0.2">
      <c r="C370" s="69"/>
      <c r="D370" s="75" t="str">
        <f>IF(op!D303=0,"",op!D303)</f>
        <v/>
      </c>
      <c r="E370" s="75" t="str">
        <f>IF(op!E303=0,"-",op!E303)</f>
        <v/>
      </c>
      <c r="F370" s="88" t="str">
        <f>IF(op!F303="","",op!F303+1)</f>
        <v/>
      </c>
      <c r="G370" s="290" t="str">
        <f>IF(op!G303="","",op!G303)</f>
        <v/>
      </c>
      <c r="H370" s="88" t="str">
        <f>IF(op!H303=0,"",op!H303)</f>
        <v/>
      </c>
      <c r="I370" s="99" t="str">
        <f>IF(J370="","",(IF(op!I303+1&gt;LOOKUP(H370,schaal2019,regels2019),op!I303,op!I303+1)))</f>
        <v/>
      </c>
      <c r="J370" s="291" t="str">
        <f>IF(op!J303="","",op!J303)</f>
        <v/>
      </c>
      <c r="K370" s="971"/>
      <c r="L370" s="859">
        <f t="shared" si="130"/>
        <v>0</v>
      </c>
      <c r="M370" s="859">
        <f t="shared" si="130"/>
        <v>0</v>
      </c>
      <c r="N370" s="867" t="str">
        <f t="shared" si="144"/>
        <v/>
      </c>
      <c r="O370" s="867" t="str">
        <f t="shared" si="145"/>
        <v/>
      </c>
      <c r="P370" s="953" t="str">
        <f t="shared" si="131"/>
        <v/>
      </c>
      <c r="Q370" s="70"/>
      <c r="R370" s="739" t="str">
        <f t="shared" si="146"/>
        <v/>
      </c>
      <c r="S370" s="739" t="str">
        <f t="shared" si="132"/>
        <v/>
      </c>
      <c r="T370" s="740" t="str">
        <f t="shared" si="133"/>
        <v/>
      </c>
      <c r="U370" s="275"/>
      <c r="V370" s="288"/>
      <c r="W370" s="288"/>
      <c r="X370" s="288"/>
      <c r="Y370" s="908">
        <f t="shared" si="134"/>
        <v>0</v>
      </c>
      <c r="Z370" s="986">
        <f>tab!$D$62</f>
        <v>0.6</v>
      </c>
      <c r="AA370" s="944">
        <f t="shared" si="135"/>
        <v>0</v>
      </c>
      <c r="AB370" s="944">
        <f t="shared" si="136"/>
        <v>0</v>
      </c>
      <c r="AC370" s="944">
        <f t="shared" si="137"/>
        <v>0</v>
      </c>
      <c r="AD370" s="943" t="e">
        <f t="shared" si="138"/>
        <v>#VALUE!</v>
      </c>
      <c r="AE370" s="943">
        <f t="shared" si="139"/>
        <v>0</v>
      </c>
      <c r="AF370" s="916">
        <f>IF(H370&gt;8,tab!$D$63,tab!$D$65)</f>
        <v>0.5</v>
      </c>
      <c r="AG370" s="925">
        <f t="shared" si="140"/>
        <v>0</v>
      </c>
      <c r="AH370" s="940">
        <f t="shared" si="141"/>
        <v>0</v>
      </c>
      <c r="AI370" s="924" t="e">
        <f>DATE(YEAR(tab!$H$3),MONTH(G370),DAY(G370))&gt;tab!$H$3</f>
        <v>#VALUE!</v>
      </c>
      <c r="AJ370" s="924" t="e">
        <f t="shared" si="147"/>
        <v>#VALUE!</v>
      </c>
      <c r="AK370" s="884">
        <f t="shared" si="142"/>
        <v>30</v>
      </c>
      <c r="AL370" s="884">
        <f t="shared" si="148"/>
        <v>30</v>
      </c>
      <c r="AM370" s="925">
        <f t="shared" si="143"/>
        <v>0</v>
      </c>
    </row>
    <row r="371" spans="3:39" x14ac:dyDescent="0.2">
      <c r="C371" s="69"/>
      <c r="D371" s="75" t="str">
        <f>IF(op!D304=0,"",op!D304)</f>
        <v/>
      </c>
      <c r="E371" s="75" t="str">
        <f>IF(op!E304=0,"-",op!E304)</f>
        <v/>
      </c>
      <c r="F371" s="88" t="str">
        <f>IF(op!F304="","",op!F304+1)</f>
        <v/>
      </c>
      <c r="G371" s="290" t="str">
        <f>IF(op!G304="","",op!G304)</f>
        <v/>
      </c>
      <c r="H371" s="88" t="str">
        <f>IF(op!H304=0,"",op!H304)</f>
        <v/>
      </c>
      <c r="I371" s="99" t="str">
        <f>IF(J371="","",(IF(op!I304+1&gt;LOOKUP(H371,schaal2019,regels2019),op!I304,op!I304+1)))</f>
        <v/>
      </c>
      <c r="J371" s="291" t="str">
        <f>IF(op!J304="","",op!J304)</f>
        <v/>
      </c>
      <c r="K371" s="971"/>
      <c r="L371" s="859">
        <f t="shared" si="130"/>
        <v>0</v>
      </c>
      <c r="M371" s="859">
        <f t="shared" si="130"/>
        <v>0</v>
      </c>
      <c r="N371" s="867" t="str">
        <f t="shared" si="144"/>
        <v/>
      </c>
      <c r="O371" s="867" t="str">
        <f t="shared" si="145"/>
        <v/>
      </c>
      <c r="P371" s="953" t="str">
        <f t="shared" si="131"/>
        <v/>
      </c>
      <c r="Q371" s="70"/>
      <c r="R371" s="739" t="str">
        <f t="shared" si="146"/>
        <v/>
      </c>
      <c r="S371" s="739" t="str">
        <f t="shared" si="132"/>
        <v/>
      </c>
      <c r="T371" s="740" t="str">
        <f t="shared" si="133"/>
        <v/>
      </c>
      <c r="U371" s="275"/>
      <c r="V371" s="288"/>
      <c r="W371" s="288"/>
      <c r="X371" s="288"/>
      <c r="Y371" s="908">
        <f t="shared" si="134"/>
        <v>0</v>
      </c>
      <c r="Z371" s="986">
        <f>tab!$D$62</f>
        <v>0.6</v>
      </c>
      <c r="AA371" s="944">
        <f t="shared" si="135"/>
        <v>0</v>
      </c>
      <c r="AB371" s="944">
        <f t="shared" si="136"/>
        <v>0</v>
      </c>
      <c r="AC371" s="944">
        <f t="shared" si="137"/>
        <v>0</v>
      </c>
      <c r="AD371" s="943" t="e">
        <f t="shared" si="138"/>
        <v>#VALUE!</v>
      </c>
      <c r="AE371" s="943">
        <f t="shared" si="139"/>
        <v>0</v>
      </c>
      <c r="AF371" s="916">
        <f>IF(H371&gt;8,tab!$D$63,tab!$D$65)</f>
        <v>0.5</v>
      </c>
      <c r="AG371" s="925">
        <f t="shared" si="140"/>
        <v>0</v>
      </c>
      <c r="AH371" s="940">
        <f t="shared" si="141"/>
        <v>0</v>
      </c>
      <c r="AI371" s="924" t="e">
        <f>DATE(YEAR(tab!$H$3),MONTH(G371),DAY(G371))&gt;tab!$H$3</f>
        <v>#VALUE!</v>
      </c>
      <c r="AJ371" s="924" t="e">
        <f t="shared" si="147"/>
        <v>#VALUE!</v>
      </c>
      <c r="AK371" s="884">
        <f t="shared" si="142"/>
        <v>30</v>
      </c>
      <c r="AL371" s="884">
        <f t="shared" si="148"/>
        <v>30</v>
      </c>
      <c r="AM371" s="925">
        <f t="shared" si="143"/>
        <v>0</v>
      </c>
    </row>
    <row r="372" spans="3:39" x14ac:dyDescent="0.2">
      <c r="C372" s="69"/>
      <c r="D372" s="75" t="str">
        <f>IF(op!D305=0,"",op!D305)</f>
        <v/>
      </c>
      <c r="E372" s="75" t="str">
        <f>IF(op!E305=0,"-",op!E305)</f>
        <v/>
      </c>
      <c r="F372" s="88" t="str">
        <f>IF(op!F305="","",op!F305+1)</f>
        <v/>
      </c>
      <c r="G372" s="290" t="str">
        <f>IF(op!G305="","",op!G305)</f>
        <v/>
      </c>
      <c r="H372" s="88" t="str">
        <f>IF(op!H305=0,"",op!H305)</f>
        <v/>
      </c>
      <c r="I372" s="99" t="str">
        <f>IF(J372="","",(IF(op!I305+1&gt;LOOKUP(H372,schaal2019,regels2019),op!I305,op!I305+1)))</f>
        <v/>
      </c>
      <c r="J372" s="291" t="str">
        <f>IF(op!J305="","",op!J305)</f>
        <v/>
      </c>
      <c r="K372" s="971"/>
      <c r="L372" s="859">
        <f t="shared" ref="L372:M391" si="149">IF(L305="","",L305)</f>
        <v>0</v>
      </c>
      <c r="M372" s="859">
        <f t="shared" si="149"/>
        <v>0</v>
      </c>
      <c r="N372" s="867" t="str">
        <f t="shared" si="144"/>
        <v/>
      </c>
      <c r="O372" s="867" t="str">
        <f t="shared" si="145"/>
        <v/>
      </c>
      <c r="P372" s="953" t="str">
        <f t="shared" si="131"/>
        <v/>
      </c>
      <c r="Q372" s="70"/>
      <c r="R372" s="739" t="str">
        <f t="shared" si="146"/>
        <v/>
      </c>
      <c r="S372" s="739" t="str">
        <f t="shared" si="132"/>
        <v/>
      </c>
      <c r="T372" s="740" t="str">
        <f t="shared" si="133"/>
        <v/>
      </c>
      <c r="U372" s="275"/>
      <c r="V372" s="288"/>
      <c r="W372" s="288"/>
      <c r="X372" s="288"/>
      <c r="Y372" s="908">
        <f t="shared" si="134"/>
        <v>0</v>
      </c>
      <c r="Z372" s="986">
        <f>tab!$D$62</f>
        <v>0.6</v>
      </c>
      <c r="AA372" s="944">
        <f t="shared" si="135"/>
        <v>0</v>
      </c>
      <c r="AB372" s="944">
        <f t="shared" si="136"/>
        <v>0</v>
      </c>
      <c r="AC372" s="944">
        <f t="shared" si="137"/>
        <v>0</v>
      </c>
      <c r="AD372" s="943" t="e">
        <f t="shared" si="138"/>
        <v>#VALUE!</v>
      </c>
      <c r="AE372" s="943">
        <f t="shared" si="139"/>
        <v>0</v>
      </c>
      <c r="AF372" s="916">
        <f>IF(H372&gt;8,tab!$D$63,tab!$D$65)</f>
        <v>0.5</v>
      </c>
      <c r="AG372" s="925">
        <f t="shared" si="140"/>
        <v>0</v>
      </c>
      <c r="AH372" s="940">
        <f t="shared" si="141"/>
        <v>0</v>
      </c>
      <c r="AI372" s="924" t="e">
        <f>DATE(YEAR(tab!$H$3),MONTH(G372),DAY(G372))&gt;tab!$H$3</f>
        <v>#VALUE!</v>
      </c>
      <c r="AJ372" s="924" t="e">
        <f t="shared" si="147"/>
        <v>#VALUE!</v>
      </c>
      <c r="AK372" s="884">
        <f t="shared" si="142"/>
        <v>30</v>
      </c>
      <c r="AL372" s="884">
        <f t="shared" si="148"/>
        <v>30</v>
      </c>
      <c r="AM372" s="925">
        <f t="shared" si="143"/>
        <v>0</v>
      </c>
    </row>
    <row r="373" spans="3:39" x14ac:dyDescent="0.2">
      <c r="C373" s="69"/>
      <c r="D373" s="75" t="str">
        <f>IF(op!D306=0,"",op!D306)</f>
        <v/>
      </c>
      <c r="E373" s="75" t="str">
        <f>IF(op!E306=0,"-",op!E306)</f>
        <v/>
      </c>
      <c r="F373" s="88" t="str">
        <f>IF(op!F306="","",op!F306+1)</f>
        <v/>
      </c>
      <c r="G373" s="290" t="str">
        <f>IF(op!G306="","",op!G306)</f>
        <v/>
      </c>
      <c r="H373" s="88" t="str">
        <f>IF(op!H306=0,"",op!H306)</f>
        <v/>
      </c>
      <c r="I373" s="99" t="str">
        <f>IF(J373="","",(IF(op!I306+1&gt;LOOKUP(H373,schaal2019,regels2019),op!I306,op!I306+1)))</f>
        <v/>
      </c>
      <c r="J373" s="291" t="str">
        <f>IF(op!J306="","",op!J306)</f>
        <v/>
      </c>
      <c r="K373" s="971"/>
      <c r="L373" s="859">
        <f t="shared" si="149"/>
        <v>0</v>
      </c>
      <c r="M373" s="859">
        <f t="shared" si="149"/>
        <v>0</v>
      </c>
      <c r="N373" s="867" t="str">
        <f t="shared" si="144"/>
        <v/>
      </c>
      <c r="O373" s="867" t="str">
        <f t="shared" si="145"/>
        <v/>
      </c>
      <c r="P373" s="953" t="str">
        <f t="shared" si="131"/>
        <v/>
      </c>
      <c r="Q373" s="70"/>
      <c r="R373" s="739" t="str">
        <f t="shared" si="146"/>
        <v/>
      </c>
      <c r="S373" s="739" t="str">
        <f t="shared" si="132"/>
        <v/>
      </c>
      <c r="T373" s="740" t="str">
        <f t="shared" si="133"/>
        <v/>
      </c>
      <c r="U373" s="275"/>
      <c r="V373" s="288"/>
      <c r="W373" s="288"/>
      <c r="X373" s="288"/>
      <c r="Y373" s="908">
        <f t="shared" si="134"/>
        <v>0</v>
      </c>
      <c r="Z373" s="986">
        <f>tab!$D$62</f>
        <v>0.6</v>
      </c>
      <c r="AA373" s="944">
        <f t="shared" si="135"/>
        <v>0</v>
      </c>
      <c r="AB373" s="944">
        <f t="shared" si="136"/>
        <v>0</v>
      </c>
      <c r="AC373" s="944">
        <f t="shared" si="137"/>
        <v>0</v>
      </c>
      <c r="AD373" s="943" t="e">
        <f t="shared" si="138"/>
        <v>#VALUE!</v>
      </c>
      <c r="AE373" s="943">
        <f t="shared" si="139"/>
        <v>0</v>
      </c>
      <c r="AF373" s="916">
        <f>IF(H373&gt;8,tab!$D$63,tab!$D$65)</f>
        <v>0.5</v>
      </c>
      <c r="AG373" s="925">
        <f t="shared" si="140"/>
        <v>0</v>
      </c>
      <c r="AH373" s="940">
        <f t="shared" si="141"/>
        <v>0</v>
      </c>
      <c r="AI373" s="924" t="e">
        <f>DATE(YEAR(tab!$H$3),MONTH(G373),DAY(G373))&gt;tab!$H$3</f>
        <v>#VALUE!</v>
      </c>
      <c r="AJ373" s="924" t="e">
        <f t="shared" si="147"/>
        <v>#VALUE!</v>
      </c>
      <c r="AK373" s="884">
        <f t="shared" si="142"/>
        <v>30</v>
      </c>
      <c r="AL373" s="884">
        <f t="shared" si="148"/>
        <v>30</v>
      </c>
      <c r="AM373" s="925">
        <f t="shared" si="143"/>
        <v>0</v>
      </c>
    </row>
    <row r="374" spans="3:39" x14ac:dyDescent="0.2">
      <c r="C374" s="69"/>
      <c r="D374" s="75" t="str">
        <f>IF(op!D307=0,"",op!D307)</f>
        <v/>
      </c>
      <c r="E374" s="75" t="str">
        <f>IF(op!E307=0,"-",op!E307)</f>
        <v/>
      </c>
      <c r="F374" s="88" t="str">
        <f>IF(op!F307="","",op!F307+1)</f>
        <v/>
      </c>
      <c r="G374" s="290" t="str">
        <f>IF(op!G307="","",op!G307)</f>
        <v/>
      </c>
      <c r="H374" s="88" t="str">
        <f>IF(op!H307=0,"",op!H307)</f>
        <v/>
      </c>
      <c r="I374" s="99" t="str">
        <f>IF(J374="","",(IF(op!I307+1&gt;LOOKUP(H374,schaal2019,regels2019),op!I307,op!I307+1)))</f>
        <v/>
      </c>
      <c r="J374" s="291" t="str">
        <f>IF(op!J307="","",op!J307)</f>
        <v/>
      </c>
      <c r="K374" s="971"/>
      <c r="L374" s="859">
        <f t="shared" si="149"/>
        <v>0</v>
      </c>
      <c r="M374" s="859">
        <f t="shared" si="149"/>
        <v>0</v>
      </c>
      <c r="N374" s="867" t="str">
        <f t="shared" si="144"/>
        <v/>
      </c>
      <c r="O374" s="867" t="str">
        <f t="shared" si="145"/>
        <v/>
      </c>
      <c r="P374" s="953" t="str">
        <f t="shared" si="131"/>
        <v/>
      </c>
      <c r="Q374" s="70"/>
      <c r="R374" s="739" t="str">
        <f t="shared" si="146"/>
        <v/>
      </c>
      <c r="S374" s="739" t="str">
        <f t="shared" si="132"/>
        <v/>
      </c>
      <c r="T374" s="740" t="str">
        <f t="shared" si="133"/>
        <v/>
      </c>
      <c r="U374" s="275"/>
      <c r="V374" s="288"/>
      <c r="W374" s="288"/>
      <c r="X374" s="288"/>
      <c r="Y374" s="908">
        <f t="shared" si="134"/>
        <v>0</v>
      </c>
      <c r="Z374" s="986">
        <f>tab!$D$62</f>
        <v>0.6</v>
      </c>
      <c r="AA374" s="944">
        <f t="shared" si="135"/>
        <v>0</v>
      </c>
      <c r="AB374" s="944">
        <f t="shared" si="136"/>
        <v>0</v>
      </c>
      <c r="AC374" s="944">
        <f t="shared" si="137"/>
        <v>0</v>
      </c>
      <c r="AD374" s="943" t="e">
        <f t="shared" si="138"/>
        <v>#VALUE!</v>
      </c>
      <c r="AE374" s="943">
        <f t="shared" si="139"/>
        <v>0</v>
      </c>
      <c r="AF374" s="916">
        <f>IF(H374&gt;8,tab!$D$63,tab!$D$65)</f>
        <v>0.5</v>
      </c>
      <c r="AG374" s="925">
        <f t="shared" si="140"/>
        <v>0</v>
      </c>
      <c r="AH374" s="940">
        <f t="shared" si="141"/>
        <v>0</v>
      </c>
      <c r="AI374" s="924" t="e">
        <f>DATE(YEAR(tab!$H$3),MONTH(G374),DAY(G374))&gt;tab!$H$3</f>
        <v>#VALUE!</v>
      </c>
      <c r="AJ374" s="924" t="e">
        <f t="shared" si="147"/>
        <v>#VALUE!</v>
      </c>
      <c r="AK374" s="884">
        <f t="shared" si="142"/>
        <v>30</v>
      </c>
      <c r="AL374" s="884">
        <f t="shared" si="148"/>
        <v>30</v>
      </c>
      <c r="AM374" s="925">
        <f t="shared" si="143"/>
        <v>0</v>
      </c>
    </row>
    <row r="375" spans="3:39" x14ac:dyDescent="0.2">
      <c r="C375" s="69"/>
      <c r="D375" s="75" t="str">
        <f>IF(op!D308=0,"",op!D308)</f>
        <v/>
      </c>
      <c r="E375" s="75" t="str">
        <f>IF(op!E308=0,"-",op!E308)</f>
        <v/>
      </c>
      <c r="F375" s="88" t="str">
        <f>IF(op!F308="","",op!F308+1)</f>
        <v/>
      </c>
      <c r="G375" s="290" t="str">
        <f>IF(op!G308="","",op!G308)</f>
        <v/>
      </c>
      <c r="H375" s="88" t="str">
        <f>IF(op!H308=0,"",op!H308)</f>
        <v/>
      </c>
      <c r="I375" s="99" t="str">
        <f>IF(J375="","",(IF(op!I308+1&gt;LOOKUP(H375,schaal2019,regels2019),op!I308,op!I308+1)))</f>
        <v/>
      </c>
      <c r="J375" s="291" t="str">
        <f>IF(op!J308="","",op!J308)</f>
        <v/>
      </c>
      <c r="K375" s="971"/>
      <c r="L375" s="859">
        <f t="shared" si="149"/>
        <v>0</v>
      </c>
      <c r="M375" s="859">
        <f t="shared" si="149"/>
        <v>0</v>
      </c>
      <c r="N375" s="867" t="str">
        <f t="shared" si="144"/>
        <v/>
      </c>
      <c r="O375" s="867" t="str">
        <f t="shared" si="145"/>
        <v/>
      </c>
      <c r="P375" s="953" t="str">
        <f t="shared" si="131"/>
        <v/>
      </c>
      <c r="Q375" s="70"/>
      <c r="R375" s="739" t="str">
        <f t="shared" si="146"/>
        <v/>
      </c>
      <c r="S375" s="739" t="str">
        <f t="shared" si="132"/>
        <v/>
      </c>
      <c r="T375" s="740" t="str">
        <f t="shared" si="133"/>
        <v/>
      </c>
      <c r="U375" s="275"/>
      <c r="V375" s="288"/>
      <c r="W375" s="288"/>
      <c r="X375" s="288"/>
      <c r="Y375" s="908">
        <f t="shared" si="134"/>
        <v>0</v>
      </c>
      <c r="Z375" s="986">
        <f>tab!$D$62</f>
        <v>0.6</v>
      </c>
      <c r="AA375" s="944">
        <f t="shared" si="135"/>
        <v>0</v>
      </c>
      <c r="AB375" s="944">
        <f t="shared" si="136"/>
        <v>0</v>
      </c>
      <c r="AC375" s="944">
        <f t="shared" si="137"/>
        <v>0</v>
      </c>
      <c r="AD375" s="943" t="e">
        <f t="shared" si="138"/>
        <v>#VALUE!</v>
      </c>
      <c r="AE375" s="943">
        <f t="shared" si="139"/>
        <v>0</v>
      </c>
      <c r="AF375" s="916">
        <f>IF(H375&gt;8,tab!$D$63,tab!$D$65)</f>
        <v>0.5</v>
      </c>
      <c r="AG375" s="925">
        <f t="shared" si="140"/>
        <v>0</v>
      </c>
      <c r="AH375" s="940">
        <f t="shared" si="141"/>
        <v>0</v>
      </c>
      <c r="AI375" s="924" t="e">
        <f>DATE(YEAR(tab!$H$3),MONTH(G375),DAY(G375))&gt;tab!$H$3</f>
        <v>#VALUE!</v>
      </c>
      <c r="AJ375" s="924" t="e">
        <f t="shared" si="147"/>
        <v>#VALUE!</v>
      </c>
      <c r="AK375" s="884">
        <f t="shared" si="142"/>
        <v>30</v>
      </c>
      <c r="AL375" s="884">
        <f t="shared" si="148"/>
        <v>30</v>
      </c>
      <c r="AM375" s="925">
        <f t="shared" si="143"/>
        <v>0</v>
      </c>
    </row>
    <row r="376" spans="3:39" x14ac:dyDescent="0.2">
      <c r="C376" s="69"/>
      <c r="D376" s="75" t="str">
        <f>IF(op!D309=0,"",op!D309)</f>
        <v/>
      </c>
      <c r="E376" s="75" t="str">
        <f>IF(op!E309=0,"-",op!E309)</f>
        <v/>
      </c>
      <c r="F376" s="88" t="str">
        <f>IF(op!F309="","",op!F309+1)</f>
        <v/>
      </c>
      <c r="G376" s="290" t="str">
        <f>IF(op!G309="","",op!G309)</f>
        <v/>
      </c>
      <c r="H376" s="88" t="str">
        <f>IF(op!H309=0,"",op!H309)</f>
        <v/>
      </c>
      <c r="I376" s="99" t="str">
        <f>IF(J376="","",(IF(op!I309+1&gt;LOOKUP(H376,schaal2019,regels2019),op!I309,op!I309+1)))</f>
        <v/>
      </c>
      <c r="J376" s="291" t="str">
        <f>IF(op!J309="","",op!J309)</f>
        <v/>
      </c>
      <c r="K376" s="971"/>
      <c r="L376" s="859">
        <f t="shared" si="149"/>
        <v>0</v>
      </c>
      <c r="M376" s="859">
        <f t="shared" si="149"/>
        <v>0</v>
      </c>
      <c r="N376" s="867" t="str">
        <f t="shared" si="144"/>
        <v/>
      </c>
      <c r="O376" s="867" t="str">
        <f t="shared" si="145"/>
        <v/>
      </c>
      <c r="P376" s="953" t="str">
        <f t="shared" si="131"/>
        <v/>
      </c>
      <c r="Q376" s="70"/>
      <c r="R376" s="739" t="str">
        <f t="shared" si="146"/>
        <v/>
      </c>
      <c r="S376" s="739" t="str">
        <f t="shared" si="132"/>
        <v/>
      </c>
      <c r="T376" s="740" t="str">
        <f t="shared" si="133"/>
        <v/>
      </c>
      <c r="U376" s="275"/>
      <c r="V376" s="288"/>
      <c r="W376" s="288"/>
      <c r="X376" s="288"/>
      <c r="Y376" s="908">
        <f t="shared" si="134"/>
        <v>0</v>
      </c>
      <c r="Z376" s="986">
        <f>tab!$D$62</f>
        <v>0.6</v>
      </c>
      <c r="AA376" s="944">
        <f t="shared" si="135"/>
        <v>0</v>
      </c>
      <c r="AB376" s="944">
        <f t="shared" si="136"/>
        <v>0</v>
      </c>
      <c r="AC376" s="944">
        <f t="shared" si="137"/>
        <v>0</v>
      </c>
      <c r="AD376" s="943" t="e">
        <f t="shared" si="138"/>
        <v>#VALUE!</v>
      </c>
      <c r="AE376" s="943">
        <f t="shared" si="139"/>
        <v>0</v>
      </c>
      <c r="AF376" s="916">
        <f>IF(H376&gt;8,tab!$D$63,tab!$D$65)</f>
        <v>0.5</v>
      </c>
      <c r="AG376" s="925">
        <f t="shared" si="140"/>
        <v>0</v>
      </c>
      <c r="AH376" s="940">
        <f t="shared" si="141"/>
        <v>0</v>
      </c>
      <c r="AI376" s="924" t="e">
        <f>DATE(YEAR(tab!$H$3),MONTH(G376),DAY(G376))&gt;tab!$H$3</f>
        <v>#VALUE!</v>
      </c>
      <c r="AJ376" s="924" t="e">
        <f t="shared" si="147"/>
        <v>#VALUE!</v>
      </c>
      <c r="AK376" s="884">
        <f t="shared" si="142"/>
        <v>30</v>
      </c>
      <c r="AL376" s="884">
        <f t="shared" si="148"/>
        <v>30</v>
      </c>
      <c r="AM376" s="925">
        <f t="shared" si="143"/>
        <v>0</v>
      </c>
    </row>
    <row r="377" spans="3:39" x14ac:dyDescent="0.2">
      <c r="C377" s="69"/>
      <c r="D377" s="75" t="str">
        <f>IF(op!D310=0,"",op!D310)</f>
        <v/>
      </c>
      <c r="E377" s="75" t="str">
        <f>IF(op!E310=0,"-",op!E310)</f>
        <v/>
      </c>
      <c r="F377" s="88" t="str">
        <f>IF(op!F310="","",op!F310+1)</f>
        <v/>
      </c>
      <c r="G377" s="290" t="str">
        <f>IF(op!G310="","",op!G310)</f>
        <v/>
      </c>
      <c r="H377" s="88" t="str">
        <f>IF(op!H310=0,"",op!H310)</f>
        <v/>
      </c>
      <c r="I377" s="99" t="str">
        <f>IF(J377="","",(IF(op!I310+1&gt;LOOKUP(H377,schaal2019,regels2019),op!I310,op!I310+1)))</f>
        <v/>
      </c>
      <c r="J377" s="291" t="str">
        <f>IF(op!J310="","",op!J310)</f>
        <v/>
      </c>
      <c r="K377" s="971"/>
      <c r="L377" s="859">
        <f t="shared" si="149"/>
        <v>0</v>
      </c>
      <c r="M377" s="859">
        <f t="shared" si="149"/>
        <v>0</v>
      </c>
      <c r="N377" s="867" t="str">
        <f t="shared" si="144"/>
        <v/>
      </c>
      <c r="O377" s="867" t="str">
        <f t="shared" si="145"/>
        <v/>
      </c>
      <c r="P377" s="953" t="str">
        <f t="shared" si="131"/>
        <v/>
      </c>
      <c r="Q377" s="70"/>
      <c r="R377" s="739" t="str">
        <f t="shared" si="146"/>
        <v/>
      </c>
      <c r="S377" s="739" t="str">
        <f t="shared" si="132"/>
        <v/>
      </c>
      <c r="T377" s="740" t="str">
        <f t="shared" si="133"/>
        <v/>
      </c>
      <c r="U377" s="275"/>
      <c r="V377" s="288"/>
      <c r="W377" s="288"/>
      <c r="X377" s="288"/>
      <c r="Y377" s="908">
        <f t="shared" si="134"/>
        <v>0</v>
      </c>
      <c r="Z377" s="986">
        <f>tab!$D$62</f>
        <v>0.6</v>
      </c>
      <c r="AA377" s="944">
        <f t="shared" si="135"/>
        <v>0</v>
      </c>
      <c r="AB377" s="944">
        <f t="shared" si="136"/>
        <v>0</v>
      </c>
      <c r="AC377" s="944">
        <f t="shared" si="137"/>
        <v>0</v>
      </c>
      <c r="AD377" s="943" t="e">
        <f t="shared" si="138"/>
        <v>#VALUE!</v>
      </c>
      <c r="AE377" s="943">
        <f t="shared" si="139"/>
        <v>0</v>
      </c>
      <c r="AF377" s="916">
        <f>IF(H377&gt;8,tab!$D$63,tab!$D$65)</f>
        <v>0.5</v>
      </c>
      <c r="AG377" s="925">
        <f t="shared" si="140"/>
        <v>0</v>
      </c>
      <c r="AH377" s="940">
        <f t="shared" si="141"/>
        <v>0</v>
      </c>
      <c r="AI377" s="924" t="e">
        <f>DATE(YEAR(tab!$H$3),MONTH(G377),DAY(G377))&gt;tab!$H$3</f>
        <v>#VALUE!</v>
      </c>
      <c r="AJ377" s="924" t="e">
        <f t="shared" si="147"/>
        <v>#VALUE!</v>
      </c>
      <c r="AK377" s="884">
        <f t="shared" si="142"/>
        <v>30</v>
      </c>
      <c r="AL377" s="884">
        <f t="shared" si="148"/>
        <v>30</v>
      </c>
      <c r="AM377" s="925">
        <f t="shared" si="143"/>
        <v>0</v>
      </c>
    </row>
    <row r="378" spans="3:39" x14ac:dyDescent="0.2">
      <c r="C378" s="69"/>
      <c r="D378" s="75" t="str">
        <f>IF(op!D311=0,"",op!D311)</f>
        <v/>
      </c>
      <c r="E378" s="75" t="str">
        <f>IF(op!E311=0,"-",op!E311)</f>
        <v/>
      </c>
      <c r="F378" s="88" t="str">
        <f>IF(op!F311="","",op!F311+1)</f>
        <v/>
      </c>
      <c r="G378" s="290" t="str">
        <f>IF(op!G311="","",op!G311)</f>
        <v/>
      </c>
      <c r="H378" s="88" t="str">
        <f>IF(op!H311=0,"",op!H311)</f>
        <v/>
      </c>
      <c r="I378" s="99" t="str">
        <f>IF(J378="","",(IF(op!I311+1&gt;LOOKUP(H378,schaal2019,regels2019),op!I311,op!I311+1)))</f>
        <v/>
      </c>
      <c r="J378" s="291" t="str">
        <f>IF(op!J311="","",op!J311)</f>
        <v/>
      </c>
      <c r="K378" s="971"/>
      <c r="L378" s="859">
        <f t="shared" si="149"/>
        <v>0</v>
      </c>
      <c r="M378" s="859">
        <f t="shared" si="149"/>
        <v>0</v>
      </c>
      <c r="N378" s="867" t="str">
        <f t="shared" si="144"/>
        <v/>
      </c>
      <c r="O378" s="867" t="str">
        <f t="shared" si="145"/>
        <v/>
      </c>
      <c r="P378" s="953" t="str">
        <f t="shared" si="131"/>
        <v/>
      </c>
      <c r="Q378" s="70"/>
      <c r="R378" s="739" t="str">
        <f t="shared" si="146"/>
        <v/>
      </c>
      <c r="S378" s="739" t="str">
        <f t="shared" si="132"/>
        <v/>
      </c>
      <c r="T378" s="740" t="str">
        <f t="shared" si="133"/>
        <v/>
      </c>
      <c r="U378" s="275"/>
      <c r="V378" s="288"/>
      <c r="W378" s="288"/>
      <c r="X378" s="288"/>
      <c r="Y378" s="908">
        <f t="shared" si="134"/>
        <v>0</v>
      </c>
      <c r="Z378" s="986">
        <f>tab!$D$62</f>
        <v>0.6</v>
      </c>
      <c r="AA378" s="944">
        <f t="shared" si="135"/>
        <v>0</v>
      </c>
      <c r="AB378" s="944">
        <f t="shared" si="136"/>
        <v>0</v>
      </c>
      <c r="AC378" s="944">
        <f t="shared" si="137"/>
        <v>0</v>
      </c>
      <c r="AD378" s="943" t="e">
        <f t="shared" si="138"/>
        <v>#VALUE!</v>
      </c>
      <c r="AE378" s="943">
        <f t="shared" si="139"/>
        <v>0</v>
      </c>
      <c r="AF378" s="916">
        <f>IF(H378&gt;8,tab!$D$63,tab!$D$65)</f>
        <v>0.5</v>
      </c>
      <c r="AG378" s="925">
        <f t="shared" si="140"/>
        <v>0</v>
      </c>
      <c r="AH378" s="940">
        <f t="shared" si="141"/>
        <v>0</v>
      </c>
      <c r="AI378" s="924" t="e">
        <f>DATE(YEAR(tab!$H$3),MONTH(G378),DAY(G378))&gt;tab!$H$3</f>
        <v>#VALUE!</v>
      </c>
      <c r="AJ378" s="924" t="e">
        <f t="shared" si="147"/>
        <v>#VALUE!</v>
      </c>
      <c r="AK378" s="884">
        <f t="shared" si="142"/>
        <v>30</v>
      </c>
      <c r="AL378" s="884">
        <f t="shared" si="148"/>
        <v>30</v>
      </c>
      <c r="AM378" s="925">
        <f t="shared" si="143"/>
        <v>0</v>
      </c>
    </row>
    <row r="379" spans="3:39" x14ac:dyDescent="0.2">
      <c r="C379" s="69"/>
      <c r="D379" s="75" t="str">
        <f>IF(op!D312=0,"",op!D312)</f>
        <v/>
      </c>
      <c r="E379" s="75" t="str">
        <f>IF(op!E312=0,"-",op!E312)</f>
        <v/>
      </c>
      <c r="F379" s="88" t="str">
        <f>IF(op!F312="","",op!F312+1)</f>
        <v/>
      </c>
      <c r="G379" s="290" t="str">
        <f>IF(op!G312="","",op!G312)</f>
        <v/>
      </c>
      <c r="H379" s="88" t="str">
        <f>IF(op!H312=0,"",op!H312)</f>
        <v/>
      </c>
      <c r="I379" s="99" t="str">
        <f>IF(J379="","",(IF(op!I312+1&gt;LOOKUP(H379,schaal2019,regels2019),op!I312,op!I312+1)))</f>
        <v/>
      </c>
      <c r="J379" s="291" t="str">
        <f>IF(op!J312="","",op!J312)</f>
        <v/>
      </c>
      <c r="K379" s="971"/>
      <c r="L379" s="859">
        <f t="shared" si="149"/>
        <v>0</v>
      </c>
      <c r="M379" s="859">
        <f t="shared" si="149"/>
        <v>0</v>
      </c>
      <c r="N379" s="867" t="str">
        <f t="shared" si="144"/>
        <v/>
      </c>
      <c r="O379" s="867" t="str">
        <f t="shared" si="145"/>
        <v/>
      </c>
      <c r="P379" s="953" t="str">
        <f t="shared" si="131"/>
        <v/>
      </c>
      <c r="Q379" s="70"/>
      <c r="R379" s="739" t="str">
        <f t="shared" si="146"/>
        <v/>
      </c>
      <c r="S379" s="739" t="str">
        <f t="shared" si="132"/>
        <v/>
      </c>
      <c r="T379" s="740" t="str">
        <f t="shared" si="133"/>
        <v/>
      </c>
      <c r="U379" s="275"/>
      <c r="V379" s="288"/>
      <c r="W379" s="288"/>
      <c r="X379" s="288"/>
      <c r="Y379" s="908">
        <f t="shared" si="134"/>
        <v>0</v>
      </c>
      <c r="Z379" s="986">
        <f>tab!$D$62</f>
        <v>0.6</v>
      </c>
      <c r="AA379" s="944">
        <f t="shared" si="135"/>
        <v>0</v>
      </c>
      <c r="AB379" s="944">
        <f t="shared" si="136"/>
        <v>0</v>
      </c>
      <c r="AC379" s="944">
        <f t="shared" si="137"/>
        <v>0</v>
      </c>
      <c r="AD379" s="943" t="e">
        <f t="shared" si="138"/>
        <v>#VALUE!</v>
      </c>
      <c r="AE379" s="943">
        <f t="shared" si="139"/>
        <v>0</v>
      </c>
      <c r="AF379" s="916">
        <f>IF(H379&gt;8,tab!$D$63,tab!$D$65)</f>
        <v>0.5</v>
      </c>
      <c r="AG379" s="925">
        <f t="shared" si="140"/>
        <v>0</v>
      </c>
      <c r="AH379" s="940">
        <f t="shared" si="141"/>
        <v>0</v>
      </c>
      <c r="AI379" s="924" t="e">
        <f>DATE(YEAR(tab!$H$3),MONTH(G379),DAY(G379))&gt;tab!$H$3</f>
        <v>#VALUE!</v>
      </c>
      <c r="AJ379" s="924" t="e">
        <f t="shared" si="147"/>
        <v>#VALUE!</v>
      </c>
      <c r="AK379" s="884">
        <f t="shared" si="142"/>
        <v>30</v>
      </c>
      <c r="AL379" s="884">
        <f t="shared" si="148"/>
        <v>30</v>
      </c>
      <c r="AM379" s="925">
        <f t="shared" si="143"/>
        <v>0</v>
      </c>
    </row>
    <row r="380" spans="3:39" x14ac:dyDescent="0.2">
      <c r="C380" s="69"/>
      <c r="D380" s="75" t="str">
        <f>IF(op!D313=0,"",op!D313)</f>
        <v/>
      </c>
      <c r="E380" s="75" t="str">
        <f>IF(op!E313=0,"-",op!E313)</f>
        <v/>
      </c>
      <c r="F380" s="88" t="str">
        <f>IF(op!F313="","",op!F313+1)</f>
        <v/>
      </c>
      <c r="G380" s="290" t="str">
        <f>IF(op!G313="","",op!G313)</f>
        <v/>
      </c>
      <c r="H380" s="88" t="str">
        <f>IF(op!H313=0,"",op!H313)</f>
        <v/>
      </c>
      <c r="I380" s="99" t="str">
        <f>IF(J380="","",(IF(op!I313+1&gt;LOOKUP(H380,schaal2019,regels2019),op!I313,op!I313+1)))</f>
        <v/>
      </c>
      <c r="J380" s="291" t="str">
        <f>IF(op!J313="","",op!J313)</f>
        <v/>
      </c>
      <c r="K380" s="971"/>
      <c r="L380" s="859">
        <f t="shared" si="149"/>
        <v>0</v>
      </c>
      <c r="M380" s="859">
        <f t="shared" si="149"/>
        <v>0</v>
      </c>
      <c r="N380" s="867" t="str">
        <f t="shared" si="144"/>
        <v/>
      </c>
      <c r="O380" s="867" t="str">
        <f t="shared" si="145"/>
        <v/>
      </c>
      <c r="P380" s="953" t="str">
        <f t="shared" si="131"/>
        <v/>
      </c>
      <c r="Q380" s="70"/>
      <c r="R380" s="739" t="str">
        <f t="shared" si="146"/>
        <v/>
      </c>
      <c r="S380" s="739" t="str">
        <f t="shared" si="132"/>
        <v/>
      </c>
      <c r="T380" s="740" t="str">
        <f t="shared" si="133"/>
        <v/>
      </c>
      <c r="U380" s="275"/>
      <c r="V380" s="288"/>
      <c r="W380" s="288"/>
      <c r="X380" s="288"/>
      <c r="Y380" s="908">
        <f t="shared" si="134"/>
        <v>0</v>
      </c>
      <c r="Z380" s="986">
        <f>tab!$D$62</f>
        <v>0.6</v>
      </c>
      <c r="AA380" s="944">
        <f t="shared" si="135"/>
        <v>0</v>
      </c>
      <c r="AB380" s="944">
        <f t="shared" si="136"/>
        <v>0</v>
      </c>
      <c r="AC380" s="944">
        <f t="shared" si="137"/>
        <v>0</v>
      </c>
      <c r="AD380" s="943" t="e">
        <f t="shared" si="138"/>
        <v>#VALUE!</v>
      </c>
      <c r="AE380" s="943">
        <f t="shared" si="139"/>
        <v>0</v>
      </c>
      <c r="AF380" s="916">
        <f>IF(H380&gt;8,tab!$D$63,tab!$D$65)</f>
        <v>0.5</v>
      </c>
      <c r="AG380" s="925">
        <f t="shared" si="140"/>
        <v>0</v>
      </c>
      <c r="AH380" s="940">
        <f t="shared" si="141"/>
        <v>0</v>
      </c>
      <c r="AI380" s="924" t="e">
        <f>DATE(YEAR(tab!$H$3),MONTH(G380),DAY(G380))&gt;tab!$H$3</f>
        <v>#VALUE!</v>
      </c>
      <c r="AJ380" s="924" t="e">
        <f t="shared" si="147"/>
        <v>#VALUE!</v>
      </c>
      <c r="AK380" s="884">
        <f t="shared" si="142"/>
        <v>30</v>
      </c>
      <c r="AL380" s="884">
        <f t="shared" si="148"/>
        <v>30</v>
      </c>
      <c r="AM380" s="925">
        <f t="shared" si="143"/>
        <v>0</v>
      </c>
    </row>
    <row r="381" spans="3:39" x14ac:dyDescent="0.2">
      <c r="C381" s="69"/>
      <c r="D381" s="75" t="str">
        <f>IF(op!D314=0,"",op!D314)</f>
        <v/>
      </c>
      <c r="E381" s="75" t="str">
        <f>IF(op!E314=0,"-",op!E314)</f>
        <v/>
      </c>
      <c r="F381" s="88" t="str">
        <f>IF(op!F314="","",op!F314+1)</f>
        <v/>
      </c>
      <c r="G381" s="290" t="str">
        <f>IF(op!G314="","",op!G314)</f>
        <v/>
      </c>
      <c r="H381" s="88" t="str">
        <f>IF(op!H314=0,"",op!H314)</f>
        <v/>
      </c>
      <c r="I381" s="99" t="str">
        <f>IF(J381="","",(IF(op!I314+1&gt;LOOKUP(H381,schaal2019,regels2019),op!I314,op!I314+1)))</f>
        <v/>
      </c>
      <c r="J381" s="291" t="str">
        <f>IF(op!J314="","",op!J314)</f>
        <v/>
      </c>
      <c r="K381" s="971"/>
      <c r="L381" s="859">
        <f t="shared" si="149"/>
        <v>0</v>
      </c>
      <c r="M381" s="859">
        <f t="shared" si="149"/>
        <v>0</v>
      </c>
      <c r="N381" s="867" t="str">
        <f t="shared" si="144"/>
        <v/>
      </c>
      <c r="O381" s="867" t="str">
        <f t="shared" si="145"/>
        <v/>
      </c>
      <c r="P381" s="953" t="str">
        <f t="shared" si="131"/>
        <v/>
      </c>
      <c r="Q381" s="70"/>
      <c r="R381" s="739" t="str">
        <f t="shared" si="146"/>
        <v/>
      </c>
      <c r="S381" s="739" t="str">
        <f t="shared" si="132"/>
        <v/>
      </c>
      <c r="T381" s="740" t="str">
        <f t="shared" si="133"/>
        <v/>
      </c>
      <c r="U381" s="275"/>
      <c r="V381" s="288"/>
      <c r="W381" s="288"/>
      <c r="X381" s="288"/>
      <c r="Y381" s="908">
        <f t="shared" si="134"/>
        <v>0</v>
      </c>
      <c r="Z381" s="986">
        <f>tab!$D$62</f>
        <v>0.6</v>
      </c>
      <c r="AA381" s="944">
        <f t="shared" si="135"/>
        <v>0</v>
      </c>
      <c r="AB381" s="944">
        <f t="shared" si="136"/>
        <v>0</v>
      </c>
      <c r="AC381" s="944">
        <f t="shared" si="137"/>
        <v>0</v>
      </c>
      <c r="AD381" s="943" t="e">
        <f t="shared" si="138"/>
        <v>#VALUE!</v>
      </c>
      <c r="AE381" s="943">
        <f t="shared" si="139"/>
        <v>0</v>
      </c>
      <c r="AF381" s="916">
        <f>IF(H381&gt;8,tab!$D$63,tab!$D$65)</f>
        <v>0.5</v>
      </c>
      <c r="AG381" s="925">
        <f t="shared" si="140"/>
        <v>0</v>
      </c>
      <c r="AH381" s="940">
        <f t="shared" si="141"/>
        <v>0</v>
      </c>
      <c r="AI381" s="924" t="e">
        <f>DATE(YEAR(tab!$H$3),MONTH(G381),DAY(G381))&gt;tab!$H$3</f>
        <v>#VALUE!</v>
      </c>
      <c r="AJ381" s="924" t="e">
        <f t="shared" si="147"/>
        <v>#VALUE!</v>
      </c>
      <c r="AK381" s="884">
        <f t="shared" si="142"/>
        <v>30</v>
      </c>
      <c r="AL381" s="884">
        <f t="shared" si="148"/>
        <v>30</v>
      </c>
      <c r="AM381" s="925">
        <f t="shared" si="143"/>
        <v>0</v>
      </c>
    </row>
    <row r="382" spans="3:39" x14ac:dyDescent="0.2">
      <c r="C382" s="69"/>
      <c r="D382" s="75" t="str">
        <f>IF(op!D315=0,"",op!D315)</f>
        <v/>
      </c>
      <c r="E382" s="75" t="str">
        <f>IF(op!E315=0,"-",op!E315)</f>
        <v/>
      </c>
      <c r="F382" s="88" t="str">
        <f>IF(op!F315="","",op!F315+1)</f>
        <v/>
      </c>
      <c r="G382" s="290" t="str">
        <f>IF(op!G315="","",op!G315)</f>
        <v/>
      </c>
      <c r="H382" s="88" t="str">
        <f>IF(op!H315=0,"",op!H315)</f>
        <v/>
      </c>
      <c r="I382" s="99" t="str">
        <f>IF(J382="","",(IF(op!I315+1&gt;LOOKUP(H382,schaal2019,regels2019),op!I315,op!I315+1)))</f>
        <v/>
      </c>
      <c r="J382" s="291" t="str">
        <f>IF(op!J315="","",op!J315)</f>
        <v/>
      </c>
      <c r="K382" s="971"/>
      <c r="L382" s="859">
        <f t="shared" si="149"/>
        <v>0</v>
      </c>
      <c r="M382" s="859">
        <f t="shared" si="149"/>
        <v>0</v>
      </c>
      <c r="N382" s="867" t="str">
        <f t="shared" si="144"/>
        <v/>
      </c>
      <c r="O382" s="867" t="str">
        <f t="shared" si="145"/>
        <v/>
      </c>
      <c r="P382" s="953" t="str">
        <f t="shared" si="131"/>
        <v/>
      </c>
      <c r="Q382" s="70"/>
      <c r="R382" s="739" t="str">
        <f t="shared" si="146"/>
        <v/>
      </c>
      <c r="S382" s="739" t="str">
        <f t="shared" si="132"/>
        <v/>
      </c>
      <c r="T382" s="740" t="str">
        <f t="shared" si="133"/>
        <v/>
      </c>
      <c r="U382" s="275"/>
      <c r="V382" s="288"/>
      <c r="W382" s="288"/>
      <c r="X382" s="288"/>
      <c r="Y382" s="908">
        <f t="shared" si="134"/>
        <v>0</v>
      </c>
      <c r="Z382" s="986">
        <f>tab!$D$62</f>
        <v>0.6</v>
      </c>
      <c r="AA382" s="944">
        <f t="shared" si="135"/>
        <v>0</v>
      </c>
      <c r="AB382" s="944">
        <f t="shared" si="136"/>
        <v>0</v>
      </c>
      <c r="AC382" s="944">
        <f t="shared" si="137"/>
        <v>0</v>
      </c>
      <c r="AD382" s="943" t="e">
        <f t="shared" si="138"/>
        <v>#VALUE!</v>
      </c>
      <c r="AE382" s="943">
        <f t="shared" si="139"/>
        <v>0</v>
      </c>
      <c r="AF382" s="916">
        <f>IF(H382&gt;8,tab!$D$63,tab!$D$65)</f>
        <v>0.5</v>
      </c>
      <c r="AG382" s="925">
        <f t="shared" si="140"/>
        <v>0</v>
      </c>
      <c r="AH382" s="940">
        <f t="shared" si="141"/>
        <v>0</v>
      </c>
      <c r="AI382" s="924" t="e">
        <f>DATE(YEAR(tab!$H$3),MONTH(G382),DAY(G382))&gt;tab!$H$3</f>
        <v>#VALUE!</v>
      </c>
      <c r="AJ382" s="924" t="e">
        <f t="shared" si="147"/>
        <v>#VALUE!</v>
      </c>
      <c r="AK382" s="884">
        <f t="shared" si="142"/>
        <v>30</v>
      </c>
      <c r="AL382" s="884">
        <f t="shared" si="148"/>
        <v>30</v>
      </c>
      <c r="AM382" s="925">
        <f t="shared" si="143"/>
        <v>0</v>
      </c>
    </row>
    <row r="383" spans="3:39" x14ac:dyDescent="0.2">
      <c r="C383" s="69"/>
      <c r="D383" s="75" t="str">
        <f>IF(op!D316=0,"",op!D316)</f>
        <v/>
      </c>
      <c r="E383" s="75" t="str">
        <f>IF(op!E316=0,"-",op!E316)</f>
        <v/>
      </c>
      <c r="F383" s="88" t="str">
        <f>IF(op!F316="","",op!F316+1)</f>
        <v/>
      </c>
      <c r="G383" s="290" t="str">
        <f>IF(op!G316="","",op!G316)</f>
        <v/>
      </c>
      <c r="H383" s="88" t="str">
        <f>IF(op!H316=0,"",op!H316)</f>
        <v/>
      </c>
      <c r="I383" s="99" t="str">
        <f>IF(J383="","",(IF(op!I316+1&gt;LOOKUP(H383,schaal2019,regels2019),op!I316,op!I316+1)))</f>
        <v/>
      </c>
      <c r="J383" s="291" t="str">
        <f>IF(op!J316="","",op!J316)</f>
        <v/>
      </c>
      <c r="K383" s="971"/>
      <c r="L383" s="859">
        <f t="shared" si="149"/>
        <v>0</v>
      </c>
      <c r="M383" s="859">
        <f t="shared" si="149"/>
        <v>0</v>
      </c>
      <c r="N383" s="867" t="str">
        <f t="shared" si="144"/>
        <v/>
      </c>
      <c r="O383" s="867" t="str">
        <f t="shared" si="145"/>
        <v/>
      </c>
      <c r="P383" s="953" t="str">
        <f t="shared" si="131"/>
        <v/>
      </c>
      <c r="Q383" s="70"/>
      <c r="R383" s="739" t="str">
        <f t="shared" si="146"/>
        <v/>
      </c>
      <c r="S383" s="739" t="str">
        <f t="shared" si="132"/>
        <v/>
      </c>
      <c r="T383" s="740" t="str">
        <f t="shared" si="133"/>
        <v/>
      </c>
      <c r="U383" s="275"/>
      <c r="V383" s="288"/>
      <c r="W383" s="288"/>
      <c r="X383" s="288"/>
      <c r="Y383" s="908">
        <f t="shared" si="134"/>
        <v>0</v>
      </c>
      <c r="Z383" s="986">
        <f>tab!$D$62</f>
        <v>0.6</v>
      </c>
      <c r="AA383" s="944">
        <f t="shared" si="135"/>
        <v>0</v>
      </c>
      <c r="AB383" s="944">
        <f t="shared" si="136"/>
        <v>0</v>
      </c>
      <c r="AC383" s="944">
        <f t="shared" si="137"/>
        <v>0</v>
      </c>
      <c r="AD383" s="943" t="e">
        <f t="shared" si="138"/>
        <v>#VALUE!</v>
      </c>
      <c r="AE383" s="943">
        <f t="shared" si="139"/>
        <v>0</v>
      </c>
      <c r="AF383" s="916">
        <f>IF(H383&gt;8,tab!$D$63,tab!$D$65)</f>
        <v>0.5</v>
      </c>
      <c r="AG383" s="925">
        <f t="shared" si="140"/>
        <v>0</v>
      </c>
      <c r="AH383" s="940">
        <f t="shared" si="141"/>
        <v>0</v>
      </c>
      <c r="AI383" s="924" t="e">
        <f>DATE(YEAR(tab!$H$3),MONTH(G383),DAY(G383))&gt;tab!$H$3</f>
        <v>#VALUE!</v>
      </c>
      <c r="AJ383" s="924" t="e">
        <f t="shared" si="147"/>
        <v>#VALUE!</v>
      </c>
      <c r="AK383" s="884">
        <f t="shared" si="142"/>
        <v>30</v>
      </c>
      <c r="AL383" s="884">
        <f t="shared" si="148"/>
        <v>30</v>
      </c>
      <c r="AM383" s="925">
        <f t="shared" si="143"/>
        <v>0</v>
      </c>
    </row>
    <row r="384" spans="3:39" x14ac:dyDescent="0.2">
      <c r="C384" s="69"/>
      <c r="D384" s="75" t="str">
        <f>IF(op!D317=0,"",op!D317)</f>
        <v/>
      </c>
      <c r="E384" s="75" t="str">
        <f>IF(op!E317=0,"-",op!E317)</f>
        <v/>
      </c>
      <c r="F384" s="88" t="str">
        <f>IF(op!F317="","",op!F317+1)</f>
        <v/>
      </c>
      <c r="G384" s="290" t="str">
        <f>IF(op!G317="","",op!G317)</f>
        <v/>
      </c>
      <c r="H384" s="88" t="str">
        <f>IF(op!H317=0,"",op!H317)</f>
        <v/>
      </c>
      <c r="I384" s="99" t="str">
        <f>IF(J384="","",(IF(op!I317+1&gt;LOOKUP(H384,schaal2019,regels2019),op!I317,op!I317+1)))</f>
        <v/>
      </c>
      <c r="J384" s="291" t="str">
        <f>IF(op!J317="","",op!J317)</f>
        <v/>
      </c>
      <c r="K384" s="971"/>
      <c r="L384" s="859">
        <f t="shared" si="149"/>
        <v>0</v>
      </c>
      <c r="M384" s="859">
        <f t="shared" si="149"/>
        <v>0</v>
      </c>
      <c r="N384" s="867" t="str">
        <f t="shared" si="144"/>
        <v/>
      </c>
      <c r="O384" s="867" t="str">
        <f t="shared" si="145"/>
        <v/>
      </c>
      <c r="P384" s="953" t="str">
        <f t="shared" si="131"/>
        <v/>
      </c>
      <c r="Q384" s="70"/>
      <c r="R384" s="739" t="str">
        <f t="shared" si="146"/>
        <v/>
      </c>
      <c r="S384" s="739" t="str">
        <f t="shared" si="132"/>
        <v/>
      </c>
      <c r="T384" s="740" t="str">
        <f t="shared" si="133"/>
        <v/>
      </c>
      <c r="U384" s="275"/>
      <c r="V384" s="288"/>
      <c r="W384" s="288"/>
      <c r="X384" s="288"/>
      <c r="Y384" s="908">
        <f t="shared" ref="Y384:Y406" si="150">IF(H384="",0,VLOOKUP(H384,salaris2020,I384+1,FALSE))</f>
        <v>0</v>
      </c>
      <c r="Z384" s="986">
        <f>tab!$D$62</f>
        <v>0.6</v>
      </c>
      <c r="AA384" s="944">
        <f t="shared" si="135"/>
        <v>0</v>
      </c>
      <c r="AB384" s="944">
        <f t="shared" si="136"/>
        <v>0</v>
      </c>
      <c r="AC384" s="944">
        <f t="shared" si="137"/>
        <v>0</v>
      </c>
      <c r="AD384" s="943" t="e">
        <f t="shared" si="138"/>
        <v>#VALUE!</v>
      </c>
      <c r="AE384" s="943">
        <f t="shared" si="139"/>
        <v>0</v>
      </c>
      <c r="AF384" s="916">
        <f>IF(H384&gt;8,tab!$D$63,tab!$D$65)</f>
        <v>0.5</v>
      </c>
      <c r="AG384" s="925">
        <f t="shared" si="140"/>
        <v>0</v>
      </c>
      <c r="AH384" s="940">
        <f t="shared" si="141"/>
        <v>0</v>
      </c>
      <c r="AI384" s="924" t="e">
        <f>DATE(YEAR(tab!$H$3),MONTH(G384),DAY(G384))&gt;tab!$H$3</f>
        <v>#VALUE!</v>
      </c>
      <c r="AJ384" s="924" t="e">
        <f t="shared" si="147"/>
        <v>#VALUE!</v>
      </c>
      <c r="AK384" s="884">
        <f t="shared" si="142"/>
        <v>30</v>
      </c>
      <c r="AL384" s="884">
        <f t="shared" si="148"/>
        <v>30</v>
      </c>
      <c r="AM384" s="925">
        <f t="shared" ref="AM384:AM406" si="151">ROUND((AL384*(SUM(J384:J384))),2)</f>
        <v>0</v>
      </c>
    </row>
    <row r="385" spans="3:39" x14ac:dyDescent="0.2">
      <c r="C385" s="69"/>
      <c r="D385" s="75" t="str">
        <f>IF(op!D318=0,"",op!D318)</f>
        <v/>
      </c>
      <c r="E385" s="75" t="str">
        <f>IF(op!E318=0,"-",op!E318)</f>
        <v/>
      </c>
      <c r="F385" s="88" t="str">
        <f>IF(op!F318="","",op!F318+1)</f>
        <v/>
      </c>
      <c r="G385" s="290" t="str">
        <f>IF(op!G318="","",op!G318)</f>
        <v/>
      </c>
      <c r="H385" s="88" t="str">
        <f>IF(op!H318=0,"",op!H318)</f>
        <v/>
      </c>
      <c r="I385" s="99" t="str">
        <f>IF(J385="","",(IF(op!I318+1&gt;LOOKUP(H385,schaal2019,regels2019),op!I318,op!I318+1)))</f>
        <v/>
      </c>
      <c r="J385" s="291" t="str">
        <f>IF(op!J318="","",op!J318)</f>
        <v/>
      </c>
      <c r="K385" s="971"/>
      <c r="L385" s="859">
        <f t="shared" si="149"/>
        <v>0</v>
      </c>
      <c r="M385" s="859">
        <f t="shared" si="149"/>
        <v>0</v>
      </c>
      <c r="N385" s="867" t="str">
        <f t="shared" si="144"/>
        <v/>
      </c>
      <c r="O385" s="867" t="str">
        <f t="shared" si="145"/>
        <v/>
      </c>
      <c r="P385" s="953" t="str">
        <f t="shared" si="131"/>
        <v/>
      </c>
      <c r="Q385" s="70"/>
      <c r="R385" s="739" t="str">
        <f t="shared" si="146"/>
        <v/>
      </c>
      <c r="S385" s="739" t="str">
        <f t="shared" si="132"/>
        <v/>
      </c>
      <c r="T385" s="740" t="str">
        <f t="shared" si="133"/>
        <v/>
      </c>
      <c r="U385" s="275"/>
      <c r="V385" s="288"/>
      <c r="W385" s="288"/>
      <c r="X385" s="288"/>
      <c r="Y385" s="908">
        <f t="shared" si="150"/>
        <v>0</v>
      </c>
      <c r="Z385" s="986">
        <f>tab!$D$62</f>
        <v>0.6</v>
      </c>
      <c r="AA385" s="944">
        <f t="shared" si="135"/>
        <v>0</v>
      </c>
      <c r="AB385" s="944">
        <f t="shared" si="136"/>
        <v>0</v>
      </c>
      <c r="AC385" s="944">
        <f t="shared" si="137"/>
        <v>0</v>
      </c>
      <c r="AD385" s="943" t="e">
        <f t="shared" si="138"/>
        <v>#VALUE!</v>
      </c>
      <c r="AE385" s="943">
        <f t="shared" si="139"/>
        <v>0</v>
      </c>
      <c r="AF385" s="916">
        <f>IF(H385&gt;8,tab!$D$63,tab!$D$65)</f>
        <v>0.5</v>
      </c>
      <c r="AG385" s="925">
        <f t="shared" si="140"/>
        <v>0</v>
      </c>
      <c r="AH385" s="940">
        <f t="shared" si="141"/>
        <v>0</v>
      </c>
      <c r="AI385" s="924" t="e">
        <f>DATE(YEAR(tab!$H$3),MONTH(G385),DAY(G385))&gt;tab!$H$3</f>
        <v>#VALUE!</v>
      </c>
      <c r="AJ385" s="924" t="e">
        <f t="shared" si="147"/>
        <v>#VALUE!</v>
      </c>
      <c r="AK385" s="884">
        <f t="shared" si="142"/>
        <v>30</v>
      </c>
      <c r="AL385" s="884">
        <f t="shared" si="148"/>
        <v>30</v>
      </c>
      <c r="AM385" s="925">
        <f t="shared" si="151"/>
        <v>0</v>
      </c>
    </row>
    <row r="386" spans="3:39" x14ac:dyDescent="0.2">
      <c r="C386" s="69"/>
      <c r="D386" s="75" t="str">
        <f>IF(op!D319=0,"",op!D319)</f>
        <v/>
      </c>
      <c r="E386" s="75" t="str">
        <f>IF(op!E319=0,"-",op!E319)</f>
        <v/>
      </c>
      <c r="F386" s="88" t="str">
        <f>IF(op!F319="","",op!F319+1)</f>
        <v/>
      </c>
      <c r="G386" s="290" t="str">
        <f>IF(op!G319="","",op!G319)</f>
        <v/>
      </c>
      <c r="H386" s="88" t="str">
        <f>IF(op!H319=0,"",op!H319)</f>
        <v/>
      </c>
      <c r="I386" s="99" t="str">
        <f>IF(J386="","",(IF(op!I319+1&gt;LOOKUP(H386,schaal2019,regels2019),op!I319,op!I319+1)))</f>
        <v/>
      </c>
      <c r="J386" s="291" t="str">
        <f>IF(op!J319="","",op!J319)</f>
        <v/>
      </c>
      <c r="K386" s="971"/>
      <c r="L386" s="859">
        <f t="shared" si="149"/>
        <v>0</v>
      </c>
      <c r="M386" s="859">
        <f t="shared" si="149"/>
        <v>0</v>
      </c>
      <c r="N386" s="867" t="str">
        <f t="shared" si="144"/>
        <v/>
      </c>
      <c r="O386" s="867" t="str">
        <f t="shared" si="145"/>
        <v/>
      </c>
      <c r="P386" s="953" t="str">
        <f t="shared" si="131"/>
        <v/>
      </c>
      <c r="Q386" s="70"/>
      <c r="R386" s="739" t="str">
        <f t="shared" si="146"/>
        <v/>
      </c>
      <c r="S386" s="739" t="str">
        <f t="shared" si="132"/>
        <v/>
      </c>
      <c r="T386" s="740" t="str">
        <f t="shared" si="133"/>
        <v/>
      </c>
      <c r="U386" s="275"/>
      <c r="V386" s="288"/>
      <c r="W386" s="288"/>
      <c r="X386" s="288"/>
      <c r="Y386" s="908">
        <f t="shared" si="150"/>
        <v>0</v>
      </c>
      <c r="Z386" s="986">
        <f>tab!$D$62</f>
        <v>0.6</v>
      </c>
      <c r="AA386" s="944">
        <f t="shared" si="135"/>
        <v>0</v>
      </c>
      <c r="AB386" s="944">
        <f t="shared" si="136"/>
        <v>0</v>
      </c>
      <c r="AC386" s="944">
        <f t="shared" si="137"/>
        <v>0</v>
      </c>
      <c r="AD386" s="943" t="e">
        <f t="shared" si="138"/>
        <v>#VALUE!</v>
      </c>
      <c r="AE386" s="943">
        <f t="shared" si="139"/>
        <v>0</v>
      </c>
      <c r="AF386" s="916">
        <f>IF(H386&gt;8,tab!$D$63,tab!$D$65)</f>
        <v>0.5</v>
      </c>
      <c r="AG386" s="925">
        <f t="shared" si="140"/>
        <v>0</v>
      </c>
      <c r="AH386" s="940">
        <f t="shared" si="141"/>
        <v>0</v>
      </c>
      <c r="AI386" s="924" t="e">
        <f>DATE(YEAR(tab!$H$3),MONTH(G386),DAY(G386))&gt;tab!$H$3</f>
        <v>#VALUE!</v>
      </c>
      <c r="AJ386" s="924" t="e">
        <f t="shared" si="147"/>
        <v>#VALUE!</v>
      </c>
      <c r="AK386" s="884">
        <f t="shared" si="142"/>
        <v>30</v>
      </c>
      <c r="AL386" s="884">
        <f t="shared" si="148"/>
        <v>30</v>
      </c>
      <c r="AM386" s="925">
        <f t="shared" si="151"/>
        <v>0</v>
      </c>
    </row>
    <row r="387" spans="3:39" x14ac:dyDescent="0.2">
      <c r="C387" s="69"/>
      <c r="D387" s="75" t="str">
        <f>IF(op!D320=0,"",op!D320)</f>
        <v/>
      </c>
      <c r="E387" s="75" t="str">
        <f>IF(op!E320=0,"-",op!E320)</f>
        <v/>
      </c>
      <c r="F387" s="88" t="str">
        <f>IF(op!F320="","",op!F320+1)</f>
        <v/>
      </c>
      <c r="G387" s="290" t="str">
        <f>IF(op!G320="","",op!G320)</f>
        <v/>
      </c>
      <c r="H387" s="88" t="str">
        <f>IF(op!H320=0,"",op!H320)</f>
        <v/>
      </c>
      <c r="I387" s="99" t="str">
        <f>IF(J387="","",(IF(op!I320+1&gt;LOOKUP(H387,schaal2019,regels2019),op!I320,op!I320+1)))</f>
        <v/>
      </c>
      <c r="J387" s="291" t="str">
        <f>IF(op!J320="","",op!J320)</f>
        <v/>
      </c>
      <c r="K387" s="971"/>
      <c r="L387" s="859">
        <f t="shared" si="149"/>
        <v>0</v>
      </c>
      <c r="M387" s="859">
        <f t="shared" si="149"/>
        <v>0</v>
      </c>
      <c r="N387" s="867" t="str">
        <f t="shared" si="144"/>
        <v/>
      </c>
      <c r="O387" s="867" t="str">
        <f t="shared" si="145"/>
        <v/>
      </c>
      <c r="P387" s="953" t="str">
        <f t="shared" si="131"/>
        <v/>
      </c>
      <c r="Q387" s="70"/>
      <c r="R387" s="739" t="str">
        <f t="shared" si="146"/>
        <v/>
      </c>
      <c r="S387" s="739" t="str">
        <f t="shared" si="132"/>
        <v/>
      </c>
      <c r="T387" s="740" t="str">
        <f t="shared" si="133"/>
        <v/>
      </c>
      <c r="U387" s="275"/>
      <c r="V387" s="288"/>
      <c r="W387" s="288"/>
      <c r="X387" s="288"/>
      <c r="Y387" s="908">
        <f t="shared" si="150"/>
        <v>0</v>
      </c>
      <c r="Z387" s="986">
        <f>tab!$D$62</f>
        <v>0.6</v>
      </c>
      <c r="AA387" s="944">
        <f t="shared" si="135"/>
        <v>0</v>
      </c>
      <c r="AB387" s="944">
        <f t="shared" si="136"/>
        <v>0</v>
      </c>
      <c r="AC387" s="944">
        <f t="shared" si="137"/>
        <v>0</v>
      </c>
      <c r="AD387" s="943" t="e">
        <f t="shared" si="138"/>
        <v>#VALUE!</v>
      </c>
      <c r="AE387" s="943">
        <f t="shared" si="139"/>
        <v>0</v>
      </c>
      <c r="AF387" s="916">
        <f>IF(H387&gt;8,tab!$D$63,tab!$D$65)</f>
        <v>0.5</v>
      </c>
      <c r="AG387" s="925">
        <f t="shared" si="140"/>
        <v>0</v>
      </c>
      <c r="AH387" s="940">
        <f t="shared" si="141"/>
        <v>0</v>
      </c>
      <c r="AI387" s="924" t="e">
        <f>DATE(YEAR(tab!$H$3),MONTH(G387),DAY(G387))&gt;tab!$H$3</f>
        <v>#VALUE!</v>
      </c>
      <c r="AJ387" s="924" t="e">
        <f t="shared" si="147"/>
        <v>#VALUE!</v>
      </c>
      <c r="AK387" s="884">
        <f t="shared" si="142"/>
        <v>30</v>
      </c>
      <c r="AL387" s="884">
        <f t="shared" si="148"/>
        <v>30</v>
      </c>
      <c r="AM387" s="925">
        <f t="shared" si="151"/>
        <v>0</v>
      </c>
    </row>
    <row r="388" spans="3:39" x14ac:dyDescent="0.2">
      <c r="C388" s="69"/>
      <c r="D388" s="75" t="str">
        <f>IF(op!D321=0,"",op!D321)</f>
        <v/>
      </c>
      <c r="E388" s="75" t="str">
        <f>IF(op!E321=0,"-",op!E321)</f>
        <v/>
      </c>
      <c r="F388" s="88" t="str">
        <f>IF(op!F321="","",op!F321+1)</f>
        <v/>
      </c>
      <c r="G388" s="290" t="str">
        <f>IF(op!G321="","",op!G321)</f>
        <v/>
      </c>
      <c r="H388" s="88" t="str">
        <f>IF(op!H321=0,"",op!H321)</f>
        <v/>
      </c>
      <c r="I388" s="99" t="str">
        <f>IF(J388="","",(IF(op!I321+1&gt;LOOKUP(H388,schaal2019,regels2019),op!I321,op!I321+1)))</f>
        <v/>
      </c>
      <c r="J388" s="291" t="str">
        <f>IF(op!J321="","",op!J321)</f>
        <v/>
      </c>
      <c r="K388" s="971"/>
      <c r="L388" s="859">
        <f t="shared" si="149"/>
        <v>0</v>
      </c>
      <c r="M388" s="859">
        <f t="shared" si="149"/>
        <v>0</v>
      </c>
      <c r="N388" s="867" t="str">
        <f t="shared" si="144"/>
        <v/>
      </c>
      <c r="O388" s="867" t="str">
        <f t="shared" si="145"/>
        <v/>
      </c>
      <c r="P388" s="953" t="str">
        <f t="shared" si="131"/>
        <v/>
      </c>
      <c r="Q388" s="70"/>
      <c r="R388" s="739" t="str">
        <f t="shared" si="146"/>
        <v/>
      </c>
      <c r="S388" s="739" t="str">
        <f t="shared" si="132"/>
        <v/>
      </c>
      <c r="T388" s="740" t="str">
        <f t="shared" si="133"/>
        <v/>
      </c>
      <c r="U388" s="275"/>
      <c r="V388" s="288"/>
      <c r="W388" s="288"/>
      <c r="X388" s="288"/>
      <c r="Y388" s="908">
        <f t="shared" si="150"/>
        <v>0</v>
      </c>
      <c r="Z388" s="986">
        <f>tab!$D$62</f>
        <v>0.6</v>
      </c>
      <c r="AA388" s="944">
        <f t="shared" si="135"/>
        <v>0</v>
      </c>
      <c r="AB388" s="944">
        <f t="shared" si="136"/>
        <v>0</v>
      </c>
      <c r="AC388" s="944">
        <f t="shared" si="137"/>
        <v>0</v>
      </c>
      <c r="AD388" s="943" t="e">
        <f t="shared" si="138"/>
        <v>#VALUE!</v>
      </c>
      <c r="AE388" s="943">
        <f t="shared" si="139"/>
        <v>0</v>
      </c>
      <c r="AF388" s="916">
        <f>IF(H388&gt;8,tab!$D$63,tab!$D$65)</f>
        <v>0.5</v>
      </c>
      <c r="AG388" s="925">
        <f t="shared" si="140"/>
        <v>0</v>
      </c>
      <c r="AH388" s="940">
        <f t="shared" si="141"/>
        <v>0</v>
      </c>
      <c r="AI388" s="924" t="e">
        <f>DATE(YEAR(tab!$H$3),MONTH(G388),DAY(G388))&gt;tab!$H$3</f>
        <v>#VALUE!</v>
      </c>
      <c r="AJ388" s="924" t="e">
        <f t="shared" si="147"/>
        <v>#VALUE!</v>
      </c>
      <c r="AK388" s="884">
        <f t="shared" si="142"/>
        <v>30</v>
      </c>
      <c r="AL388" s="884">
        <f t="shared" si="148"/>
        <v>30</v>
      </c>
      <c r="AM388" s="925">
        <f t="shared" si="151"/>
        <v>0</v>
      </c>
    </row>
    <row r="389" spans="3:39" x14ac:dyDescent="0.2">
      <c r="C389" s="69"/>
      <c r="D389" s="75" t="str">
        <f>IF(op!D322=0,"",op!D322)</f>
        <v/>
      </c>
      <c r="E389" s="75" t="str">
        <f>IF(op!E322=0,"-",op!E322)</f>
        <v/>
      </c>
      <c r="F389" s="88" t="str">
        <f>IF(op!F322="","",op!F322+1)</f>
        <v/>
      </c>
      <c r="G389" s="290" t="str">
        <f>IF(op!G322="","",op!G322)</f>
        <v/>
      </c>
      <c r="H389" s="88" t="str">
        <f>IF(op!H322=0,"",op!H322)</f>
        <v/>
      </c>
      <c r="I389" s="99" t="str">
        <f>IF(J389="","",(IF(op!I322+1&gt;LOOKUP(H389,schaal2019,regels2019),op!I322,op!I322+1)))</f>
        <v/>
      </c>
      <c r="J389" s="291" t="str">
        <f>IF(op!J322="","",op!J322)</f>
        <v/>
      </c>
      <c r="K389" s="971"/>
      <c r="L389" s="859">
        <f t="shared" si="149"/>
        <v>0</v>
      </c>
      <c r="M389" s="859">
        <f t="shared" si="149"/>
        <v>0</v>
      </c>
      <c r="N389" s="867" t="str">
        <f t="shared" si="144"/>
        <v/>
      </c>
      <c r="O389" s="867" t="str">
        <f t="shared" si="145"/>
        <v/>
      </c>
      <c r="P389" s="953" t="str">
        <f t="shared" si="131"/>
        <v/>
      </c>
      <c r="Q389" s="70"/>
      <c r="R389" s="739" t="str">
        <f t="shared" si="146"/>
        <v/>
      </c>
      <c r="S389" s="739" t="str">
        <f t="shared" si="132"/>
        <v/>
      </c>
      <c r="T389" s="740" t="str">
        <f t="shared" si="133"/>
        <v/>
      </c>
      <c r="U389" s="275"/>
      <c r="V389" s="288"/>
      <c r="W389" s="288"/>
      <c r="X389" s="288"/>
      <c r="Y389" s="908">
        <f t="shared" si="150"/>
        <v>0</v>
      </c>
      <c r="Z389" s="986">
        <f>tab!$D$62</f>
        <v>0.6</v>
      </c>
      <c r="AA389" s="944">
        <f t="shared" si="135"/>
        <v>0</v>
      </c>
      <c r="AB389" s="944">
        <f t="shared" si="136"/>
        <v>0</v>
      </c>
      <c r="AC389" s="944">
        <f t="shared" si="137"/>
        <v>0</v>
      </c>
      <c r="AD389" s="943" t="e">
        <f t="shared" si="138"/>
        <v>#VALUE!</v>
      </c>
      <c r="AE389" s="943">
        <f t="shared" si="139"/>
        <v>0</v>
      </c>
      <c r="AF389" s="916">
        <f>IF(H389&gt;8,tab!$D$63,tab!$D$65)</f>
        <v>0.5</v>
      </c>
      <c r="AG389" s="925">
        <f t="shared" si="140"/>
        <v>0</v>
      </c>
      <c r="AH389" s="940">
        <f t="shared" si="141"/>
        <v>0</v>
      </c>
      <c r="AI389" s="924" t="e">
        <f>DATE(YEAR(tab!$H$3),MONTH(G389),DAY(G389))&gt;tab!$H$3</f>
        <v>#VALUE!</v>
      </c>
      <c r="AJ389" s="924" t="e">
        <f t="shared" si="147"/>
        <v>#VALUE!</v>
      </c>
      <c r="AK389" s="884">
        <f t="shared" si="142"/>
        <v>30</v>
      </c>
      <c r="AL389" s="884">
        <f t="shared" si="148"/>
        <v>30</v>
      </c>
      <c r="AM389" s="925">
        <f t="shared" si="151"/>
        <v>0</v>
      </c>
    </row>
    <row r="390" spans="3:39" x14ac:dyDescent="0.2">
      <c r="C390" s="69"/>
      <c r="D390" s="75" t="str">
        <f>IF(op!D323=0,"",op!D323)</f>
        <v/>
      </c>
      <c r="E390" s="75" t="str">
        <f>IF(op!E323=0,"-",op!E323)</f>
        <v/>
      </c>
      <c r="F390" s="88" t="str">
        <f>IF(op!F323="","",op!F323+1)</f>
        <v/>
      </c>
      <c r="G390" s="290" t="str">
        <f>IF(op!G323="","",op!G323)</f>
        <v/>
      </c>
      <c r="H390" s="88" t="str">
        <f>IF(op!H323=0,"",op!H323)</f>
        <v/>
      </c>
      <c r="I390" s="99" t="str">
        <f>IF(J390="","",(IF(op!I323+1&gt;LOOKUP(H390,schaal2019,regels2019),op!I323,op!I323+1)))</f>
        <v/>
      </c>
      <c r="J390" s="291" t="str">
        <f>IF(op!J323="","",op!J323)</f>
        <v/>
      </c>
      <c r="K390" s="971"/>
      <c r="L390" s="859">
        <f t="shared" si="149"/>
        <v>0</v>
      </c>
      <c r="M390" s="859">
        <f t="shared" si="149"/>
        <v>0</v>
      </c>
      <c r="N390" s="867" t="str">
        <f t="shared" si="144"/>
        <v/>
      </c>
      <c r="O390" s="867" t="str">
        <f t="shared" si="145"/>
        <v/>
      </c>
      <c r="P390" s="953" t="str">
        <f t="shared" si="131"/>
        <v/>
      </c>
      <c r="Q390" s="70"/>
      <c r="R390" s="739" t="str">
        <f t="shared" si="146"/>
        <v/>
      </c>
      <c r="S390" s="739" t="str">
        <f t="shared" si="132"/>
        <v/>
      </c>
      <c r="T390" s="740" t="str">
        <f t="shared" si="133"/>
        <v/>
      </c>
      <c r="U390" s="275"/>
      <c r="V390" s="288"/>
      <c r="W390" s="288"/>
      <c r="X390" s="288"/>
      <c r="Y390" s="908">
        <f t="shared" si="150"/>
        <v>0</v>
      </c>
      <c r="Z390" s="986">
        <f>tab!$D$62</f>
        <v>0.6</v>
      </c>
      <c r="AA390" s="944">
        <f t="shared" si="135"/>
        <v>0</v>
      </c>
      <c r="AB390" s="944">
        <f t="shared" si="136"/>
        <v>0</v>
      </c>
      <c r="AC390" s="944">
        <f t="shared" si="137"/>
        <v>0</v>
      </c>
      <c r="AD390" s="943" t="e">
        <f t="shared" si="138"/>
        <v>#VALUE!</v>
      </c>
      <c r="AE390" s="943">
        <f t="shared" si="139"/>
        <v>0</v>
      </c>
      <c r="AF390" s="916">
        <f>IF(H390&gt;8,tab!$D$63,tab!$D$65)</f>
        <v>0.5</v>
      </c>
      <c r="AG390" s="925">
        <f t="shared" si="140"/>
        <v>0</v>
      </c>
      <c r="AH390" s="940">
        <f t="shared" si="141"/>
        <v>0</v>
      </c>
      <c r="AI390" s="924" t="e">
        <f>DATE(YEAR(tab!$H$3),MONTH(G390),DAY(G390))&gt;tab!$H$3</f>
        <v>#VALUE!</v>
      </c>
      <c r="AJ390" s="924" t="e">
        <f t="shared" si="147"/>
        <v>#VALUE!</v>
      </c>
      <c r="AK390" s="884">
        <f t="shared" si="142"/>
        <v>30</v>
      </c>
      <c r="AL390" s="884">
        <f t="shared" si="148"/>
        <v>30</v>
      </c>
      <c r="AM390" s="925">
        <f t="shared" si="151"/>
        <v>0</v>
      </c>
    </row>
    <row r="391" spans="3:39" x14ac:dyDescent="0.2">
      <c r="C391" s="69"/>
      <c r="D391" s="75" t="str">
        <f>IF(op!D324=0,"",op!D324)</f>
        <v/>
      </c>
      <c r="E391" s="75" t="str">
        <f>IF(op!E324=0,"-",op!E324)</f>
        <v/>
      </c>
      <c r="F391" s="88" t="str">
        <f>IF(op!F324="","",op!F324+1)</f>
        <v/>
      </c>
      <c r="G391" s="290" t="str">
        <f>IF(op!G324="","",op!G324)</f>
        <v/>
      </c>
      <c r="H391" s="88" t="str">
        <f>IF(op!H324=0,"",op!H324)</f>
        <v/>
      </c>
      <c r="I391" s="99" t="str">
        <f>IF(J391="","",(IF(op!I324+1&gt;LOOKUP(H391,schaal2019,regels2019),op!I324,op!I324+1)))</f>
        <v/>
      </c>
      <c r="J391" s="291" t="str">
        <f>IF(op!J324="","",op!J324)</f>
        <v/>
      </c>
      <c r="K391" s="971"/>
      <c r="L391" s="859">
        <f t="shared" si="149"/>
        <v>0</v>
      </c>
      <c r="M391" s="859">
        <f t="shared" si="149"/>
        <v>0</v>
      </c>
      <c r="N391" s="867" t="str">
        <f t="shared" si="144"/>
        <v/>
      </c>
      <c r="O391" s="867" t="str">
        <f t="shared" si="145"/>
        <v/>
      </c>
      <c r="P391" s="953" t="str">
        <f t="shared" si="131"/>
        <v/>
      </c>
      <c r="Q391" s="70"/>
      <c r="R391" s="739" t="str">
        <f t="shared" si="146"/>
        <v/>
      </c>
      <c r="S391" s="739" t="str">
        <f t="shared" si="132"/>
        <v/>
      </c>
      <c r="T391" s="740" t="str">
        <f t="shared" si="133"/>
        <v/>
      </c>
      <c r="U391" s="275"/>
      <c r="V391" s="288"/>
      <c r="W391" s="288"/>
      <c r="X391" s="288"/>
      <c r="Y391" s="908">
        <f t="shared" si="150"/>
        <v>0</v>
      </c>
      <c r="Z391" s="986">
        <f>tab!$D$62</f>
        <v>0.6</v>
      </c>
      <c r="AA391" s="944">
        <f t="shared" si="135"/>
        <v>0</v>
      </c>
      <c r="AB391" s="944">
        <f t="shared" si="136"/>
        <v>0</v>
      </c>
      <c r="AC391" s="944">
        <f t="shared" si="137"/>
        <v>0</v>
      </c>
      <c r="AD391" s="943" t="e">
        <f t="shared" si="138"/>
        <v>#VALUE!</v>
      </c>
      <c r="AE391" s="943">
        <f t="shared" si="139"/>
        <v>0</v>
      </c>
      <c r="AF391" s="916">
        <f>IF(H391&gt;8,tab!$D$63,tab!$D$65)</f>
        <v>0.5</v>
      </c>
      <c r="AG391" s="925">
        <f t="shared" si="140"/>
        <v>0</v>
      </c>
      <c r="AH391" s="940">
        <f t="shared" si="141"/>
        <v>0</v>
      </c>
      <c r="AI391" s="924" t="e">
        <f>DATE(YEAR(tab!$H$3),MONTH(G391),DAY(G391))&gt;tab!$H$3</f>
        <v>#VALUE!</v>
      </c>
      <c r="AJ391" s="924" t="e">
        <f t="shared" si="147"/>
        <v>#VALUE!</v>
      </c>
      <c r="AK391" s="884">
        <f t="shared" si="142"/>
        <v>30</v>
      </c>
      <c r="AL391" s="884">
        <f t="shared" si="148"/>
        <v>30</v>
      </c>
      <c r="AM391" s="925">
        <f t="shared" si="151"/>
        <v>0</v>
      </c>
    </row>
    <row r="392" spans="3:39" x14ac:dyDescent="0.2">
      <c r="C392" s="69"/>
      <c r="D392" s="75" t="str">
        <f>IF(op!D325=0,"",op!D325)</f>
        <v/>
      </c>
      <c r="E392" s="75" t="str">
        <f>IF(op!E325=0,"-",op!E325)</f>
        <v/>
      </c>
      <c r="F392" s="88" t="str">
        <f>IF(op!F325="","",op!F325+1)</f>
        <v/>
      </c>
      <c r="G392" s="290" t="str">
        <f>IF(op!G325="","",op!G325)</f>
        <v/>
      </c>
      <c r="H392" s="88" t="str">
        <f>IF(op!H325=0,"",op!H325)</f>
        <v/>
      </c>
      <c r="I392" s="99" t="str">
        <f>IF(J392="","",(IF(op!I325+1&gt;LOOKUP(H392,schaal2019,regels2019),op!I325,op!I325+1)))</f>
        <v/>
      </c>
      <c r="J392" s="291" t="str">
        <f>IF(op!J325="","",op!J325)</f>
        <v/>
      </c>
      <c r="K392" s="971"/>
      <c r="L392" s="859">
        <f t="shared" ref="L392:M406" si="152">IF(L325="","",L325)</f>
        <v>0</v>
      </c>
      <c r="M392" s="859">
        <f t="shared" si="152"/>
        <v>0</v>
      </c>
      <c r="N392" s="867" t="str">
        <f t="shared" si="144"/>
        <v/>
      </c>
      <c r="O392" s="867" t="str">
        <f t="shared" si="145"/>
        <v/>
      </c>
      <c r="P392" s="953" t="str">
        <f t="shared" si="131"/>
        <v/>
      </c>
      <c r="Q392" s="70"/>
      <c r="R392" s="739" t="str">
        <f t="shared" si="146"/>
        <v/>
      </c>
      <c r="S392" s="739" t="str">
        <f t="shared" si="132"/>
        <v/>
      </c>
      <c r="T392" s="740" t="str">
        <f t="shared" si="133"/>
        <v/>
      </c>
      <c r="U392" s="275"/>
      <c r="V392" s="288"/>
      <c r="W392" s="288"/>
      <c r="X392" s="288"/>
      <c r="Y392" s="908">
        <f t="shared" si="150"/>
        <v>0</v>
      </c>
      <c r="Z392" s="986">
        <f>tab!$D$62</f>
        <v>0.6</v>
      </c>
      <c r="AA392" s="944">
        <f t="shared" si="135"/>
        <v>0</v>
      </c>
      <c r="AB392" s="944">
        <f t="shared" si="136"/>
        <v>0</v>
      </c>
      <c r="AC392" s="944">
        <f t="shared" si="137"/>
        <v>0</v>
      </c>
      <c r="AD392" s="943" t="e">
        <f t="shared" si="138"/>
        <v>#VALUE!</v>
      </c>
      <c r="AE392" s="943">
        <f t="shared" si="139"/>
        <v>0</v>
      </c>
      <c r="AF392" s="916">
        <f>IF(H392&gt;8,tab!$D$63,tab!$D$65)</f>
        <v>0.5</v>
      </c>
      <c r="AG392" s="925">
        <f t="shared" si="140"/>
        <v>0</v>
      </c>
      <c r="AH392" s="940">
        <f t="shared" si="141"/>
        <v>0</v>
      </c>
      <c r="AI392" s="924" t="e">
        <f>DATE(YEAR(tab!$H$3),MONTH(G392),DAY(G392))&gt;tab!$H$3</f>
        <v>#VALUE!</v>
      </c>
      <c r="AJ392" s="924" t="e">
        <f t="shared" si="147"/>
        <v>#VALUE!</v>
      </c>
      <c r="AK392" s="884">
        <f t="shared" si="142"/>
        <v>30</v>
      </c>
      <c r="AL392" s="884">
        <f t="shared" si="148"/>
        <v>30</v>
      </c>
      <c r="AM392" s="925">
        <f t="shared" si="151"/>
        <v>0</v>
      </c>
    </row>
    <row r="393" spans="3:39" x14ac:dyDescent="0.2">
      <c r="C393" s="69"/>
      <c r="D393" s="75" t="str">
        <f>IF(op!D326=0,"",op!D326)</f>
        <v/>
      </c>
      <c r="E393" s="75" t="str">
        <f>IF(op!E326=0,"-",op!E326)</f>
        <v/>
      </c>
      <c r="F393" s="88" t="str">
        <f>IF(op!F326="","",op!F326+1)</f>
        <v/>
      </c>
      <c r="G393" s="290" t="str">
        <f>IF(op!G326="","",op!G326)</f>
        <v/>
      </c>
      <c r="H393" s="88" t="str">
        <f>IF(op!H326=0,"",op!H326)</f>
        <v/>
      </c>
      <c r="I393" s="99" t="str">
        <f>IF(J393="","",(IF(op!I326+1&gt;LOOKUP(H393,schaal2019,regels2019),op!I326,op!I326+1)))</f>
        <v/>
      </c>
      <c r="J393" s="291" t="str">
        <f>IF(op!J326="","",op!J326)</f>
        <v/>
      </c>
      <c r="K393" s="971"/>
      <c r="L393" s="859">
        <f t="shared" si="152"/>
        <v>0</v>
      </c>
      <c r="M393" s="859">
        <f t="shared" si="152"/>
        <v>0</v>
      </c>
      <c r="N393" s="867" t="str">
        <f t="shared" si="144"/>
        <v/>
      </c>
      <c r="O393" s="867" t="str">
        <f t="shared" si="145"/>
        <v/>
      </c>
      <c r="P393" s="953" t="str">
        <f t="shared" si="131"/>
        <v/>
      </c>
      <c r="Q393" s="70"/>
      <c r="R393" s="739" t="str">
        <f t="shared" si="146"/>
        <v/>
      </c>
      <c r="S393" s="739" t="str">
        <f t="shared" si="132"/>
        <v/>
      </c>
      <c r="T393" s="740" t="str">
        <f t="shared" si="133"/>
        <v/>
      </c>
      <c r="U393" s="275"/>
      <c r="V393" s="288"/>
      <c r="W393" s="288"/>
      <c r="X393" s="288"/>
      <c r="Y393" s="908">
        <f t="shared" si="150"/>
        <v>0</v>
      </c>
      <c r="Z393" s="986">
        <f>tab!$D$62</f>
        <v>0.6</v>
      </c>
      <c r="AA393" s="944">
        <f t="shared" si="135"/>
        <v>0</v>
      </c>
      <c r="AB393" s="944">
        <f t="shared" si="136"/>
        <v>0</v>
      </c>
      <c r="AC393" s="944">
        <f t="shared" si="137"/>
        <v>0</v>
      </c>
      <c r="AD393" s="943" t="e">
        <f t="shared" si="138"/>
        <v>#VALUE!</v>
      </c>
      <c r="AE393" s="943">
        <f t="shared" si="139"/>
        <v>0</v>
      </c>
      <c r="AF393" s="916">
        <f>IF(H393&gt;8,tab!$D$63,tab!$D$65)</f>
        <v>0.5</v>
      </c>
      <c r="AG393" s="925">
        <f t="shared" si="140"/>
        <v>0</v>
      </c>
      <c r="AH393" s="940">
        <f t="shared" si="141"/>
        <v>0</v>
      </c>
      <c r="AI393" s="924" t="e">
        <f>DATE(YEAR(tab!$H$3),MONTH(G393),DAY(G393))&gt;tab!$H$3</f>
        <v>#VALUE!</v>
      </c>
      <c r="AJ393" s="924" t="e">
        <f t="shared" si="147"/>
        <v>#VALUE!</v>
      </c>
      <c r="AK393" s="884">
        <f t="shared" si="142"/>
        <v>30</v>
      </c>
      <c r="AL393" s="884">
        <f t="shared" si="148"/>
        <v>30</v>
      </c>
      <c r="AM393" s="925">
        <f t="shared" si="151"/>
        <v>0</v>
      </c>
    </row>
    <row r="394" spans="3:39" x14ac:dyDescent="0.2">
      <c r="C394" s="69"/>
      <c r="D394" s="75" t="str">
        <f>IF(op!D327=0,"",op!D327)</f>
        <v/>
      </c>
      <c r="E394" s="75" t="str">
        <f>IF(op!E327=0,"-",op!E327)</f>
        <v/>
      </c>
      <c r="F394" s="88" t="str">
        <f>IF(op!F327="","",op!F327+1)</f>
        <v/>
      </c>
      <c r="G394" s="290" t="str">
        <f>IF(op!G327="","",op!G327)</f>
        <v/>
      </c>
      <c r="H394" s="88" t="str">
        <f>IF(op!H327=0,"",op!H327)</f>
        <v/>
      </c>
      <c r="I394" s="99" t="str">
        <f>IF(J394="","",(IF(op!I327+1&gt;LOOKUP(H394,schaal2019,regels2019),op!I327,op!I327+1)))</f>
        <v/>
      </c>
      <c r="J394" s="291" t="str">
        <f>IF(op!J327="","",op!J327)</f>
        <v/>
      </c>
      <c r="K394" s="971"/>
      <c r="L394" s="859">
        <f t="shared" si="152"/>
        <v>0</v>
      </c>
      <c r="M394" s="859">
        <f t="shared" si="152"/>
        <v>0</v>
      </c>
      <c r="N394" s="867" t="str">
        <f t="shared" si="144"/>
        <v/>
      </c>
      <c r="O394" s="867" t="str">
        <f t="shared" si="145"/>
        <v/>
      </c>
      <c r="P394" s="953" t="str">
        <f t="shared" si="131"/>
        <v/>
      </c>
      <c r="Q394" s="70"/>
      <c r="R394" s="739" t="str">
        <f t="shared" si="146"/>
        <v/>
      </c>
      <c r="S394" s="739" t="str">
        <f t="shared" si="132"/>
        <v/>
      </c>
      <c r="T394" s="740" t="str">
        <f t="shared" si="133"/>
        <v/>
      </c>
      <c r="U394" s="275"/>
      <c r="V394" s="288"/>
      <c r="W394" s="288"/>
      <c r="X394" s="288"/>
      <c r="Y394" s="908">
        <f t="shared" si="150"/>
        <v>0</v>
      </c>
      <c r="Z394" s="986">
        <f>tab!$D$62</f>
        <v>0.6</v>
      </c>
      <c r="AA394" s="944">
        <f t="shared" si="135"/>
        <v>0</v>
      </c>
      <c r="AB394" s="944">
        <f t="shared" si="136"/>
        <v>0</v>
      </c>
      <c r="AC394" s="944">
        <f t="shared" si="137"/>
        <v>0</v>
      </c>
      <c r="AD394" s="943" t="e">
        <f t="shared" si="138"/>
        <v>#VALUE!</v>
      </c>
      <c r="AE394" s="943">
        <f t="shared" si="139"/>
        <v>0</v>
      </c>
      <c r="AF394" s="916">
        <f>IF(H394&gt;8,tab!$D$63,tab!$D$65)</f>
        <v>0.5</v>
      </c>
      <c r="AG394" s="925">
        <f t="shared" si="140"/>
        <v>0</v>
      </c>
      <c r="AH394" s="940">
        <f t="shared" si="141"/>
        <v>0</v>
      </c>
      <c r="AI394" s="924" t="e">
        <f>DATE(YEAR(tab!$H$3),MONTH(G394),DAY(G394))&gt;tab!$H$3</f>
        <v>#VALUE!</v>
      </c>
      <c r="AJ394" s="924" t="e">
        <f t="shared" si="147"/>
        <v>#VALUE!</v>
      </c>
      <c r="AK394" s="884">
        <f t="shared" si="142"/>
        <v>30</v>
      </c>
      <c r="AL394" s="884">
        <f t="shared" si="148"/>
        <v>30</v>
      </c>
      <c r="AM394" s="925">
        <f t="shared" si="151"/>
        <v>0</v>
      </c>
    </row>
    <row r="395" spans="3:39" x14ac:dyDescent="0.2">
      <c r="C395" s="69"/>
      <c r="D395" s="75" t="str">
        <f>IF(op!D328=0,"",op!D328)</f>
        <v/>
      </c>
      <c r="E395" s="75" t="str">
        <f>IF(op!E328=0,"-",op!E328)</f>
        <v/>
      </c>
      <c r="F395" s="88" t="str">
        <f>IF(op!F328="","",op!F328+1)</f>
        <v/>
      </c>
      <c r="G395" s="290" t="str">
        <f>IF(op!G328="","",op!G328)</f>
        <v/>
      </c>
      <c r="H395" s="88" t="str">
        <f>IF(op!H328=0,"",op!H328)</f>
        <v/>
      </c>
      <c r="I395" s="99" t="str">
        <f>IF(J395="","",(IF(op!I328+1&gt;LOOKUP(H395,schaal2019,regels2019),op!I328,op!I328+1)))</f>
        <v/>
      </c>
      <c r="J395" s="291" t="str">
        <f>IF(op!J328="","",op!J328)</f>
        <v/>
      </c>
      <c r="K395" s="971"/>
      <c r="L395" s="859">
        <f t="shared" si="152"/>
        <v>0</v>
      </c>
      <c r="M395" s="859">
        <f t="shared" si="152"/>
        <v>0</v>
      </c>
      <c r="N395" s="867" t="str">
        <f t="shared" si="144"/>
        <v/>
      </c>
      <c r="O395" s="867" t="str">
        <f t="shared" si="145"/>
        <v/>
      </c>
      <c r="P395" s="953" t="str">
        <f t="shared" si="131"/>
        <v/>
      </c>
      <c r="Q395" s="70"/>
      <c r="R395" s="739" t="str">
        <f t="shared" si="146"/>
        <v/>
      </c>
      <c r="S395" s="739" t="str">
        <f t="shared" si="132"/>
        <v/>
      </c>
      <c r="T395" s="740" t="str">
        <f t="shared" si="133"/>
        <v/>
      </c>
      <c r="U395" s="275"/>
      <c r="V395" s="288"/>
      <c r="W395" s="288"/>
      <c r="X395" s="288"/>
      <c r="Y395" s="908">
        <f t="shared" si="150"/>
        <v>0</v>
      </c>
      <c r="Z395" s="986">
        <f>tab!$D$62</f>
        <v>0.6</v>
      </c>
      <c r="AA395" s="944">
        <f t="shared" si="135"/>
        <v>0</v>
      </c>
      <c r="AB395" s="944">
        <f t="shared" si="136"/>
        <v>0</v>
      </c>
      <c r="AC395" s="944">
        <f t="shared" si="137"/>
        <v>0</v>
      </c>
      <c r="AD395" s="943" t="e">
        <f t="shared" si="138"/>
        <v>#VALUE!</v>
      </c>
      <c r="AE395" s="943">
        <f t="shared" si="139"/>
        <v>0</v>
      </c>
      <c r="AF395" s="916">
        <f>IF(H395&gt;8,tab!$D$63,tab!$D$65)</f>
        <v>0.5</v>
      </c>
      <c r="AG395" s="925">
        <f t="shared" si="140"/>
        <v>0</v>
      </c>
      <c r="AH395" s="940">
        <f t="shared" si="141"/>
        <v>0</v>
      </c>
      <c r="AI395" s="924" t="e">
        <f>DATE(YEAR(tab!$H$3),MONTH(G395),DAY(G395))&gt;tab!$H$3</f>
        <v>#VALUE!</v>
      </c>
      <c r="AJ395" s="924" t="e">
        <f t="shared" si="147"/>
        <v>#VALUE!</v>
      </c>
      <c r="AK395" s="884">
        <f t="shared" si="142"/>
        <v>30</v>
      </c>
      <c r="AL395" s="884">
        <f t="shared" si="148"/>
        <v>30</v>
      </c>
      <c r="AM395" s="925">
        <f t="shared" si="151"/>
        <v>0</v>
      </c>
    </row>
    <row r="396" spans="3:39" x14ac:dyDescent="0.2">
      <c r="C396" s="69"/>
      <c r="D396" s="75" t="str">
        <f>IF(op!D329=0,"",op!D329)</f>
        <v/>
      </c>
      <c r="E396" s="75" t="str">
        <f>IF(op!E329=0,"-",op!E329)</f>
        <v/>
      </c>
      <c r="F396" s="88" t="str">
        <f>IF(op!F329="","",op!F329+1)</f>
        <v/>
      </c>
      <c r="G396" s="290" t="str">
        <f>IF(op!G329="","",op!G329)</f>
        <v/>
      </c>
      <c r="H396" s="88" t="str">
        <f>IF(op!H329=0,"",op!H329)</f>
        <v/>
      </c>
      <c r="I396" s="99" t="str">
        <f>IF(J396="","",(IF(op!I329+1&gt;LOOKUP(H396,schaal2019,regels2019),op!I329,op!I329+1)))</f>
        <v/>
      </c>
      <c r="J396" s="291" t="str">
        <f>IF(op!J329="","",op!J329)</f>
        <v/>
      </c>
      <c r="K396" s="971"/>
      <c r="L396" s="859">
        <f t="shared" si="152"/>
        <v>0</v>
      </c>
      <c r="M396" s="859">
        <f t="shared" si="152"/>
        <v>0</v>
      </c>
      <c r="N396" s="867" t="str">
        <f t="shared" si="144"/>
        <v/>
      </c>
      <c r="O396" s="867" t="str">
        <f t="shared" si="145"/>
        <v/>
      </c>
      <c r="P396" s="953" t="str">
        <f t="shared" si="131"/>
        <v/>
      </c>
      <c r="Q396" s="70"/>
      <c r="R396" s="739" t="str">
        <f t="shared" si="146"/>
        <v/>
      </c>
      <c r="S396" s="739" t="str">
        <f t="shared" si="132"/>
        <v/>
      </c>
      <c r="T396" s="740" t="str">
        <f t="shared" si="133"/>
        <v/>
      </c>
      <c r="U396" s="275"/>
      <c r="V396" s="288"/>
      <c r="W396" s="288"/>
      <c r="X396" s="288"/>
      <c r="Y396" s="908">
        <f t="shared" si="150"/>
        <v>0</v>
      </c>
      <c r="Z396" s="986">
        <f>tab!$D$62</f>
        <v>0.6</v>
      </c>
      <c r="AA396" s="944">
        <f t="shared" si="135"/>
        <v>0</v>
      </c>
      <c r="AB396" s="944">
        <f t="shared" si="136"/>
        <v>0</v>
      </c>
      <c r="AC396" s="944">
        <f t="shared" si="137"/>
        <v>0</v>
      </c>
      <c r="AD396" s="943" t="e">
        <f t="shared" si="138"/>
        <v>#VALUE!</v>
      </c>
      <c r="AE396" s="943">
        <f t="shared" si="139"/>
        <v>0</v>
      </c>
      <c r="AF396" s="916">
        <f>IF(H396&gt;8,tab!$D$63,tab!$D$65)</f>
        <v>0.5</v>
      </c>
      <c r="AG396" s="925">
        <f t="shared" si="140"/>
        <v>0</v>
      </c>
      <c r="AH396" s="940">
        <f t="shared" si="141"/>
        <v>0</v>
      </c>
      <c r="AI396" s="924" t="e">
        <f>DATE(YEAR(tab!$H$3),MONTH(G396),DAY(G396))&gt;tab!$H$3</f>
        <v>#VALUE!</v>
      </c>
      <c r="AJ396" s="924" t="e">
        <f t="shared" si="147"/>
        <v>#VALUE!</v>
      </c>
      <c r="AK396" s="884">
        <f t="shared" si="142"/>
        <v>30</v>
      </c>
      <c r="AL396" s="884">
        <f t="shared" si="148"/>
        <v>30</v>
      </c>
      <c r="AM396" s="925">
        <f t="shared" si="151"/>
        <v>0</v>
      </c>
    </row>
    <row r="397" spans="3:39" x14ac:dyDescent="0.2">
      <c r="C397" s="69"/>
      <c r="D397" s="75" t="str">
        <f>IF(op!D330=0,"",op!D330)</f>
        <v/>
      </c>
      <c r="E397" s="75" t="str">
        <f>IF(op!E330=0,"-",op!E330)</f>
        <v/>
      </c>
      <c r="F397" s="88" t="str">
        <f>IF(op!F330="","",op!F330+1)</f>
        <v/>
      </c>
      <c r="G397" s="290" t="str">
        <f>IF(op!G330="","",op!G330)</f>
        <v/>
      </c>
      <c r="H397" s="88" t="str">
        <f>IF(op!H330=0,"",op!H330)</f>
        <v/>
      </c>
      <c r="I397" s="99" t="str">
        <f>IF(J397="","",(IF(op!I330+1&gt;LOOKUP(H397,schaal2019,regels2019),op!I330,op!I330+1)))</f>
        <v/>
      </c>
      <c r="J397" s="291" t="str">
        <f>IF(op!J330="","",op!J330)</f>
        <v/>
      </c>
      <c r="K397" s="971"/>
      <c r="L397" s="859">
        <f t="shared" si="152"/>
        <v>0</v>
      </c>
      <c r="M397" s="859">
        <f t="shared" si="152"/>
        <v>0</v>
      </c>
      <c r="N397" s="867" t="str">
        <f t="shared" si="144"/>
        <v/>
      </c>
      <c r="O397" s="867" t="str">
        <f t="shared" si="145"/>
        <v/>
      </c>
      <c r="P397" s="953" t="str">
        <f t="shared" si="131"/>
        <v/>
      </c>
      <c r="Q397" s="70"/>
      <c r="R397" s="739" t="str">
        <f t="shared" si="146"/>
        <v/>
      </c>
      <c r="S397" s="739" t="str">
        <f t="shared" si="132"/>
        <v/>
      </c>
      <c r="T397" s="740" t="str">
        <f t="shared" si="133"/>
        <v/>
      </c>
      <c r="U397" s="275"/>
      <c r="V397" s="288"/>
      <c r="W397" s="288"/>
      <c r="X397" s="288"/>
      <c r="Y397" s="908">
        <f t="shared" si="150"/>
        <v>0</v>
      </c>
      <c r="Z397" s="986">
        <f>tab!$D$62</f>
        <v>0.6</v>
      </c>
      <c r="AA397" s="944">
        <f t="shared" si="135"/>
        <v>0</v>
      </c>
      <c r="AB397" s="944">
        <f t="shared" si="136"/>
        <v>0</v>
      </c>
      <c r="AC397" s="944">
        <f t="shared" si="137"/>
        <v>0</v>
      </c>
      <c r="AD397" s="943" t="e">
        <f t="shared" si="138"/>
        <v>#VALUE!</v>
      </c>
      <c r="AE397" s="943">
        <f t="shared" si="139"/>
        <v>0</v>
      </c>
      <c r="AF397" s="916">
        <f>IF(H397&gt;8,tab!$D$63,tab!$D$65)</f>
        <v>0.5</v>
      </c>
      <c r="AG397" s="925">
        <f t="shared" si="140"/>
        <v>0</v>
      </c>
      <c r="AH397" s="940">
        <f t="shared" si="141"/>
        <v>0</v>
      </c>
      <c r="AI397" s="924" t="e">
        <f>DATE(YEAR(tab!$H$3),MONTH(G397),DAY(G397))&gt;tab!$H$3</f>
        <v>#VALUE!</v>
      </c>
      <c r="AJ397" s="924" t="e">
        <f t="shared" si="147"/>
        <v>#VALUE!</v>
      </c>
      <c r="AK397" s="884">
        <f t="shared" si="142"/>
        <v>30</v>
      </c>
      <c r="AL397" s="884">
        <f t="shared" si="148"/>
        <v>30</v>
      </c>
      <c r="AM397" s="925">
        <f t="shared" si="151"/>
        <v>0</v>
      </c>
    </row>
    <row r="398" spans="3:39" x14ac:dyDescent="0.2">
      <c r="C398" s="69"/>
      <c r="D398" s="75" t="str">
        <f>IF(op!D331=0,"",op!D331)</f>
        <v/>
      </c>
      <c r="E398" s="75" t="str">
        <f>IF(op!E331=0,"-",op!E331)</f>
        <v/>
      </c>
      <c r="F398" s="88" t="str">
        <f>IF(op!F331="","",op!F331+1)</f>
        <v/>
      </c>
      <c r="G398" s="290" t="str">
        <f>IF(op!G331="","",op!G331)</f>
        <v/>
      </c>
      <c r="H398" s="88" t="str">
        <f>IF(op!H331=0,"",op!H331)</f>
        <v/>
      </c>
      <c r="I398" s="99" t="str">
        <f>IF(J398="","",(IF(op!I331+1&gt;LOOKUP(H398,schaal2019,regels2019),op!I331,op!I331+1)))</f>
        <v/>
      </c>
      <c r="J398" s="291" t="str">
        <f>IF(op!J331="","",op!J331)</f>
        <v/>
      </c>
      <c r="K398" s="971"/>
      <c r="L398" s="859">
        <f t="shared" si="152"/>
        <v>0</v>
      </c>
      <c r="M398" s="859">
        <f t="shared" si="152"/>
        <v>0</v>
      </c>
      <c r="N398" s="867" t="str">
        <f t="shared" si="144"/>
        <v/>
      </c>
      <c r="O398" s="867" t="str">
        <f t="shared" si="145"/>
        <v/>
      </c>
      <c r="P398" s="953" t="str">
        <f t="shared" si="131"/>
        <v/>
      </c>
      <c r="Q398" s="70"/>
      <c r="R398" s="739" t="str">
        <f t="shared" si="146"/>
        <v/>
      </c>
      <c r="S398" s="739" t="str">
        <f t="shared" si="132"/>
        <v/>
      </c>
      <c r="T398" s="740" t="str">
        <f t="shared" si="133"/>
        <v/>
      </c>
      <c r="U398" s="275"/>
      <c r="V398" s="288"/>
      <c r="W398" s="288"/>
      <c r="X398" s="288"/>
      <c r="Y398" s="908">
        <f t="shared" si="150"/>
        <v>0</v>
      </c>
      <c r="Z398" s="986">
        <f>tab!$D$62</f>
        <v>0.6</v>
      </c>
      <c r="AA398" s="944">
        <f t="shared" si="135"/>
        <v>0</v>
      </c>
      <c r="AB398" s="944">
        <f t="shared" si="136"/>
        <v>0</v>
      </c>
      <c r="AC398" s="944">
        <f t="shared" si="137"/>
        <v>0</v>
      </c>
      <c r="AD398" s="943" t="e">
        <f t="shared" si="138"/>
        <v>#VALUE!</v>
      </c>
      <c r="AE398" s="943">
        <f t="shared" si="139"/>
        <v>0</v>
      </c>
      <c r="AF398" s="916">
        <f>IF(H398&gt;8,tab!$D$63,tab!$D$65)</f>
        <v>0.5</v>
      </c>
      <c r="AG398" s="925">
        <f t="shared" si="140"/>
        <v>0</v>
      </c>
      <c r="AH398" s="940">
        <f t="shared" si="141"/>
        <v>0</v>
      </c>
      <c r="AI398" s="924" t="e">
        <f>DATE(YEAR(tab!$H$3),MONTH(G398),DAY(G398))&gt;tab!$H$3</f>
        <v>#VALUE!</v>
      </c>
      <c r="AJ398" s="924" t="e">
        <f t="shared" si="147"/>
        <v>#VALUE!</v>
      </c>
      <c r="AK398" s="884">
        <f t="shared" si="142"/>
        <v>30</v>
      </c>
      <c r="AL398" s="884">
        <f t="shared" si="148"/>
        <v>30</v>
      </c>
      <c r="AM398" s="925">
        <f t="shared" si="151"/>
        <v>0</v>
      </c>
    </row>
    <row r="399" spans="3:39" x14ac:dyDescent="0.2">
      <c r="C399" s="69"/>
      <c r="D399" s="75" t="str">
        <f>IF(op!D332=0,"",op!D332)</f>
        <v/>
      </c>
      <c r="E399" s="75" t="str">
        <f>IF(op!E332=0,"-",op!E332)</f>
        <v/>
      </c>
      <c r="F399" s="88" t="str">
        <f>IF(op!F332="","",op!F332+1)</f>
        <v/>
      </c>
      <c r="G399" s="290" t="str">
        <f>IF(op!G332="","",op!G332)</f>
        <v/>
      </c>
      <c r="H399" s="88" t="str">
        <f>IF(op!H332=0,"",op!H332)</f>
        <v/>
      </c>
      <c r="I399" s="99" t="str">
        <f>IF(J399="","",(IF(op!I332+1&gt;LOOKUP(H399,schaal2019,regels2019),op!I332,op!I332+1)))</f>
        <v/>
      </c>
      <c r="J399" s="291" t="str">
        <f>IF(op!J332="","",op!J332)</f>
        <v/>
      </c>
      <c r="K399" s="971"/>
      <c r="L399" s="859">
        <f t="shared" si="152"/>
        <v>0</v>
      </c>
      <c r="M399" s="859">
        <f t="shared" si="152"/>
        <v>0</v>
      </c>
      <c r="N399" s="867" t="str">
        <f t="shared" si="144"/>
        <v/>
      </c>
      <c r="O399" s="867" t="str">
        <f t="shared" si="145"/>
        <v/>
      </c>
      <c r="P399" s="953" t="str">
        <f t="shared" si="131"/>
        <v/>
      </c>
      <c r="Q399" s="70"/>
      <c r="R399" s="739" t="str">
        <f t="shared" si="146"/>
        <v/>
      </c>
      <c r="S399" s="739" t="str">
        <f t="shared" si="132"/>
        <v/>
      </c>
      <c r="T399" s="740" t="str">
        <f t="shared" si="133"/>
        <v/>
      </c>
      <c r="U399" s="275"/>
      <c r="V399" s="288"/>
      <c r="W399" s="288"/>
      <c r="X399" s="288"/>
      <c r="Y399" s="908">
        <f t="shared" si="150"/>
        <v>0</v>
      </c>
      <c r="Z399" s="986">
        <f>tab!$D$62</f>
        <v>0.6</v>
      </c>
      <c r="AA399" s="944">
        <f t="shared" si="135"/>
        <v>0</v>
      </c>
      <c r="AB399" s="944">
        <f t="shared" si="136"/>
        <v>0</v>
      </c>
      <c r="AC399" s="944">
        <f t="shared" si="137"/>
        <v>0</v>
      </c>
      <c r="AD399" s="943" t="e">
        <f t="shared" si="138"/>
        <v>#VALUE!</v>
      </c>
      <c r="AE399" s="943">
        <f t="shared" si="139"/>
        <v>0</v>
      </c>
      <c r="AF399" s="916">
        <f>IF(H399&gt;8,tab!$D$63,tab!$D$65)</f>
        <v>0.5</v>
      </c>
      <c r="AG399" s="925">
        <f t="shared" si="140"/>
        <v>0</v>
      </c>
      <c r="AH399" s="940">
        <f t="shared" si="141"/>
        <v>0</v>
      </c>
      <c r="AI399" s="924" t="e">
        <f>DATE(YEAR(tab!$H$3),MONTH(G399),DAY(G399))&gt;tab!$H$3</f>
        <v>#VALUE!</v>
      </c>
      <c r="AJ399" s="924" t="e">
        <f t="shared" si="147"/>
        <v>#VALUE!</v>
      </c>
      <c r="AK399" s="884">
        <f t="shared" si="142"/>
        <v>30</v>
      </c>
      <c r="AL399" s="884">
        <f t="shared" si="148"/>
        <v>30</v>
      </c>
      <c r="AM399" s="925">
        <f t="shared" si="151"/>
        <v>0</v>
      </c>
    </row>
    <row r="400" spans="3:39" x14ac:dyDescent="0.2">
      <c r="C400" s="69"/>
      <c r="D400" s="75" t="str">
        <f>IF(op!D333=0,"",op!D333)</f>
        <v/>
      </c>
      <c r="E400" s="75" t="str">
        <f>IF(op!E333=0,"-",op!E333)</f>
        <v/>
      </c>
      <c r="F400" s="88" t="str">
        <f>IF(op!F333="","",op!F333+1)</f>
        <v/>
      </c>
      <c r="G400" s="290" t="str">
        <f>IF(op!G333="","",op!G333)</f>
        <v/>
      </c>
      <c r="H400" s="88" t="str">
        <f>IF(op!H333=0,"",op!H333)</f>
        <v/>
      </c>
      <c r="I400" s="99" t="str">
        <f>IF(J400="","",(IF(op!I333+1&gt;LOOKUP(H400,schaal2019,regels2019),op!I333,op!I333+1)))</f>
        <v/>
      </c>
      <c r="J400" s="291" t="str">
        <f>IF(op!J333="","",op!J333)</f>
        <v/>
      </c>
      <c r="K400" s="971"/>
      <c r="L400" s="859">
        <f t="shared" si="152"/>
        <v>0</v>
      </c>
      <c r="M400" s="859">
        <f t="shared" si="152"/>
        <v>0</v>
      </c>
      <c r="N400" s="867" t="str">
        <f t="shared" si="144"/>
        <v/>
      </c>
      <c r="O400" s="867" t="str">
        <f t="shared" si="145"/>
        <v/>
      </c>
      <c r="P400" s="953" t="str">
        <f t="shared" si="131"/>
        <v/>
      </c>
      <c r="Q400" s="70"/>
      <c r="R400" s="739" t="str">
        <f t="shared" si="146"/>
        <v/>
      </c>
      <c r="S400" s="739" t="str">
        <f t="shared" si="132"/>
        <v/>
      </c>
      <c r="T400" s="740" t="str">
        <f t="shared" si="133"/>
        <v/>
      </c>
      <c r="U400" s="275"/>
      <c r="V400" s="288"/>
      <c r="W400" s="288"/>
      <c r="X400" s="288"/>
      <c r="Y400" s="908">
        <f t="shared" si="150"/>
        <v>0</v>
      </c>
      <c r="Z400" s="986">
        <f>tab!$D$62</f>
        <v>0.6</v>
      </c>
      <c r="AA400" s="944">
        <f t="shared" si="135"/>
        <v>0</v>
      </c>
      <c r="AB400" s="944">
        <f t="shared" si="136"/>
        <v>0</v>
      </c>
      <c r="AC400" s="944">
        <f t="shared" si="137"/>
        <v>0</v>
      </c>
      <c r="AD400" s="943" t="e">
        <f t="shared" si="138"/>
        <v>#VALUE!</v>
      </c>
      <c r="AE400" s="943">
        <f t="shared" si="139"/>
        <v>0</v>
      </c>
      <c r="AF400" s="916">
        <f>IF(H400&gt;8,tab!$D$63,tab!$D$65)</f>
        <v>0.5</v>
      </c>
      <c r="AG400" s="925">
        <f t="shared" si="140"/>
        <v>0</v>
      </c>
      <c r="AH400" s="940">
        <f t="shared" si="141"/>
        <v>0</v>
      </c>
      <c r="AI400" s="924" t="e">
        <f>DATE(YEAR(tab!$H$3),MONTH(G400),DAY(G400))&gt;tab!$H$3</f>
        <v>#VALUE!</v>
      </c>
      <c r="AJ400" s="924" t="e">
        <f t="shared" si="147"/>
        <v>#VALUE!</v>
      </c>
      <c r="AK400" s="884">
        <f t="shared" si="142"/>
        <v>30</v>
      </c>
      <c r="AL400" s="884">
        <f t="shared" si="148"/>
        <v>30</v>
      </c>
      <c r="AM400" s="925">
        <f t="shared" si="151"/>
        <v>0</v>
      </c>
    </row>
    <row r="401" spans="3:39" x14ac:dyDescent="0.2">
      <c r="C401" s="69"/>
      <c r="D401" s="75" t="str">
        <f>IF(op!D334=0,"",op!D334)</f>
        <v/>
      </c>
      <c r="E401" s="75" t="str">
        <f>IF(op!E334=0,"-",op!E334)</f>
        <v/>
      </c>
      <c r="F401" s="88" t="str">
        <f>IF(op!F334="","",op!F334+1)</f>
        <v/>
      </c>
      <c r="G401" s="290" t="str">
        <f>IF(op!G334="","",op!G334)</f>
        <v/>
      </c>
      <c r="H401" s="88" t="str">
        <f>IF(op!H334=0,"",op!H334)</f>
        <v/>
      </c>
      <c r="I401" s="99" t="str">
        <f>IF(J401="","",(IF(op!I334+1&gt;LOOKUP(H401,schaal2019,regels2019),op!I334,op!I334+1)))</f>
        <v/>
      </c>
      <c r="J401" s="291" t="str">
        <f>IF(op!J334="","",op!J334)</f>
        <v/>
      </c>
      <c r="K401" s="971"/>
      <c r="L401" s="859">
        <f t="shared" si="152"/>
        <v>0</v>
      </c>
      <c r="M401" s="859">
        <f t="shared" si="152"/>
        <v>0</v>
      </c>
      <c r="N401" s="867" t="str">
        <f t="shared" si="144"/>
        <v/>
      </c>
      <c r="O401" s="867" t="str">
        <f t="shared" si="145"/>
        <v/>
      </c>
      <c r="P401" s="953" t="str">
        <f t="shared" si="131"/>
        <v/>
      </c>
      <c r="Q401" s="70"/>
      <c r="R401" s="739" t="str">
        <f t="shared" si="146"/>
        <v/>
      </c>
      <c r="S401" s="739" t="str">
        <f t="shared" si="132"/>
        <v/>
      </c>
      <c r="T401" s="740" t="str">
        <f t="shared" si="133"/>
        <v/>
      </c>
      <c r="U401" s="275"/>
      <c r="V401" s="288"/>
      <c r="W401" s="288"/>
      <c r="X401" s="288"/>
      <c r="Y401" s="908">
        <f t="shared" si="150"/>
        <v>0</v>
      </c>
      <c r="Z401" s="986">
        <f>tab!$D$62</f>
        <v>0.6</v>
      </c>
      <c r="AA401" s="944">
        <f t="shared" si="135"/>
        <v>0</v>
      </c>
      <c r="AB401" s="944">
        <f t="shared" si="136"/>
        <v>0</v>
      </c>
      <c r="AC401" s="944">
        <f t="shared" si="137"/>
        <v>0</v>
      </c>
      <c r="AD401" s="943" t="e">
        <f t="shared" si="138"/>
        <v>#VALUE!</v>
      </c>
      <c r="AE401" s="943">
        <f t="shared" si="139"/>
        <v>0</v>
      </c>
      <c r="AF401" s="916">
        <f>IF(H401&gt;8,tab!$D$63,tab!$D$65)</f>
        <v>0.5</v>
      </c>
      <c r="AG401" s="925">
        <f t="shared" si="140"/>
        <v>0</v>
      </c>
      <c r="AH401" s="940">
        <f t="shared" si="141"/>
        <v>0</v>
      </c>
      <c r="AI401" s="924" t="e">
        <f>DATE(YEAR(tab!$H$3),MONTH(G401),DAY(G401))&gt;tab!$H$3</f>
        <v>#VALUE!</v>
      </c>
      <c r="AJ401" s="924" t="e">
        <f t="shared" si="147"/>
        <v>#VALUE!</v>
      </c>
      <c r="AK401" s="884">
        <f t="shared" si="142"/>
        <v>30</v>
      </c>
      <c r="AL401" s="884">
        <f t="shared" si="148"/>
        <v>30</v>
      </c>
      <c r="AM401" s="925">
        <f t="shared" si="151"/>
        <v>0</v>
      </c>
    </row>
    <row r="402" spans="3:39" x14ac:dyDescent="0.2">
      <c r="C402" s="69"/>
      <c r="D402" s="75" t="str">
        <f>IF(op!D335=0,"",op!D335)</f>
        <v/>
      </c>
      <c r="E402" s="75" t="str">
        <f>IF(op!E335=0,"-",op!E335)</f>
        <v/>
      </c>
      <c r="F402" s="88" t="str">
        <f>IF(op!F335="","",op!F335+1)</f>
        <v/>
      </c>
      <c r="G402" s="290" t="str">
        <f>IF(op!G335="","",op!G335)</f>
        <v/>
      </c>
      <c r="H402" s="88" t="str">
        <f>IF(op!H335=0,"",op!H335)</f>
        <v/>
      </c>
      <c r="I402" s="99" t="str">
        <f>IF(J402="","",(IF(op!I335+1&gt;LOOKUP(H402,schaal2019,regels2019),op!I335,op!I335+1)))</f>
        <v/>
      </c>
      <c r="J402" s="291" t="str">
        <f>IF(op!J335="","",op!J335)</f>
        <v/>
      </c>
      <c r="K402" s="971"/>
      <c r="L402" s="859">
        <f t="shared" si="152"/>
        <v>0</v>
      </c>
      <c r="M402" s="859">
        <f t="shared" si="152"/>
        <v>0</v>
      </c>
      <c r="N402" s="867" t="str">
        <f t="shared" si="144"/>
        <v/>
      </c>
      <c r="O402" s="867" t="str">
        <f t="shared" si="145"/>
        <v/>
      </c>
      <c r="P402" s="953" t="str">
        <f t="shared" si="131"/>
        <v/>
      </c>
      <c r="Q402" s="70"/>
      <c r="R402" s="739" t="str">
        <f t="shared" si="146"/>
        <v/>
      </c>
      <c r="S402" s="739" t="str">
        <f t="shared" si="132"/>
        <v/>
      </c>
      <c r="T402" s="740" t="str">
        <f t="shared" si="133"/>
        <v/>
      </c>
      <c r="U402" s="275"/>
      <c r="V402" s="288"/>
      <c r="W402" s="288"/>
      <c r="X402" s="288"/>
      <c r="Y402" s="908">
        <f t="shared" si="150"/>
        <v>0</v>
      </c>
      <c r="Z402" s="986">
        <f>tab!$D$62</f>
        <v>0.6</v>
      </c>
      <c r="AA402" s="944">
        <f t="shared" si="135"/>
        <v>0</v>
      </c>
      <c r="AB402" s="944">
        <f t="shared" si="136"/>
        <v>0</v>
      </c>
      <c r="AC402" s="944">
        <f t="shared" si="137"/>
        <v>0</v>
      </c>
      <c r="AD402" s="943" t="e">
        <f t="shared" si="138"/>
        <v>#VALUE!</v>
      </c>
      <c r="AE402" s="943">
        <f t="shared" si="139"/>
        <v>0</v>
      </c>
      <c r="AF402" s="916">
        <f>IF(H402&gt;8,tab!$D$63,tab!$D$65)</f>
        <v>0.5</v>
      </c>
      <c r="AG402" s="925">
        <f t="shared" si="140"/>
        <v>0</v>
      </c>
      <c r="AH402" s="940">
        <f t="shared" si="141"/>
        <v>0</v>
      </c>
      <c r="AI402" s="924" t="e">
        <f>DATE(YEAR(tab!$H$3),MONTH(G402),DAY(G402))&gt;tab!$H$3</f>
        <v>#VALUE!</v>
      </c>
      <c r="AJ402" s="924" t="e">
        <f t="shared" si="147"/>
        <v>#VALUE!</v>
      </c>
      <c r="AK402" s="884">
        <f t="shared" si="142"/>
        <v>30</v>
      </c>
      <c r="AL402" s="884">
        <f t="shared" si="148"/>
        <v>30</v>
      </c>
      <c r="AM402" s="925">
        <f t="shared" si="151"/>
        <v>0</v>
      </c>
    </row>
    <row r="403" spans="3:39" x14ac:dyDescent="0.2">
      <c r="C403" s="69"/>
      <c r="D403" s="75" t="str">
        <f>IF(op!D336=0,"",op!D336)</f>
        <v/>
      </c>
      <c r="E403" s="75" t="str">
        <f>IF(op!E336=0,"-",op!E336)</f>
        <v/>
      </c>
      <c r="F403" s="88" t="str">
        <f>IF(op!F336="","",op!F336+1)</f>
        <v/>
      </c>
      <c r="G403" s="290" t="str">
        <f>IF(op!G336="","",op!G336)</f>
        <v/>
      </c>
      <c r="H403" s="88" t="str">
        <f>IF(op!H336=0,"",op!H336)</f>
        <v/>
      </c>
      <c r="I403" s="99" t="str">
        <f>IF(J403="","",(IF(op!I336+1&gt;LOOKUP(H403,schaal2019,regels2019),op!I336,op!I336+1)))</f>
        <v/>
      </c>
      <c r="J403" s="291" t="str">
        <f>IF(op!J336="","",op!J336)</f>
        <v/>
      </c>
      <c r="K403" s="971"/>
      <c r="L403" s="859">
        <f t="shared" si="152"/>
        <v>0</v>
      </c>
      <c r="M403" s="859">
        <f t="shared" si="152"/>
        <v>0</v>
      </c>
      <c r="N403" s="867" t="str">
        <f t="shared" si="144"/>
        <v/>
      </c>
      <c r="O403" s="867" t="str">
        <f t="shared" si="145"/>
        <v/>
      </c>
      <c r="P403" s="953" t="str">
        <f t="shared" si="131"/>
        <v/>
      </c>
      <c r="Q403" s="70"/>
      <c r="R403" s="739" t="str">
        <f t="shared" si="146"/>
        <v/>
      </c>
      <c r="S403" s="739" t="str">
        <f t="shared" si="132"/>
        <v/>
      </c>
      <c r="T403" s="740" t="str">
        <f t="shared" si="133"/>
        <v/>
      </c>
      <c r="U403" s="275"/>
      <c r="V403" s="288"/>
      <c r="W403" s="288"/>
      <c r="X403" s="288"/>
      <c r="Y403" s="908">
        <f t="shared" si="150"/>
        <v>0</v>
      </c>
      <c r="Z403" s="986">
        <f>tab!$D$62</f>
        <v>0.6</v>
      </c>
      <c r="AA403" s="944">
        <f t="shared" si="135"/>
        <v>0</v>
      </c>
      <c r="AB403" s="944">
        <f t="shared" si="136"/>
        <v>0</v>
      </c>
      <c r="AC403" s="944">
        <f t="shared" si="137"/>
        <v>0</v>
      </c>
      <c r="AD403" s="943" t="e">
        <f t="shared" si="138"/>
        <v>#VALUE!</v>
      </c>
      <c r="AE403" s="943">
        <f t="shared" si="139"/>
        <v>0</v>
      </c>
      <c r="AF403" s="916">
        <f>IF(H403&gt;8,tab!$D$63,tab!$D$65)</f>
        <v>0.5</v>
      </c>
      <c r="AG403" s="925">
        <f t="shared" si="140"/>
        <v>0</v>
      </c>
      <c r="AH403" s="940">
        <f t="shared" si="141"/>
        <v>0</v>
      </c>
      <c r="AI403" s="924" t="e">
        <f>DATE(YEAR(tab!$H$3),MONTH(G403),DAY(G403))&gt;tab!$H$3</f>
        <v>#VALUE!</v>
      </c>
      <c r="AJ403" s="924" t="e">
        <f t="shared" si="147"/>
        <v>#VALUE!</v>
      </c>
      <c r="AK403" s="884">
        <f t="shared" si="142"/>
        <v>30</v>
      </c>
      <c r="AL403" s="884">
        <f t="shared" si="148"/>
        <v>30</v>
      </c>
      <c r="AM403" s="925">
        <f t="shared" si="151"/>
        <v>0</v>
      </c>
    </row>
    <row r="404" spans="3:39" x14ac:dyDescent="0.2">
      <c r="C404" s="69"/>
      <c r="D404" s="75" t="str">
        <f>IF(op!D337=0,"",op!D337)</f>
        <v/>
      </c>
      <c r="E404" s="75" t="str">
        <f>IF(op!E337=0,"-",op!E337)</f>
        <v/>
      </c>
      <c r="F404" s="88" t="str">
        <f>IF(op!F337="","",op!F337+1)</f>
        <v/>
      </c>
      <c r="G404" s="290" t="str">
        <f>IF(op!G337="","",op!G337)</f>
        <v/>
      </c>
      <c r="H404" s="88" t="str">
        <f>IF(op!H337=0,"",op!H337)</f>
        <v/>
      </c>
      <c r="I404" s="99" t="str">
        <f>IF(J404="","",(IF(op!I337+1&gt;LOOKUP(H404,schaal2019,regels2019),op!I337,op!I337+1)))</f>
        <v/>
      </c>
      <c r="J404" s="291" t="str">
        <f>IF(op!J337="","",op!J337)</f>
        <v/>
      </c>
      <c r="K404" s="971"/>
      <c r="L404" s="859">
        <f t="shared" si="152"/>
        <v>0</v>
      </c>
      <c r="M404" s="859">
        <f t="shared" si="152"/>
        <v>0</v>
      </c>
      <c r="N404" s="867" t="str">
        <f t="shared" si="144"/>
        <v/>
      </c>
      <c r="O404" s="867" t="str">
        <f t="shared" si="145"/>
        <v/>
      </c>
      <c r="P404" s="953" t="str">
        <f t="shared" si="131"/>
        <v/>
      </c>
      <c r="Q404" s="70"/>
      <c r="R404" s="739" t="str">
        <f t="shared" si="146"/>
        <v/>
      </c>
      <c r="S404" s="739" t="str">
        <f t="shared" si="132"/>
        <v/>
      </c>
      <c r="T404" s="740" t="str">
        <f t="shared" si="133"/>
        <v/>
      </c>
      <c r="U404" s="275"/>
      <c r="V404" s="288"/>
      <c r="W404" s="288"/>
      <c r="X404" s="288"/>
      <c r="Y404" s="908">
        <f t="shared" si="150"/>
        <v>0</v>
      </c>
      <c r="Z404" s="986">
        <f>tab!$D$62</f>
        <v>0.6</v>
      </c>
      <c r="AA404" s="944">
        <f t="shared" si="135"/>
        <v>0</v>
      </c>
      <c r="AB404" s="944">
        <f t="shared" si="136"/>
        <v>0</v>
      </c>
      <c r="AC404" s="944">
        <f t="shared" si="137"/>
        <v>0</v>
      </c>
      <c r="AD404" s="943" t="e">
        <f t="shared" si="138"/>
        <v>#VALUE!</v>
      </c>
      <c r="AE404" s="943">
        <f t="shared" si="139"/>
        <v>0</v>
      </c>
      <c r="AF404" s="916">
        <f>IF(H404&gt;8,tab!$D$63,tab!$D$65)</f>
        <v>0.5</v>
      </c>
      <c r="AG404" s="925">
        <f t="shared" si="140"/>
        <v>0</v>
      </c>
      <c r="AH404" s="940">
        <f t="shared" si="141"/>
        <v>0</v>
      </c>
      <c r="AI404" s="924" t="e">
        <f>DATE(YEAR(tab!$H$3),MONTH(G404),DAY(G404))&gt;tab!$H$3</f>
        <v>#VALUE!</v>
      </c>
      <c r="AJ404" s="924" t="e">
        <f t="shared" si="147"/>
        <v>#VALUE!</v>
      </c>
      <c r="AK404" s="884">
        <f t="shared" si="142"/>
        <v>30</v>
      </c>
      <c r="AL404" s="884">
        <f t="shared" si="148"/>
        <v>30</v>
      </c>
      <c r="AM404" s="925">
        <f t="shared" si="151"/>
        <v>0</v>
      </c>
    </row>
    <row r="405" spans="3:39" x14ac:dyDescent="0.2">
      <c r="C405" s="69"/>
      <c r="D405" s="75" t="str">
        <f>IF(op!D338=0,"",op!D338)</f>
        <v/>
      </c>
      <c r="E405" s="75" t="str">
        <f>IF(op!E338=0,"-",op!E338)</f>
        <v/>
      </c>
      <c r="F405" s="88" t="str">
        <f>IF(op!F338="","",op!F338+1)</f>
        <v/>
      </c>
      <c r="G405" s="290" t="str">
        <f>IF(op!G338="","",op!G338)</f>
        <v/>
      </c>
      <c r="H405" s="88" t="str">
        <f>IF(op!H338=0,"",op!H338)</f>
        <v/>
      </c>
      <c r="I405" s="99" t="str">
        <f>IF(J405="","",(IF(op!I338+1&gt;LOOKUP(H405,schaal2019,regels2019),op!I338,op!I338+1)))</f>
        <v/>
      </c>
      <c r="J405" s="291" t="str">
        <f>IF(op!J338="","",op!J338)</f>
        <v/>
      </c>
      <c r="K405" s="971"/>
      <c r="L405" s="859">
        <f t="shared" si="152"/>
        <v>0</v>
      </c>
      <c r="M405" s="859">
        <f t="shared" si="152"/>
        <v>0</v>
      </c>
      <c r="N405" s="867" t="str">
        <f t="shared" si="144"/>
        <v/>
      </c>
      <c r="O405" s="867" t="str">
        <f t="shared" si="145"/>
        <v/>
      </c>
      <c r="P405" s="953" t="str">
        <f t="shared" si="131"/>
        <v/>
      </c>
      <c r="Q405" s="70"/>
      <c r="R405" s="739" t="str">
        <f t="shared" si="146"/>
        <v/>
      </c>
      <c r="S405" s="739" t="str">
        <f t="shared" si="132"/>
        <v/>
      </c>
      <c r="T405" s="740" t="str">
        <f t="shared" si="133"/>
        <v/>
      </c>
      <c r="U405" s="275"/>
      <c r="V405" s="288"/>
      <c r="W405" s="288"/>
      <c r="X405" s="288"/>
      <c r="Y405" s="908">
        <f t="shared" si="150"/>
        <v>0</v>
      </c>
      <c r="Z405" s="986">
        <f>tab!$D$62</f>
        <v>0.6</v>
      </c>
      <c r="AA405" s="944">
        <f t="shared" si="135"/>
        <v>0</v>
      </c>
      <c r="AB405" s="944">
        <f t="shared" si="136"/>
        <v>0</v>
      </c>
      <c r="AC405" s="944">
        <f t="shared" si="137"/>
        <v>0</v>
      </c>
      <c r="AD405" s="943" t="e">
        <f t="shared" si="138"/>
        <v>#VALUE!</v>
      </c>
      <c r="AE405" s="943">
        <f t="shared" si="139"/>
        <v>0</v>
      </c>
      <c r="AF405" s="916">
        <f>IF(H405&gt;8,tab!$D$63,tab!$D$65)</f>
        <v>0.5</v>
      </c>
      <c r="AG405" s="925">
        <f t="shared" si="140"/>
        <v>0</v>
      </c>
      <c r="AH405" s="940">
        <f t="shared" si="141"/>
        <v>0</v>
      </c>
      <c r="AI405" s="924" t="e">
        <f>DATE(YEAR(tab!$H$3),MONTH(G405),DAY(G405))&gt;tab!$H$3</f>
        <v>#VALUE!</v>
      </c>
      <c r="AJ405" s="924" t="e">
        <f t="shared" si="147"/>
        <v>#VALUE!</v>
      </c>
      <c r="AK405" s="884">
        <f t="shared" si="142"/>
        <v>30</v>
      </c>
      <c r="AL405" s="884">
        <f t="shared" si="148"/>
        <v>30</v>
      </c>
      <c r="AM405" s="925">
        <f t="shared" si="151"/>
        <v>0</v>
      </c>
    </row>
    <row r="406" spans="3:39" x14ac:dyDescent="0.2">
      <c r="C406" s="69"/>
      <c r="D406" s="75" t="str">
        <f>IF(op!D339=0,"",op!D339)</f>
        <v/>
      </c>
      <c r="E406" s="75" t="str">
        <f>IF(op!E339=0,"-",op!E339)</f>
        <v/>
      </c>
      <c r="F406" s="88" t="str">
        <f>IF(op!F339="","",op!F339+1)</f>
        <v/>
      </c>
      <c r="G406" s="290" t="str">
        <f>IF(op!G339="","",op!G339)</f>
        <v/>
      </c>
      <c r="H406" s="88" t="str">
        <f>IF(op!H339=0,"",op!H339)</f>
        <v/>
      </c>
      <c r="I406" s="99" t="str">
        <f>IF(J406="","",(IF(op!I339+1&gt;LOOKUP(H406,schaal2019,regels2019),op!I339,op!I339+1)))</f>
        <v/>
      </c>
      <c r="J406" s="291" t="str">
        <f>IF(op!J339="","",op!J339)</f>
        <v/>
      </c>
      <c r="K406" s="971"/>
      <c r="L406" s="859">
        <f t="shared" si="152"/>
        <v>0</v>
      </c>
      <c r="M406" s="859">
        <f t="shared" si="152"/>
        <v>0</v>
      </c>
      <c r="N406" s="867" t="str">
        <f t="shared" si="144"/>
        <v/>
      </c>
      <c r="O406" s="867" t="str">
        <f t="shared" si="145"/>
        <v/>
      </c>
      <c r="P406" s="953" t="str">
        <f t="shared" si="131"/>
        <v/>
      </c>
      <c r="Q406" s="70"/>
      <c r="R406" s="739" t="str">
        <f t="shared" si="146"/>
        <v/>
      </c>
      <c r="S406" s="739" t="str">
        <f t="shared" si="132"/>
        <v/>
      </c>
      <c r="T406" s="740" t="str">
        <f t="shared" si="133"/>
        <v/>
      </c>
      <c r="U406" s="275"/>
      <c r="V406" s="288"/>
      <c r="W406" s="288"/>
      <c r="X406" s="288"/>
      <c r="Y406" s="908">
        <f t="shared" si="150"/>
        <v>0</v>
      </c>
      <c r="Z406" s="986">
        <f>tab!$D$62</f>
        <v>0.6</v>
      </c>
      <c r="AA406" s="944">
        <f t="shared" si="135"/>
        <v>0</v>
      </c>
      <c r="AB406" s="944">
        <f t="shared" si="136"/>
        <v>0</v>
      </c>
      <c r="AC406" s="944">
        <f t="shared" si="137"/>
        <v>0</v>
      </c>
      <c r="AD406" s="943" t="e">
        <f t="shared" si="138"/>
        <v>#VALUE!</v>
      </c>
      <c r="AE406" s="943">
        <f t="shared" si="139"/>
        <v>0</v>
      </c>
      <c r="AF406" s="916">
        <f>IF(H406&gt;8,tab!$D$63,tab!$D$65)</f>
        <v>0.5</v>
      </c>
      <c r="AG406" s="925">
        <f t="shared" si="140"/>
        <v>0</v>
      </c>
      <c r="AH406" s="940">
        <f t="shared" si="141"/>
        <v>0</v>
      </c>
      <c r="AI406" s="924" t="e">
        <f>DATE(YEAR(tab!$H$3),MONTH(G406),DAY(G406))&gt;tab!$H$3</f>
        <v>#VALUE!</v>
      </c>
      <c r="AJ406" s="924" t="e">
        <f t="shared" si="147"/>
        <v>#VALUE!</v>
      </c>
      <c r="AK406" s="884">
        <f t="shared" si="142"/>
        <v>30</v>
      </c>
      <c r="AL406" s="884">
        <f t="shared" si="148"/>
        <v>30</v>
      </c>
      <c r="AM406" s="925">
        <f t="shared" si="151"/>
        <v>0</v>
      </c>
    </row>
    <row r="407" spans="3:39" x14ac:dyDescent="0.2">
      <c r="C407" s="76"/>
      <c r="D407" s="172"/>
      <c r="E407" s="345"/>
      <c r="F407" s="345"/>
      <c r="G407" s="346"/>
      <c r="H407" s="345"/>
      <c r="I407" s="347"/>
      <c r="J407" s="755">
        <f>SUM(J352:J406)</f>
        <v>0.1</v>
      </c>
      <c r="K407" s="972"/>
      <c r="L407" s="942">
        <f>SUM(L352:L406)</f>
        <v>0</v>
      </c>
      <c r="M407" s="942">
        <f>SUM(M352:M406)</f>
        <v>0</v>
      </c>
      <c r="N407" s="942">
        <f>SUM(N352:N406)</f>
        <v>4</v>
      </c>
      <c r="O407" s="942">
        <f>SUM(O352:O406)</f>
        <v>0</v>
      </c>
      <c r="P407" s="942">
        <f>SUM(P352:P406)</f>
        <v>4</v>
      </c>
      <c r="Q407" s="172"/>
      <c r="R407" s="756">
        <f>SUM(R352:R406)</f>
        <v>7326.1945750452078</v>
      </c>
      <c r="S407" s="756">
        <f>SUM(S352:S406)</f>
        <v>181.00542495479203</v>
      </c>
      <c r="T407" s="756">
        <f>SUM(T352:T406)</f>
        <v>7507.2</v>
      </c>
      <c r="U407" s="81"/>
      <c r="Y407" s="909">
        <f>SUM(Y352:Y406)</f>
        <v>3910</v>
      </c>
      <c r="AA407" s="909"/>
      <c r="AB407" s="909">
        <f>SUM(AB352:AB406)</f>
        <v>45.251356238698008</v>
      </c>
      <c r="AC407" s="909"/>
      <c r="AF407" s="927"/>
      <c r="AG407" s="928">
        <f>SUM(AG352:AG406)</f>
        <v>0</v>
      </c>
      <c r="AH407" s="937">
        <f>SUM(AH352:AH406)</f>
        <v>0</v>
      </c>
      <c r="AI407" s="926"/>
      <c r="AJ407" s="926"/>
    </row>
    <row r="408" spans="3:39" x14ac:dyDescent="0.2">
      <c r="H408" s="127"/>
      <c r="K408" s="973"/>
      <c r="Q408" s="209"/>
      <c r="R408" s="348"/>
      <c r="S408" s="328"/>
      <c r="Y408" s="881"/>
      <c r="AA408" s="909"/>
      <c r="AB408" s="909"/>
      <c r="AC408" s="909"/>
      <c r="AF408" s="927"/>
      <c r="AG408" s="928"/>
      <c r="AH408" s="937"/>
    </row>
    <row r="411" spans="3:39" x14ac:dyDescent="0.2">
      <c r="C411" s="48" t="s">
        <v>165</v>
      </c>
      <c r="E411" s="327" t="str">
        <f>dir!E145</f>
        <v>2025/26</v>
      </c>
    </row>
    <row r="412" spans="3:39" x14ac:dyDescent="0.2">
      <c r="C412" s="48" t="s">
        <v>187</v>
      </c>
      <c r="E412" s="327">
        <f>dir!E146</f>
        <v>45931</v>
      </c>
    </row>
    <row r="414" spans="3:39" x14ac:dyDescent="0.2">
      <c r="C414" s="341"/>
      <c r="D414" s="724"/>
      <c r="E414" s="723"/>
      <c r="F414" s="704"/>
      <c r="G414" s="725"/>
      <c r="H414" s="726"/>
      <c r="I414" s="726"/>
      <c r="J414" s="727"/>
      <c r="K414" s="967"/>
      <c r="L414" s="816"/>
      <c r="M414" s="816"/>
      <c r="N414" s="816"/>
      <c r="O414" s="816"/>
      <c r="P414" s="950"/>
      <c r="Q414" s="728"/>
      <c r="R414" s="728"/>
      <c r="S414" s="728"/>
      <c r="T414" s="729"/>
      <c r="U414" s="710"/>
    </row>
    <row r="415" spans="3:39" x14ac:dyDescent="0.2">
      <c r="C415" s="135"/>
      <c r="D415" s="864" t="s">
        <v>298</v>
      </c>
      <c r="E415" s="865"/>
      <c r="F415" s="865"/>
      <c r="G415" s="865"/>
      <c r="H415" s="866"/>
      <c r="I415" s="866"/>
      <c r="J415" s="866"/>
      <c r="K415" s="968"/>
      <c r="L415" s="864" t="s">
        <v>492</v>
      </c>
      <c r="M415" s="858"/>
      <c r="N415" s="864"/>
      <c r="O415" s="864"/>
      <c r="P415" s="951"/>
      <c r="Q415" s="730"/>
      <c r="R415" s="864" t="s">
        <v>494</v>
      </c>
      <c r="S415" s="866"/>
      <c r="T415" s="935"/>
      <c r="U415" s="746"/>
      <c r="Y415" s="882"/>
      <c r="Z415" s="913"/>
      <c r="AD415" s="912"/>
      <c r="AE415" s="912"/>
      <c r="AF415" s="913"/>
      <c r="AG415" s="933"/>
      <c r="AH415" s="941"/>
      <c r="AI415" s="923"/>
      <c r="AJ415" s="923"/>
      <c r="AK415" s="923"/>
      <c r="AL415" s="923"/>
      <c r="AM415" s="923"/>
    </row>
    <row r="416" spans="3:39" x14ac:dyDescent="0.2">
      <c r="C416" s="135"/>
      <c r="D416" s="693" t="s">
        <v>480</v>
      </c>
      <c r="E416" s="693" t="s">
        <v>171</v>
      </c>
      <c r="F416" s="732" t="s">
        <v>119</v>
      </c>
      <c r="G416" s="733" t="s">
        <v>289</v>
      </c>
      <c r="H416" s="732" t="s">
        <v>201</v>
      </c>
      <c r="I416" s="732" t="s">
        <v>229</v>
      </c>
      <c r="J416" s="734" t="s">
        <v>122</v>
      </c>
      <c r="K416" s="969"/>
      <c r="L416" s="735" t="s">
        <v>475</v>
      </c>
      <c r="M416" s="735" t="s">
        <v>468</v>
      </c>
      <c r="N416" s="735" t="s">
        <v>482</v>
      </c>
      <c r="O416" s="735" t="s">
        <v>475</v>
      </c>
      <c r="P416" s="952" t="s">
        <v>487</v>
      </c>
      <c r="Q416" s="702"/>
      <c r="R416" s="863" t="s">
        <v>186</v>
      </c>
      <c r="S416" s="737" t="s">
        <v>493</v>
      </c>
      <c r="T416" s="738" t="s">
        <v>186</v>
      </c>
      <c r="U416" s="747"/>
      <c r="Y416" s="914" t="s">
        <v>322</v>
      </c>
      <c r="Z416" s="960" t="s">
        <v>479</v>
      </c>
      <c r="AA416" s="903" t="s">
        <v>488</v>
      </c>
      <c r="AB416" s="903" t="s">
        <v>488</v>
      </c>
      <c r="AC416" s="903" t="s">
        <v>491</v>
      </c>
      <c r="AD416" s="915" t="s">
        <v>473</v>
      </c>
      <c r="AE416" s="915" t="s">
        <v>474</v>
      </c>
      <c r="AF416" s="902" t="s">
        <v>470</v>
      </c>
      <c r="AG416" s="934" t="s">
        <v>306</v>
      </c>
      <c r="AH416" s="941" t="s">
        <v>415</v>
      </c>
      <c r="AI416" s="902" t="s">
        <v>292</v>
      </c>
      <c r="AJ416" s="902" t="s">
        <v>293</v>
      </c>
      <c r="AK416" s="902" t="s">
        <v>121</v>
      </c>
      <c r="AL416" s="902" t="s">
        <v>198</v>
      </c>
      <c r="AM416" s="915" t="s">
        <v>173</v>
      </c>
    </row>
    <row r="417" spans="3:39" x14ac:dyDescent="0.2">
      <c r="C417" s="135"/>
      <c r="D417" s="865"/>
      <c r="E417" s="693"/>
      <c r="F417" s="732" t="s">
        <v>120</v>
      </c>
      <c r="G417" s="733" t="s">
        <v>290</v>
      </c>
      <c r="H417" s="732"/>
      <c r="I417" s="732"/>
      <c r="J417" s="734"/>
      <c r="K417" s="969"/>
      <c r="L417" s="735" t="s">
        <v>476</v>
      </c>
      <c r="M417" s="735" t="s">
        <v>478</v>
      </c>
      <c r="N417" s="735" t="s">
        <v>483</v>
      </c>
      <c r="O417" s="735" t="s">
        <v>477</v>
      </c>
      <c r="P417" s="952" t="s">
        <v>284</v>
      </c>
      <c r="Q417" s="702"/>
      <c r="R417" s="706" t="s">
        <v>485</v>
      </c>
      <c r="S417" s="737" t="s">
        <v>469</v>
      </c>
      <c r="T417" s="738" t="s">
        <v>284</v>
      </c>
      <c r="U417" s="710"/>
      <c r="Y417" s="914" t="s">
        <v>193</v>
      </c>
      <c r="Z417" s="961">
        <f>tab!$D$62</f>
        <v>0.6</v>
      </c>
      <c r="AA417" s="903" t="s">
        <v>489</v>
      </c>
      <c r="AB417" s="903" t="s">
        <v>490</v>
      </c>
      <c r="AC417" s="903" t="s">
        <v>486</v>
      </c>
      <c r="AD417" s="915" t="s">
        <v>472</v>
      </c>
      <c r="AE417" s="915" t="s">
        <v>472</v>
      </c>
      <c r="AF417" s="902" t="s">
        <v>471</v>
      </c>
      <c r="AG417" s="934"/>
      <c r="AH417" s="940" t="s">
        <v>228</v>
      </c>
      <c r="AI417" s="915" t="s">
        <v>291</v>
      </c>
      <c r="AJ417" s="915" t="s">
        <v>291</v>
      </c>
      <c r="AK417" s="902"/>
      <c r="AL417" s="902" t="s">
        <v>173</v>
      </c>
      <c r="AM417" s="915"/>
    </row>
    <row r="418" spans="3:39" x14ac:dyDescent="0.2">
      <c r="C418" s="69"/>
      <c r="D418" s="865"/>
      <c r="E418" s="865"/>
      <c r="F418" s="703"/>
      <c r="G418" s="748"/>
      <c r="H418" s="732"/>
      <c r="I418" s="732"/>
      <c r="J418" s="734"/>
      <c r="K418" s="970"/>
      <c r="L418" s="735"/>
      <c r="M418" s="735"/>
      <c r="N418" s="735"/>
      <c r="O418" s="735"/>
      <c r="P418" s="952"/>
      <c r="Q418" s="865"/>
      <c r="R418" s="749"/>
      <c r="S418" s="749"/>
      <c r="T418" s="750"/>
      <c r="U418" s="710"/>
      <c r="Y418" s="914"/>
      <c r="Z418" s="901"/>
      <c r="AA418" s="901"/>
      <c r="AB418" s="901"/>
      <c r="AC418" s="901"/>
      <c r="AD418" s="915"/>
      <c r="AE418" s="915"/>
      <c r="AF418" s="901"/>
      <c r="AG418" s="934"/>
      <c r="AH418" s="940"/>
      <c r="AM418" s="915"/>
    </row>
    <row r="419" spans="3:39" x14ac:dyDescent="0.2">
      <c r="C419" s="69"/>
      <c r="D419" s="75" t="str">
        <f>IF(op!D352=0,"",op!D352)</f>
        <v/>
      </c>
      <c r="E419" s="75" t="str">
        <f>IF(op!E352=0,"-",op!E352)</f>
        <v>nn</v>
      </c>
      <c r="F419" s="88">
        <f>IF(op!F352="","",op!F352+1)</f>
        <v>31</v>
      </c>
      <c r="G419" s="290">
        <f>IF(op!G352="","",op!G352)</f>
        <v>27395</v>
      </c>
      <c r="H419" s="88" t="str">
        <f>IF(op!H352=0,"",op!H352)</f>
        <v>L10</v>
      </c>
      <c r="I419" s="99">
        <f>IF(J419="","",(IF(op!I352+1&gt;LOOKUP(H419,schaal2019,regels2019),op!I352,op!I352+1)))</f>
        <v>15</v>
      </c>
      <c r="J419" s="291">
        <f>IF(op!J352="","",op!J352)</f>
        <v>0.1</v>
      </c>
      <c r="K419" s="971"/>
      <c r="L419" s="859">
        <f t="shared" ref="L419:M438" si="153">IF(L352="","",L352)</f>
        <v>0</v>
      </c>
      <c r="M419" s="859">
        <f t="shared" si="153"/>
        <v>0</v>
      </c>
      <c r="N419" s="867">
        <f>IF(J419="","",IF((J419*40)&gt;40,40,((J419*40))))</f>
        <v>4</v>
      </c>
      <c r="O419" s="867">
        <f>IF(J419="","",IF(I419&lt;4,(40*J419),0))</f>
        <v>0</v>
      </c>
      <c r="P419" s="953">
        <f t="shared" ref="P419:P473" si="154">IF(J419="","",(SUM(L419:O419)))</f>
        <v>4</v>
      </c>
      <c r="Q419" s="70"/>
      <c r="R419" s="739">
        <f>IF(J419="","",(((1659*J419)-P419)*AB419))</f>
        <v>7326.1945750452078</v>
      </c>
      <c r="S419" s="739">
        <f t="shared" ref="S419:S473" si="155">IF(J419="","",(P419*AC419)+(AA419*AD419)+((AE419*AA419*(1-AF419))))</f>
        <v>181.00542495479203</v>
      </c>
      <c r="T419" s="740">
        <f t="shared" ref="T419:T473" si="156">IF(J419="","",(R419+S419))</f>
        <v>7507.2</v>
      </c>
      <c r="U419" s="275"/>
      <c r="V419" s="288"/>
      <c r="W419" s="288"/>
      <c r="X419" s="288"/>
      <c r="Y419" s="908">
        <f t="shared" ref="Y419:Y450" si="157">IF(H419="",0,VLOOKUP(H419,salaris2020,I419+1,FALSE))</f>
        <v>3910</v>
      </c>
      <c r="Z419" s="986">
        <f>tab!$D$62</f>
        <v>0.6</v>
      </c>
      <c r="AA419" s="944">
        <f t="shared" ref="AA419:AA473" si="158">(Y419*12/1659)</f>
        <v>28.282097649186255</v>
      </c>
      <c r="AB419" s="944">
        <f t="shared" ref="AB419:AB473" si="159">(Y419*12*(1+Z419))/1659</f>
        <v>45.251356238698008</v>
      </c>
      <c r="AC419" s="944">
        <f t="shared" ref="AC419:AC473" si="160">AB419-AA419</f>
        <v>16.969258589511753</v>
      </c>
      <c r="AD419" s="943">
        <f t="shared" ref="AD419:AD473" si="161">(N419+O419)</f>
        <v>4</v>
      </c>
      <c r="AE419" s="943">
        <f t="shared" ref="AE419:AE473" si="162">(L419+M419)</f>
        <v>0</v>
      </c>
      <c r="AF419" s="916">
        <f>IF(H419&gt;8,tab!$D$63,tab!$D$65)</f>
        <v>0.5</v>
      </c>
      <c r="AG419" s="925">
        <f t="shared" ref="AG419:AG473" si="163">IF(F419&lt;25,0,IF(F419=25,25,IF(F419&lt;40,0,IF(F419=40,40,IF(F419&gt;=40,0)))))</f>
        <v>0</v>
      </c>
      <c r="AH419" s="940">
        <f t="shared" ref="AH419:AH473" si="164">IF(AG419=25,(Y419*1.08*(J419)/2),IF(AG419=40,(Y419*1.08*(J419)),IF(AG419=0,0)))</f>
        <v>0</v>
      </c>
      <c r="AI419" s="924" t="b">
        <f>DATE(YEAR(tab!$H$3),MONTH(G419),DAY(G419))&gt;tab!$H$3</f>
        <v>0</v>
      </c>
      <c r="AJ419" s="925">
        <f t="shared" ref="AJ419:AJ473" si="165">YEAR($E$211)-YEAR(G419)-AI419</f>
        <v>47</v>
      </c>
      <c r="AK419" s="884">
        <f t="shared" ref="AK419:AK473" si="166">IF((G419=""),30,AJ419)</f>
        <v>47</v>
      </c>
      <c r="AL419" s="884">
        <f>IF((AK419)&gt;50,50,(AK419))</f>
        <v>47</v>
      </c>
      <c r="AM419" s="925">
        <f t="shared" ref="AM419:AM450" si="167">ROUND((AL419*(SUM(J419:J419))),2)</f>
        <v>4.7</v>
      </c>
    </row>
    <row r="420" spans="3:39" x14ac:dyDescent="0.2">
      <c r="C420" s="69"/>
      <c r="D420" s="75" t="str">
        <f>IF(op!D353=0,"",op!D353)</f>
        <v/>
      </c>
      <c r="E420" s="75" t="str">
        <f>IF(op!E353=0,"-",op!E353)</f>
        <v/>
      </c>
      <c r="F420" s="88" t="str">
        <f>IF(op!F353="","",op!F353+1)</f>
        <v/>
      </c>
      <c r="G420" s="290" t="str">
        <f>IF(op!G353="","",op!G353)</f>
        <v/>
      </c>
      <c r="H420" s="88" t="str">
        <f>IF(op!H353=0,"",op!H353)</f>
        <v/>
      </c>
      <c r="I420" s="99" t="str">
        <f>IF(J420="","",(IF(op!I353+1&gt;LOOKUP(H420,schaal2019,regels2019),op!I353,op!I353+1)))</f>
        <v/>
      </c>
      <c r="J420" s="291" t="str">
        <f>IF(op!J353="","",op!J353)</f>
        <v/>
      </c>
      <c r="K420" s="971"/>
      <c r="L420" s="859">
        <f t="shared" si="153"/>
        <v>0</v>
      </c>
      <c r="M420" s="859">
        <f t="shared" si="153"/>
        <v>0</v>
      </c>
      <c r="N420" s="867" t="str">
        <f t="shared" ref="N420:N473" si="168">IF(J420="","",IF((J420*40)&gt;40,40,((J420*40))))</f>
        <v/>
      </c>
      <c r="O420" s="867" t="str">
        <f t="shared" ref="O420:O473" si="169">IF(J420="","",IF(I420&lt;4,(40*J420),0))</f>
        <v/>
      </c>
      <c r="P420" s="953" t="str">
        <f t="shared" si="154"/>
        <v/>
      </c>
      <c r="Q420" s="70"/>
      <c r="R420" s="739" t="str">
        <f t="shared" ref="R420:R473" si="170">IF(J420="","",(((1659*J420)-P420)*AB420))</f>
        <v/>
      </c>
      <c r="S420" s="739" t="str">
        <f t="shared" si="155"/>
        <v/>
      </c>
      <c r="T420" s="740" t="str">
        <f t="shared" si="156"/>
        <v/>
      </c>
      <c r="U420" s="275"/>
      <c r="V420" s="288"/>
      <c r="W420" s="288"/>
      <c r="X420" s="288"/>
      <c r="Y420" s="908">
        <f t="shared" si="157"/>
        <v>0</v>
      </c>
      <c r="Z420" s="986">
        <f>tab!$D$62</f>
        <v>0.6</v>
      </c>
      <c r="AA420" s="944">
        <f t="shared" si="158"/>
        <v>0</v>
      </c>
      <c r="AB420" s="944">
        <f t="shared" si="159"/>
        <v>0</v>
      </c>
      <c r="AC420" s="944">
        <f t="shared" si="160"/>
        <v>0</v>
      </c>
      <c r="AD420" s="943" t="e">
        <f t="shared" si="161"/>
        <v>#VALUE!</v>
      </c>
      <c r="AE420" s="943">
        <f t="shared" si="162"/>
        <v>0</v>
      </c>
      <c r="AF420" s="916">
        <f>IF(H420&gt;8,tab!$D$63,tab!$D$65)</f>
        <v>0.5</v>
      </c>
      <c r="AG420" s="925">
        <f t="shared" si="163"/>
        <v>0</v>
      </c>
      <c r="AH420" s="940">
        <f t="shared" si="164"/>
        <v>0</v>
      </c>
      <c r="AI420" s="924" t="e">
        <f>DATE(YEAR(tab!$H$3),MONTH(G420),DAY(G420))&gt;tab!$H$3</f>
        <v>#VALUE!</v>
      </c>
      <c r="AJ420" s="924" t="e">
        <f t="shared" si="165"/>
        <v>#VALUE!</v>
      </c>
      <c r="AK420" s="884">
        <f t="shared" si="166"/>
        <v>30</v>
      </c>
      <c r="AL420" s="884">
        <f t="shared" ref="AL420:AL473" si="171">IF((AK420)&gt;50,50,(AK420))</f>
        <v>30</v>
      </c>
      <c r="AM420" s="925">
        <f t="shared" si="167"/>
        <v>0</v>
      </c>
    </row>
    <row r="421" spans="3:39" x14ac:dyDescent="0.2">
      <c r="C421" s="69"/>
      <c r="D421" s="75" t="str">
        <f>IF(op!D354=0,"",op!D354)</f>
        <v/>
      </c>
      <c r="E421" s="75" t="str">
        <f>IF(op!E354=0,"-",op!E354)</f>
        <v/>
      </c>
      <c r="F421" s="88" t="str">
        <f>IF(op!F354="","",op!F354+1)</f>
        <v/>
      </c>
      <c r="G421" s="290" t="str">
        <f>IF(op!G354="","",op!G354)</f>
        <v/>
      </c>
      <c r="H421" s="88" t="str">
        <f>IF(op!H354=0,"",op!H354)</f>
        <v/>
      </c>
      <c r="I421" s="99" t="str">
        <f>IF(J421="","",(IF(op!I354+1&gt;LOOKUP(H421,schaal2019,regels2019),op!I354,op!I354+1)))</f>
        <v/>
      </c>
      <c r="J421" s="291" t="str">
        <f>IF(op!J354="","",op!J354)</f>
        <v/>
      </c>
      <c r="K421" s="971"/>
      <c r="L421" s="859">
        <f t="shared" si="153"/>
        <v>0</v>
      </c>
      <c r="M421" s="859">
        <f t="shared" si="153"/>
        <v>0</v>
      </c>
      <c r="N421" s="867" t="str">
        <f t="shared" si="168"/>
        <v/>
      </c>
      <c r="O421" s="867" t="str">
        <f t="shared" si="169"/>
        <v/>
      </c>
      <c r="P421" s="953" t="str">
        <f t="shared" si="154"/>
        <v/>
      </c>
      <c r="Q421" s="70"/>
      <c r="R421" s="739" t="str">
        <f t="shared" si="170"/>
        <v/>
      </c>
      <c r="S421" s="739" t="str">
        <f t="shared" si="155"/>
        <v/>
      </c>
      <c r="T421" s="740" t="str">
        <f t="shared" si="156"/>
        <v/>
      </c>
      <c r="U421" s="275"/>
      <c r="V421" s="288"/>
      <c r="W421" s="288"/>
      <c r="X421" s="288"/>
      <c r="Y421" s="908">
        <f t="shared" si="157"/>
        <v>0</v>
      </c>
      <c r="Z421" s="986">
        <f>tab!$D$62</f>
        <v>0.6</v>
      </c>
      <c r="AA421" s="944">
        <f t="shared" si="158"/>
        <v>0</v>
      </c>
      <c r="AB421" s="944">
        <f t="shared" si="159"/>
        <v>0</v>
      </c>
      <c r="AC421" s="944">
        <f t="shared" si="160"/>
        <v>0</v>
      </c>
      <c r="AD421" s="943" t="e">
        <f t="shared" si="161"/>
        <v>#VALUE!</v>
      </c>
      <c r="AE421" s="943">
        <f t="shared" si="162"/>
        <v>0</v>
      </c>
      <c r="AF421" s="916">
        <f>IF(H421&gt;8,tab!$D$63,tab!$D$65)</f>
        <v>0.5</v>
      </c>
      <c r="AG421" s="925">
        <f t="shared" si="163"/>
        <v>0</v>
      </c>
      <c r="AH421" s="940">
        <f t="shared" si="164"/>
        <v>0</v>
      </c>
      <c r="AI421" s="924" t="e">
        <f>DATE(YEAR(tab!$H$3),MONTH(G421),DAY(G421))&gt;tab!$H$3</f>
        <v>#VALUE!</v>
      </c>
      <c r="AJ421" s="924" t="e">
        <f t="shared" si="165"/>
        <v>#VALUE!</v>
      </c>
      <c r="AK421" s="884">
        <f t="shared" si="166"/>
        <v>30</v>
      </c>
      <c r="AL421" s="884">
        <f t="shared" si="171"/>
        <v>30</v>
      </c>
      <c r="AM421" s="925">
        <f t="shared" si="167"/>
        <v>0</v>
      </c>
    </row>
    <row r="422" spans="3:39" x14ac:dyDescent="0.2">
      <c r="C422" s="69"/>
      <c r="D422" s="75" t="str">
        <f>IF(op!D355=0,"",op!D355)</f>
        <v/>
      </c>
      <c r="E422" s="75" t="str">
        <f>IF(op!E355=0,"-",op!E355)</f>
        <v/>
      </c>
      <c r="F422" s="88" t="str">
        <f>IF(op!F355="","",op!F355+1)</f>
        <v/>
      </c>
      <c r="G422" s="290" t="str">
        <f>IF(op!G355="","",op!G355)</f>
        <v/>
      </c>
      <c r="H422" s="88" t="str">
        <f>IF(op!H355=0,"",op!H355)</f>
        <v/>
      </c>
      <c r="I422" s="99" t="str">
        <f>IF(J422="","",(IF(op!I355+1&gt;LOOKUP(H422,schaal2019,regels2019),op!I355,op!I355+1)))</f>
        <v/>
      </c>
      <c r="J422" s="291" t="str">
        <f>IF(op!J355="","",op!J355)</f>
        <v/>
      </c>
      <c r="K422" s="971"/>
      <c r="L422" s="859">
        <f t="shared" si="153"/>
        <v>0</v>
      </c>
      <c r="M422" s="859">
        <f t="shared" si="153"/>
        <v>0</v>
      </c>
      <c r="N422" s="867" t="str">
        <f t="shared" si="168"/>
        <v/>
      </c>
      <c r="O422" s="867" t="str">
        <f t="shared" si="169"/>
        <v/>
      </c>
      <c r="P422" s="953" t="str">
        <f t="shared" si="154"/>
        <v/>
      </c>
      <c r="Q422" s="70"/>
      <c r="R422" s="739" t="str">
        <f t="shared" si="170"/>
        <v/>
      </c>
      <c r="S422" s="739" t="str">
        <f t="shared" si="155"/>
        <v/>
      </c>
      <c r="T422" s="740" t="str">
        <f t="shared" si="156"/>
        <v/>
      </c>
      <c r="U422" s="275"/>
      <c r="V422" s="288"/>
      <c r="W422" s="288"/>
      <c r="X422" s="288"/>
      <c r="Y422" s="908">
        <f t="shared" si="157"/>
        <v>0</v>
      </c>
      <c r="Z422" s="986">
        <f>tab!$D$62</f>
        <v>0.6</v>
      </c>
      <c r="AA422" s="944">
        <f t="shared" si="158"/>
        <v>0</v>
      </c>
      <c r="AB422" s="944">
        <f t="shared" si="159"/>
        <v>0</v>
      </c>
      <c r="AC422" s="944">
        <f t="shared" si="160"/>
        <v>0</v>
      </c>
      <c r="AD422" s="943" t="e">
        <f t="shared" si="161"/>
        <v>#VALUE!</v>
      </c>
      <c r="AE422" s="943">
        <f t="shared" si="162"/>
        <v>0</v>
      </c>
      <c r="AF422" s="916">
        <f>IF(H422&gt;8,tab!$D$63,tab!$D$65)</f>
        <v>0.5</v>
      </c>
      <c r="AG422" s="925">
        <f t="shared" si="163"/>
        <v>0</v>
      </c>
      <c r="AH422" s="940">
        <f t="shared" si="164"/>
        <v>0</v>
      </c>
      <c r="AI422" s="924" t="e">
        <f>DATE(YEAR(tab!$H$3),MONTH(G422),DAY(G422))&gt;tab!$H$3</f>
        <v>#VALUE!</v>
      </c>
      <c r="AJ422" s="924" t="e">
        <f t="shared" si="165"/>
        <v>#VALUE!</v>
      </c>
      <c r="AK422" s="884">
        <f t="shared" si="166"/>
        <v>30</v>
      </c>
      <c r="AL422" s="884">
        <f t="shared" si="171"/>
        <v>30</v>
      </c>
      <c r="AM422" s="925">
        <f t="shared" si="167"/>
        <v>0</v>
      </c>
    </row>
    <row r="423" spans="3:39" x14ac:dyDescent="0.2">
      <c r="C423" s="69"/>
      <c r="D423" s="75" t="str">
        <f>IF(op!D356=0,"",op!D356)</f>
        <v/>
      </c>
      <c r="E423" s="75" t="str">
        <f>IF(op!E356=0,"-",op!E356)</f>
        <v/>
      </c>
      <c r="F423" s="88" t="str">
        <f>IF(op!F356="","",op!F356+1)</f>
        <v/>
      </c>
      <c r="G423" s="290" t="str">
        <f>IF(op!G356="","",op!G356)</f>
        <v/>
      </c>
      <c r="H423" s="88" t="str">
        <f>IF(op!H356=0,"",op!H356)</f>
        <v/>
      </c>
      <c r="I423" s="99" t="str">
        <f>IF(J423="","",(IF(op!I356+1&gt;LOOKUP(H423,schaal2019,regels2019),op!I356,op!I356+1)))</f>
        <v/>
      </c>
      <c r="J423" s="291" t="str">
        <f>IF(op!J356="","",op!J356)</f>
        <v/>
      </c>
      <c r="K423" s="971"/>
      <c r="L423" s="859">
        <f t="shared" si="153"/>
        <v>0</v>
      </c>
      <c r="M423" s="859">
        <f t="shared" si="153"/>
        <v>0</v>
      </c>
      <c r="N423" s="867" t="str">
        <f t="shared" si="168"/>
        <v/>
      </c>
      <c r="O423" s="867" t="str">
        <f t="shared" si="169"/>
        <v/>
      </c>
      <c r="P423" s="953" t="str">
        <f t="shared" si="154"/>
        <v/>
      </c>
      <c r="Q423" s="70"/>
      <c r="R423" s="739" t="str">
        <f t="shared" si="170"/>
        <v/>
      </c>
      <c r="S423" s="739" t="str">
        <f t="shared" si="155"/>
        <v/>
      </c>
      <c r="T423" s="740" t="str">
        <f t="shared" si="156"/>
        <v/>
      </c>
      <c r="U423" s="275"/>
      <c r="V423" s="288"/>
      <c r="W423" s="288"/>
      <c r="X423" s="288"/>
      <c r="Y423" s="908">
        <f t="shared" si="157"/>
        <v>0</v>
      </c>
      <c r="Z423" s="986">
        <f>tab!$D$62</f>
        <v>0.6</v>
      </c>
      <c r="AA423" s="944">
        <f t="shared" si="158"/>
        <v>0</v>
      </c>
      <c r="AB423" s="944">
        <f t="shared" si="159"/>
        <v>0</v>
      </c>
      <c r="AC423" s="944">
        <f t="shared" si="160"/>
        <v>0</v>
      </c>
      <c r="AD423" s="943" t="e">
        <f t="shared" si="161"/>
        <v>#VALUE!</v>
      </c>
      <c r="AE423" s="943">
        <f t="shared" si="162"/>
        <v>0</v>
      </c>
      <c r="AF423" s="916">
        <f>IF(H423&gt;8,tab!$D$63,tab!$D$65)</f>
        <v>0.5</v>
      </c>
      <c r="AG423" s="925">
        <f t="shared" si="163"/>
        <v>0</v>
      </c>
      <c r="AH423" s="940">
        <f t="shared" si="164"/>
        <v>0</v>
      </c>
      <c r="AI423" s="924" t="e">
        <f>DATE(YEAR(tab!$H$3),MONTH(G423),DAY(G423))&gt;tab!$H$3</f>
        <v>#VALUE!</v>
      </c>
      <c r="AJ423" s="924" t="e">
        <f t="shared" si="165"/>
        <v>#VALUE!</v>
      </c>
      <c r="AK423" s="884">
        <f t="shared" si="166"/>
        <v>30</v>
      </c>
      <c r="AL423" s="884">
        <f t="shared" si="171"/>
        <v>30</v>
      </c>
      <c r="AM423" s="925">
        <f t="shared" si="167"/>
        <v>0</v>
      </c>
    </row>
    <row r="424" spans="3:39" x14ac:dyDescent="0.2">
      <c r="C424" s="69"/>
      <c r="D424" s="75" t="str">
        <f>IF(op!D357=0,"",op!D357)</f>
        <v/>
      </c>
      <c r="E424" s="75" t="str">
        <f>IF(op!E357=0,"-",op!E357)</f>
        <v/>
      </c>
      <c r="F424" s="88" t="str">
        <f>IF(op!F357="","",op!F357+1)</f>
        <v/>
      </c>
      <c r="G424" s="290" t="str">
        <f>IF(op!G357="","",op!G357)</f>
        <v/>
      </c>
      <c r="H424" s="88" t="str">
        <f>IF(op!H357=0,"",op!H357)</f>
        <v/>
      </c>
      <c r="I424" s="99" t="str">
        <f>IF(J424="","",(IF(op!I357+1&gt;LOOKUP(H424,schaal2019,regels2019),op!I357,op!I357+1)))</f>
        <v/>
      </c>
      <c r="J424" s="291" t="str">
        <f>IF(op!J357="","",op!J357)</f>
        <v/>
      </c>
      <c r="K424" s="971"/>
      <c r="L424" s="859">
        <f t="shared" si="153"/>
        <v>0</v>
      </c>
      <c r="M424" s="859">
        <f t="shared" si="153"/>
        <v>0</v>
      </c>
      <c r="N424" s="867" t="str">
        <f t="shared" si="168"/>
        <v/>
      </c>
      <c r="O424" s="867" t="str">
        <f t="shared" si="169"/>
        <v/>
      </c>
      <c r="P424" s="953" t="str">
        <f t="shared" si="154"/>
        <v/>
      </c>
      <c r="Q424" s="70"/>
      <c r="R424" s="739" t="str">
        <f t="shared" si="170"/>
        <v/>
      </c>
      <c r="S424" s="739" t="str">
        <f t="shared" si="155"/>
        <v/>
      </c>
      <c r="T424" s="740" t="str">
        <f t="shared" si="156"/>
        <v/>
      </c>
      <c r="U424" s="275"/>
      <c r="V424" s="288"/>
      <c r="W424" s="288"/>
      <c r="X424" s="288"/>
      <c r="Y424" s="908">
        <f t="shared" si="157"/>
        <v>0</v>
      </c>
      <c r="Z424" s="986">
        <f>tab!$D$62</f>
        <v>0.6</v>
      </c>
      <c r="AA424" s="944">
        <f t="shared" si="158"/>
        <v>0</v>
      </c>
      <c r="AB424" s="944">
        <f t="shared" si="159"/>
        <v>0</v>
      </c>
      <c r="AC424" s="944">
        <f t="shared" si="160"/>
        <v>0</v>
      </c>
      <c r="AD424" s="943" t="e">
        <f t="shared" si="161"/>
        <v>#VALUE!</v>
      </c>
      <c r="AE424" s="943">
        <f t="shared" si="162"/>
        <v>0</v>
      </c>
      <c r="AF424" s="916">
        <f>IF(H424&gt;8,tab!$D$63,tab!$D$65)</f>
        <v>0.5</v>
      </c>
      <c r="AG424" s="925">
        <f t="shared" si="163"/>
        <v>0</v>
      </c>
      <c r="AH424" s="940">
        <f t="shared" si="164"/>
        <v>0</v>
      </c>
      <c r="AI424" s="924" t="e">
        <f>DATE(YEAR(tab!$H$3),MONTH(G424),DAY(G424))&gt;tab!$H$3</f>
        <v>#VALUE!</v>
      </c>
      <c r="AJ424" s="924" t="e">
        <f t="shared" si="165"/>
        <v>#VALUE!</v>
      </c>
      <c r="AK424" s="884">
        <f t="shared" si="166"/>
        <v>30</v>
      </c>
      <c r="AL424" s="884">
        <f t="shared" si="171"/>
        <v>30</v>
      </c>
      <c r="AM424" s="925">
        <f t="shared" si="167"/>
        <v>0</v>
      </c>
    </row>
    <row r="425" spans="3:39" x14ac:dyDescent="0.2">
      <c r="C425" s="69"/>
      <c r="D425" s="75" t="str">
        <f>IF(op!D358=0,"",op!D358)</f>
        <v/>
      </c>
      <c r="E425" s="75" t="str">
        <f>IF(op!E358=0,"-",op!E358)</f>
        <v/>
      </c>
      <c r="F425" s="88" t="str">
        <f>IF(op!F358="","",op!F358+1)</f>
        <v/>
      </c>
      <c r="G425" s="290" t="str">
        <f>IF(op!G358="","",op!G358)</f>
        <v/>
      </c>
      <c r="H425" s="88" t="str">
        <f>IF(op!H358=0,"",op!H358)</f>
        <v/>
      </c>
      <c r="I425" s="99" t="str">
        <f>IF(J425="","",(IF(op!I358+1&gt;LOOKUP(H425,schaal2019,regels2019),op!I358,op!I358+1)))</f>
        <v/>
      </c>
      <c r="J425" s="291" t="str">
        <f>IF(op!J358="","",op!J358)</f>
        <v/>
      </c>
      <c r="K425" s="971"/>
      <c r="L425" s="859">
        <f t="shared" si="153"/>
        <v>0</v>
      </c>
      <c r="M425" s="859">
        <f t="shared" si="153"/>
        <v>0</v>
      </c>
      <c r="N425" s="867" t="str">
        <f t="shared" si="168"/>
        <v/>
      </c>
      <c r="O425" s="867" t="str">
        <f t="shared" si="169"/>
        <v/>
      </c>
      <c r="P425" s="953" t="str">
        <f t="shared" si="154"/>
        <v/>
      </c>
      <c r="Q425" s="70"/>
      <c r="R425" s="739" t="str">
        <f t="shared" si="170"/>
        <v/>
      </c>
      <c r="S425" s="739" t="str">
        <f t="shared" si="155"/>
        <v/>
      </c>
      <c r="T425" s="740" t="str">
        <f t="shared" si="156"/>
        <v/>
      </c>
      <c r="U425" s="275"/>
      <c r="V425" s="288"/>
      <c r="W425" s="288"/>
      <c r="X425" s="288"/>
      <c r="Y425" s="908">
        <f t="shared" si="157"/>
        <v>0</v>
      </c>
      <c r="Z425" s="986">
        <f>tab!$D$62</f>
        <v>0.6</v>
      </c>
      <c r="AA425" s="944">
        <f t="shared" si="158"/>
        <v>0</v>
      </c>
      <c r="AB425" s="944">
        <f t="shared" si="159"/>
        <v>0</v>
      </c>
      <c r="AC425" s="944">
        <f t="shared" si="160"/>
        <v>0</v>
      </c>
      <c r="AD425" s="943" t="e">
        <f t="shared" si="161"/>
        <v>#VALUE!</v>
      </c>
      <c r="AE425" s="943">
        <f t="shared" si="162"/>
        <v>0</v>
      </c>
      <c r="AF425" s="916">
        <f>IF(H425&gt;8,tab!$D$63,tab!$D$65)</f>
        <v>0.5</v>
      </c>
      <c r="AG425" s="925">
        <f t="shared" si="163"/>
        <v>0</v>
      </c>
      <c r="AH425" s="940">
        <f t="shared" si="164"/>
        <v>0</v>
      </c>
      <c r="AI425" s="924" t="e">
        <f>DATE(YEAR(tab!$H$3),MONTH(G425),DAY(G425))&gt;tab!$H$3</f>
        <v>#VALUE!</v>
      </c>
      <c r="AJ425" s="924" t="e">
        <f t="shared" si="165"/>
        <v>#VALUE!</v>
      </c>
      <c r="AK425" s="884">
        <f t="shared" si="166"/>
        <v>30</v>
      </c>
      <c r="AL425" s="884">
        <f t="shared" si="171"/>
        <v>30</v>
      </c>
      <c r="AM425" s="925">
        <f t="shared" si="167"/>
        <v>0</v>
      </c>
    </row>
    <row r="426" spans="3:39" x14ac:dyDescent="0.2">
      <c r="C426" s="69"/>
      <c r="D426" s="75" t="str">
        <f>IF(op!D359=0,"",op!D359)</f>
        <v/>
      </c>
      <c r="E426" s="75" t="str">
        <f>IF(op!E359=0,"-",op!E359)</f>
        <v/>
      </c>
      <c r="F426" s="88" t="str">
        <f>IF(op!F359="","",op!F359+1)</f>
        <v/>
      </c>
      <c r="G426" s="290" t="str">
        <f>IF(op!G359="","",op!G359)</f>
        <v/>
      </c>
      <c r="H426" s="88" t="str">
        <f>IF(op!H359=0,"",op!H359)</f>
        <v/>
      </c>
      <c r="I426" s="99" t="str">
        <f>IF(J426="","",(IF(op!I359+1&gt;LOOKUP(H426,schaal2019,regels2019),op!I359,op!I359+1)))</f>
        <v/>
      </c>
      <c r="J426" s="291" t="str">
        <f>IF(op!J359="","",op!J359)</f>
        <v/>
      </c>
      <c r="K426" s="971"/>
      <c r="L426" s="859">
        <f t="shared" si="153"/>
        <v>0</v>
      </c>
      <c r="M426" s="859">
        <f t="shared" si="153"/>
        <v>0</v>
      </c>
      <c r="N426" s="867" t="str">
        <f t="shared" si="168"/>
        <v/>
      </c>
      <c r="O426" s="867" t="str">
        <f t="shared" si="169"/>
        <v/>
      </c>
      <c r="P426" s="953" t="str">
        <f t="shared" si="154"/>
        <v/>
      </c>
      <c r="Q426" s="70"/>
      <c r="R426" s="739" t="str">
        <f t="shared" si="170"/>
        <v/>
      </c>
      <c r="S426" s="739" t="str">
        <f t="shared" si="155"/>
        <v/>
      </c>
      <c r="T426" s="740" t="str">
        <f t="shared" si="156"/>
        <v/>
      </c>
      <c r="U426" s="275"/>
      <c r="V426" s="288"/>
      <c r="W426" s="288"/>
      <c r="X426" s="288"/>
      <c r="Y426" s="908">
        <f t="shared" si="157"/>
        <v>0</v>
      </c>
      <c r="Z426" s="986">
        <f>tab!$D$62</f>
        <v>0.6</v>
      </c>
      <c r="AA426" s="944">
        <f t="shared" si="158"/>
        <v>0</v>
      </c>
      <c r="AB426" s="944">
        <f t="shared" si="159"/>
        <v>0</v>
      </c>
      <c r="AC426" s="944">
        <f t="shared" si="160"/>
        <v>0</v>
      </c>
      <c r="AD426" s="943" t="e">
        <f t="shared" si="161"/>
        <v>#VALUE!</v>
      </c>
      <c r="AE426" s="943">
        <f t="shared" si="162"/>
        <v>0</v>
      </c>
      <c r="AF426" s="916">
        <f>IF(H426&gt;8,tab!$D$63,tab!$D$65)</f>
        <v>0.5</v>
      </c>
      <c r="AG426" s="925">
        <f t="shared" si="163"/>
        <v>0</v>
      </c>
      <c r="AH426" s="940">
        <f t="shared" si="164"/>
        <v>0</v>
      </c>
      <c r="AI426" s="924" t="e">
        <f>DATE(YEAR(tab!$H$3),MONTH(G426),DAY(G426))&gt;tab!$H$3</f>
        <v>#VALUE!</v>
      </c>
      <c r="AJ426" s="924" t="e">
        <f t="shared" si="165"/>
        <v>#VALUE!</v>
      </c>
      <c r="AK426" s="884">
        <f t="shared" si="166"/>
        <v>30</v>
      </c>
      <c r="AL426" s="884">
        <f t="shared" si="171"/>
        <v>30</v>
      </c>
      <c r="AM426" s="925">
        <f t="shared" si="167"/>
        <v>0</v>
      </c>
    </row>
    <row r="427" spans="3:39" x14ac:dyDescent="0.2">
      <c r="C427" s="69"/>
      <c r="D427" s="75" t="str">
        <f>IF(op!D360=0,"",op!D360)</f>
        <v/>
      </c>
      <c r="E427" s="75" t="str">
        <f>IF(op!E360=0,"-",op!E360)</f>
        <v/>
      </c>
      <c r="F427" s="88" t="str">
        <f>IF(op!F360="","",op!F360+1)</f>
        <v/>
      </c>
      <c r="G427" s="290" t="str">
        <f>IF(op!G360="","",op!G360)</f>
        <v/>
      </c>
      <c r="H427" s="88" t="str">
        <f>IF(op!H360=0,"",op!H360)</f>
        <v/>
      </c>
      <c r="I427" s="99" t="str">
        <f>IF(J427="","",(IF(op!I360+1&gt;LOOKUP(H427,schaal2019,regels2019),op!I360,op!I360+1)))</f>
        <v/>
      </c>
      <c r="J427" s="291" t="str">
        <f>IF(op!J360="","",op!J360)</f>
        <v/>
      </c>
      <c r="K427" s="971"/>
      <c r="L427" s="859">
        <f t="shared" si="153"/>
        <v>0</v>
      </c>
      <c r="M427" s="859">
        <f t="shared" si="153"/>
        <v>0</v>
      </c>
      <c r="N427" s="867" t="str">
        <f t="shared" si="168"/>
        <v/>
      </c>
      <c r="O427" s="867" t="str">
        <f t="shared" si="169"/>
        <v/>
      </c>
      <c r="P427" s="953" t="str">
        <f t="shared" si="154"/>
        <v/>
      </c>
      <c r="Q427" s="70"/>
      <c r="R427" s="739" t="str">
        <f t="shared" si="170"/>
        <v/>
      </c>
      <c r="S427" s="739" t="str">
        <f t="shared" si="155"/>
        <v/>
      </c>
      <c r="T427" s="740" t="str">
        <f t="shared" si="156"/>
        <v/>
      </c>
      <c r="U427" s="275"/>
      <c r="V427" s="288"/>
      <c r="W427" s="288"/>
      <c r="X427" s="288"/>
      <c r="Y427" s="908">
        <f t="shared" si="157"/>
        <v>0</v>
      </c>
      <c r="Z427" s="986">
        <f>tab!$D$62</f>
        <v>0.6</v>
      </c>
      <c r="AA427" s="944">
        <f t="shared" si="158"/>
        <v>0</v>
      </c>
      <c r="AB427" s="944">
        <f t="shared" si="159"/>
        <v>0</v>
      </c>
      <c r="AC427" s="944">
        <f t="shared" si="160"/>
        <v>0</v>
      </c>
      <c r="AD427" s="943" t="e">
        <f t="shared" si="161"/>
        <v>#VALUE!</v>
      </c>
      <c r="AE427" s="943">
        <f t="shared" si="162"/>
        <v>0</v>
      </c>
      <c r="AF427" s="916">
        <f>IF(H427&gt;8,tab!$D$63,tab!$D$65)</f>
        <v>0.5</v>
      </c>
      <c r="AG427" s="925">
        <f t="shared" si="163"/>
        <v>0</v>
      </c>
      <c r="AH427" s="940">
        <f t="shared" si="164"/>
        <v>0</v>
      </c>
      <c r="AI427" s="924" t="e">
        <f>DATE(YEAR(tab!$H$3),MONTH(G427),DAY(G427))&gt;tab!$H$3</f>
        <v>#VALUE!</v>
      </c>
      <c r="AJ427" s="924" t="e">
        <f t="shared" si="165"/>
        <v>#VALUE!</v>
      </c>
      <c r="AK427" s="884">
        <f t="shared" si="166"/>
        <v>30</v>
      </c>
      <c r="AL427" s="884">
        <f t="shared" si="171"/>
        <v>30</v>
      </c>
      <c r="AM427" s="925">
        <f t="shared" si="167"/>
        <v>0</v>
      </c>
    </row>
    <row r="428" spans="3:39" x14ac:dyDescent="0.2">
      <c r="C428" s="69"/>
      <c r="D428" s="75" t="str">
        <f>IF(op!D361=0,"",op!D361)</f>
        <v/>
      </c>
      <c r="E428" s="75" t="str">
        <f>IF(op!E361=0,"-",op!E361)</f>
        <v/>
      </c>
      <c r="F428" s="88" t="str">
        <f>IF(op!F361="","",op!F361+1)</f>
        <v/>
      </c>
      <c r="G428" s="290" t="str">
        <f>IF(op!G361="","",op!G361)</f>
        <v/>
      </c>
      <c r="H428" s="88" t="str">
        <f>IF(op!H361=0,"",op!H361)</f>
        <v/>
      </c>
      <c r="I428" s="99" t="str">
        <f>IF(J428="","",(IF(op!I361+1&gt;LOOKUP(H428,schaal2019,regels2019),op!I361,op!I361+1)))</f>
        <v/>
      </c>
      <c r="J428" s="291" t="str">
        <f>IF(op!J361="","",op!J361)</f>
        <v/>
      </c>
      <c r="K428" s="971"/>
      <c r="L428" s="859">
        <f t="shared" si="153"/>
        <v>0</v>
      </c>
      <c r="M428" s="859">
        <f t="shared" si="153"/>
        <v>0</v>
      </c>
      <c r="N428" s="867" t="str">
        <f t="shared" si="168"/>
        <v/>
      </c>
      <c r="O428" s="867" t="str">
        <f t="shared" si="169"/>
        <v/>
      </c>
      <c r="P428" s="953" t="str">
        <f t="shared" si="154"/>
        <v/>
      </c>
      <c r="Q428" s="70"/>
      <c r="R428" s="739" t="str">
        <f t="shared" si="170"/>
        <v/>
      </c>
      <c r="S428" s="739" t="str">
        <f t="shared" si="155"/>
        <v/>
      </c>
      <c r="T428" s="740" t="str">
        <f t="shared" si="156"/>
        <v/>
      </c>
      <c r="U428" s="275"/>
      <c r="V428" s="288"/>
      <c r="W428" s="288"/>
      <c r="X428" s="288"/>
      <c r="Y428" s="908">
        <f t="shared" si="157"/>
        <v>0</v>
      </c>
      <c r="Z428" s="986">
        <f>tab!$D$62</f>
        <v>0.6</v>
      </c>
      <c r="AA428" s="944">
        <f t="shared" si="158"/>
        <v>0</v>
      </c>
      <c r="AB428" s="944">
        <f t="shared" si="159"/>
        <v>0</v>
      </c>
      <c r="AC428" s="944">
        <f t="shared" si="160"/>
        <v>0</v>
      </c>
      <c r="AD428" s="943" t="e">
        <f t="shared" si="161"/>
        <v>#VALUE!</v>
      </c>
      <c r="AE428" s="943">
        <f t="shared" si="162"/>
        <v>0</v>
      </c>
      <c r="AF428" s="916">
        <f>IF(H428&gt;8,tab!$D$63,tab!$D$65)</f>
        <v>0.5</v>
      </c>
      <c r="AG428" s="925">
        <f t="shared" si="163"/>
        <v>0</v>
      </c>
      <c r="AH428" s="940">
        <f t="shared" si="164"/>
        <v>0</v>
      </c>
      <c r="AI428" s="924" t="e">
        <f>DATE(YEAR(tab!$H$3),MONTH(G428),DAY(G428))&gt;tab!$H$3</f>
        <v>#VALUE!</v>
      </c>
      <c r="AJ428" s="924" t="e">
        <f t="shared" si="165"/>
        <v>#VALUE!</v>
      </c>
      <c r="AK428" s="884">
        <f t="shared" si="166"/>
        <v>30</v>
      </c>
      <c r="AL428" s="884">
        <f t="shared" si="171"/>
        <v>30</v>
      </c>
      <c r="AM428" s="925">
        <f t="shared" si="167"/>
        <v>0</v>
      </c>
    </row>
    <row r="429" spans="3:39" x14ac:dyDescent="0.2">
      <c r="C429" s="69"/>
      <c r="D429" s="75" t="str">
        <f>IF(op!D362=0,"",op!D362)</f>
        <v/>
      </c>
      <c r="E429" s="75" t="str">
        <f>IF(op!E362=0,"-",op!E362)</f>
        <v/>
      </c>
      <c r="F429" s="88" t="str">
        <f>IF(op!F362="","",op!F362+1)</f>
        <v/>
      </c>
      <c r="G429" s="290" t="str">
        <f>IF(op!G362="","",op!G362)</f>
        <v/>
      </c>
      <c r="H429" s="88" t="str">
        <f>IF(op!H362=0,"",op!H362)</f>
        <v/>
      </c>
      <c r="I429" s="99" t="str">
        <f>IF(J429="","",(IF(op!I362+1&gt;LOOKUP(H429,schaal2019,regels2019),op!I362,op!I362+1)))</f>
        <v/>
      </c>
      <c r="J429" s="291" t="str">
        <f>IF(op!J362="","",op!J362)</f>
        <v/>
      </c>
      <c r="K429" s="971"/>
      <c r="L429" s="859">
        <f t="shared" si="153"/>
        <v>0</v>
      </c>
      <c r="M429" s="859">
        <f t="shared" si="153"/>
        <v>0</v>
      </c>
      <c r="N429" s="867" t="str">
        <f t="shared" si="168"/>
        <v/>
      </c>
      <c r="O429" s="867" t="str">
        <f t="shared" si="169"/>
        <v/>
      </c>
      <c r="P429" s="953" t="str">
        <f t="shared" si="154"/>
        <v/>
      </c>
      <c r="Q429" s="70"/>
      <c r="R429" s="739" t="str">
        <f t="shared" si="170"/>
        <v/>
      </c>
      <c r="S429" s="739" t="str">
        <f t="shared" si="155"/>
        <v/>
      </c>
      <c r="T429" s="740" t="str">
        <f t="shared" si="156"/>
        <v/>
      </c>
      <c r="U429" s="275"/>
      <c r="V429" s="288"/>
      <c r="W429" s="288"/>
      <c r="X429" s="288"/>
      <c r="Y429" s="908">
        <f t="shared" si="157"/>
        <v>0</v>
      </c>
      <c r="Z429" s="986">
        <f>tab!$D$62</f>
        <v>0.6</v>
      </c>
      <c r="AA429" s="944">
        <f t="shared" si="158"/>
        <v>0</v>
      </c>
      <c r="AB429" s="944">
        <f t="shared" si="159"/>
        <v>0</v>
      </c>
      <c r="AC429" s="944">
        <f t="shared" si="160"/>
        <v>0</v>
      </c>
      <c r="AD429" s="943" t="e">
        <f t="shared" si="161"/>
        <v>#VALUE!</v>
      </c>
      <c r="AE429" s="943">
        <f t="shared" si="162"/>
        <v>0</v>
      </c>
      <c r="AF429" s="916">
        <f>IF(H429&gt;8,tab!$D$63,tab!$D$65)</f>
        <v>0.5</v>
      </c>
      <c r="AG429" s="925">
        <f t="shared" si="163"/>
        <v>0</v>
      </c>
      <c r="AH429" s="940">
        <f t="shared" si="164"/>
        <v>0</v>
      </c>
      <c r="AI429" s="924" t="e">
        <f>DATE(YEAR(tab!$H$3),MONTH(G429),DAY(G429))&gt;tab!$H$3</f>
        <v>#VALUE!</v>
      </c>
      <c r="AJ429" s="924" t="e">
        <f t="shared" si="165"/>
        <v>#VALUE!</v>
      </c>
      <c r="AK429" s="884">
        <f t="shared" si="166"/>
        <v>30</v>
      </c>
      <c r="AL429" s="884">
        <f t="shared" si="171"/>
        <v>30</v>
      </c>
      <c r="AM429" s="925">
        <f t="shared" si="167"/>
        <v>0</v>
      </c>
    </row>
    <row r="430" spans="3:39" x14ac:dyDescent="0.2">
      <c r="C430" s="69"/>
      <c r="D430" s="75" t="str">
        <f>IF(op!D363=0,"",op!D363)</f>
        <v/>
      </c>
      <c r="E430" s="75" t="str">
        <f>IF(op!E363=0,"-",op!E363)</f>
        <v/>
      </c>
      <c r="F430" s="88" t="str">
        <f>IF(op!F363="","",op!F363+1)</f>
        <v/>
      </c>
      <c r="G430" s="290" t="str">
        <f>IF(op!G363="","",op!G363)</f>
        <v/>
      </c>
      <c r="H430" s="88" t="str">
        <f>IF(op!H363=0,"",op!H363)</f>
        <v/>
      </c>
      <c r="I430" s="99" t="str">
        <f>IF(J430="","",(IF(op!I363+1&gt;LOOKUP(H430,schaal2019,regels2019),op!I363,op!I363+1)))</f>
        <v/>
      </c>
      <c r="J430" s="291" t="str">
        <f>IF(op!J363="","",op!J363)</f>
        <v/>
      </c>
      <c r="K430" s="971"/>
      <c r="L430" s="859">
        <f t="shared" si="153"/>
        <v>0</v>
      </c>
      <c r="M430" s="859">
        <f t="shared" si="153"/>
        <v>0</v>
      </c>
      <c r="N430" s="867" t="str">
        <f t="shared" si="168"/>
        <v/>
      </c>
      <c r="O430" s="867" t="str">
        <f t="shared" si="169"/>
        <v/>
      </c>
      <c r="P430" s="953" t="str">
        <f t="shared" si="154"/>
        <v/>
      </c>
      <c r="Q430" s="70"/>
      <c r="R430" s="739" t="str">
        <f t="shared" si="170"/>
        <v/>
      </c>
      <c r="S430" s="739" t="str">
        <f t="shared" si="155"/>
        <v/>
      </c>
      <c r="T430" s="740" t="str">
        <f t="shared" si="156"/>
        <v/>
      </c>
      <c r="U430" s="275"/>
      <c r="V430" s="288"/>
      <c r="W430" s="288"/>
      <c r="X430" s="288"/>
      <c r="Y430" s="908">
        <f t="shared" si="157"/>
        <v>0</v>
      </c>
      <c r="Z430" s="986">
        <f>tab!$D$62</f>
        <v>0.6</v>
      </c>
      <c r="AA430" s="944">
        <f t="shared" si="158"/>
        <v>0</v>
      </c>
      <c r="AB430" s="944">
        <f t="shared" si="159"/>
        <v>0</v>
      </c>
      <c r="AC430" s="944">
        <f t="shared" si="160"/>
        <v>0</v>
      </c>
      <c r="AD430" s="943" t="e">
        <f t="shared" si="161"/>
        <v>#VALUE!</v>
      </c>
      <c r="AE430" s="943">
        <f t="shared" si="162"/>
        <v>0</v>
      </c>
      <c r="AF430" s="916">
        <f>IF(H430&gt;8,tab!$D$63,tab!$D$65)</f>
        <v>0.5</v>
      </c>
      <c r="AG430" s="925">
        <f t="shared" si="163"/>
        <v>0</v>
      </c>
      <c r="AH430" s="940">
        <f t="shared" si="164"/>
        <v>0</v>
      </c>
      <c r="AI430" s="924" t="e">
        <f>DATE(YEAR(tab!$H$3),MONTH(G430),DAY(G430))&gt;tab!$H$3</f>
        <v>#VALUE!</v>
      </c>
      <c r="AJ430" s="924" t="e">
        <f t="shared" si="165"/>
        <v>#VALUE!</v>
      </c>
      <c r="AK430" s="884">
        <f t="shared" si="166"/>
        <v>30</v>
      </c>
      <c r="AL430" s="884">
        <f t="shared" si="171"/>
        <v>30</v>
      </c>
      <c r="AM430" s="925">
        <f t="shared" si="167"/>
        <v>0</v>
      </c>
    </row>
    <row r="431" spans="3:39" x14ac:dyDescent="0.2">
      <c r="C431" s="69"/>
      <c r="D431" s="75" t="str">
        <f>IF(op!D364=0,"",op!D364)</f>
        <v/>
      </c>
      <c r="E431" s="75" t="str">
        <f>IF(op!E364=0,"-",op!E364)</f>
        <v/>
      </c>
      <c r="F431" s="88" t="str">
        <f>IF(op!F364="","",op!F364+1)</f>
        <v/>
      </c>
      <c r="G431" s="290" t="str">
        <f>IF(op!G364="","",op!G364)</f>
        <v/>
      </c>
      <c r="H431" s="88" t="str">
        <f>IF(op!H364=0,"",op!H364)</f>
        <v/>
      </c>
      <c r="I431" s="99" t="str">
        <f>IF(J431="","",(IF(op!I364+1&gt;LOOKUP(H431,schaal2019,regels2019),op!I364,op!I364+1)))</f>
        <v/>
      </c>
      <c r="J431" s="291" t="str">
        <f>IF(op!J364="","",op!J364)</f>
        <v/>
      </c>
      <c r="K431" s="971"/>
      <c r="L431" s="859">
        <f t="shared" si="153"/>
        <v>0</v>
      </c>
      <c r="M431" s="859">
        <f t="shared" si="153"/>
        <v>0</v>
      </c>
      <c r="N431" s="867" t="str">
        <f t="shared" si="168"/>
        <v/>
      </c>
      <c r="O431" s="867" t="str">
        <f t="shared" si="169"/>
        <v/>
      </c>
      <c r="P431" s="953" t="str">
        <f t="shared" si="154"/>
        <v/>
      </c>
      <c r="Q431" s="70"/>
      <c r="R431" s="739" t="str">
        <f t="shared" si="170"/>
        <v/>
      </c>
      <c r="S431" s="739" t="str">
        <f t="shared" si="155"/>
        <v/>
      </c>
      <c r="T431" s="740" t="str">
        <f t="shared" si="156"/>
        <v/>
      </c>
      <c r="U431" s="275"/>
      <c r="V431" s="288"/>
      <c r="W431" s="288"/>
      <c r="X431" s="288"/>
      <c r="Y431" s="908">
        <f t="shared" si="157"/>
        <v>0</v>
      </c>
      <c r="Z431" s="986">
        <f>tab!$D$62</f>
        <v>0.6</v>
      </c>
      <c r="AA431" s="944">
        <f t="shared" si="158"/>
        <v>0</v>
      </c>
      <c r="AB431" s="944">
        <f t="shared" si="159"/>
        <v>0</v>
      </c>
      <c r="AC431" s="944">
        <f t="shared" si="160"/>
        <v>0</v>
      </c>
      <c r="AD431" s="943" t="e">
        <f t="shared" si="161"/>
        <v>#VALUE!</v>
      </c>
      <c r="AE431" s="943">
        <f t="shared" si="162"/>
        <v>0</v>
      </c>
      <c r="AF431" s="916">
        <f>IF(H431&gt;8,tab!$D$63,tab!$D$65)</f>
        <v>0.5</v>
      </c>
      <c r="AG431" s="925">
        <f t="shared" si="163"/>
        <v>0</v>
      </c>
      <c r="AH431" s="940">
        <f t="shared" si="164"/>
        <v>0</v>
      </c>
      <c r="AI431" s="924" t="e">
        <f>DATE(YEAR(tab!$H$3),MONTH(G431),DAY(G431))&gt;tab!$H$3</f>
        <v>#VALUE!</v>
      </c>
      <c r="AJ431" s="924" t="e">
        <f t="shared" si="165"/>
        <v>#VALUE!</v>
      </c>
      <c r="AK431" s="884">
        <f t="shared" si="166"/>
        <v>30</v>
      </c>
      <c r="AL431" s="884">
        <f t="shared" si="171"/>
        <v>30</v>
      </c>
      <c r="AM431" s="925">
        <f t="shared" si="167"/>
        <v>0</v>
      </c>
    </row>
    <row r="432" spans="3:39" x14ac:dyDescent="0.2">
      <c r="C432" s="69"/>
      <c r="D432" s="75" t="str">
        <f>IF(op!D365=0,"",op!D365)</f>
        <v/>
      </c>
      <c r="E432" s="75" t="str">
        <f>IF(op!E365=0,"-",op!E365)</f>
        <v/>
      </c>
      <c r="F432" s="88" t="str">
        <f>IF(op!F365="","",op!F365+1)</f>
        <v/>
      </c>
      <c r="G432" s="290" t="str">
        <f>IF(op!G365="","",op!G365)</f>
        <v/>
      </c>
      <c r="H432" s="88" t="str">
        <f>IF(op!H365=0,"",op!H365)</f>
        <v/>
      </c>
      <c r="I432" s="99" t="str">
        <f>IF(J432="","",(IF(op!I365+1&gt;LOOKUP(H432,schaal2019,regels2019),op!I365,op!I365+1)))</f>
        <v/>
      </c>
      <c r="J432" s="291" t="str">
        <f>IF(op!J365="","",op!J365)</f>
        <v/>
      </c>
      <c r="K432" s="971"/>
      <c r="L432" s="859">
        <f t="shared" si="153"/>
        <v>0</v>
      </c>
      <c r="M432" s="859">
        <f t="shared" si="153"/>
        <v>0</v>
      </c>
      <c r="N432" s="867" t="str">
        <f t="shared" si="168"/>
        <v/>
      </c>
      <c r="O432" s="867" t="str">
        <f t="shared" si="169"/>
        <v/>
      </c>
      <c r="P432" s="953" t="str">
        <f t="shared" si="154"/>
        <v/>
      </c>
      <c r="Q432" s="70"/>
      <c r="R432" s="739" t="str">
        <f t="shared" si="170"/>
        <v/>
      </c>
      <c r="S432" s="739" t="str">
        <f t="shared" si="155"/>
        <v/>
      </c>
      <c r="T432" s="740" t="str">
        <f t="shared" si="156"/>
        <v/>
      </c>
      <c r="U432" s="275"/>
      <c r="V432" s="288"/>
      <c r="W432" s="288"/>
      <c r="X432" s="288"/>
      <c r="Y432" s="908">
        <f t="shared" si="157"/>
        <v>0</v>
      </c>
      <c r="Z432" s="986">
        <f>tab!$D$62</f>
        <v>0.6</v>
      </c>
      <c r="AA432" s="944">
        <f t="shared" si="158"/>
        <v>0</v>
      </c>
      <c r="AB432" s="944">
        <f t="shared" si="159"/>
        <v>0</v>
      </c>
      <c r="AC432" s="944">
        <f t="shared" si="160"/>
        <v>0</v>
      </c>
      <c r="AD432" s="943" t="e">
        <f t="shared" si="161"/>
        <v>#VALUE!</v>
      </c>
      <c r="AE432" s="943">
        <f t="shared" si="162"/>
        <v>0</v>
      </c>
      <c r="AF432" s="916">
        <f>IF(H432&gt;8,tab!$D$63,tab!$D$65)</f>
        <v>0.5</v>
      </c>
      <c r="AG432" s="925">
        <f t="shared" si="163"/>
        <v>0</v>
      </c>
      <c r="AH432" s="940">
        <f t="shared" si="164"/>
        <v>0</v>
      </c>
      <c r="AI432" s="924" t="e">
        <f>DATE(YEAR(tab!$H$3),MONTH(G432),DAY(G432))&gt;tab!$H$3</f>
        <v>#VALUE!</v>
      </c>
      <c r="AJ432" s="924" t="e">
        <f t="shared" si="165"/>
        <v>#VALUE!</v>
      </c>
      <c r="AK432" s="884">
        <f t="shared" si="166"/>
        <v>30</v>
      </c>
      <c r="AL432" s="884">
        <f t="shared" si="171"/>
        <v>30</v>
      </c>
      <c r="AM432" s="925">
        <f t="shared" si="167"/>
        <v>0</v>
      </c>
    </row>
    <row r="433" spans="3:39" x14ac:dyDescent="0.2">
      <c r="C433" s="69"/>
      <c r="D433" s="75" t="str">
        <f>IF(op!D366=0,"",op!D366)</f>
        <v/>
      </c>
      <c r="E433" s="75" t="str">
        <f>IF(op!E366=0,"-",op!E366)</f>
        <v/>
      </c>
      <c r="F433" s="88" t="str">
        <f>IF(op!F366="","",op!F366+1)</f>
        <v/>
      </c>
      <c r="G433" s="290" t="str">
        <f>IF(op!G366="","",op!G366)</f>
        <v/>
      </c>
      <c r="H433" s="88" t="str">
        <f>IF(op!H366=0,"",op!H366)</f>
        <v/>
      </c>
      <c r="I433" s="99" t="str">
        <f>IF(J433="","",(IF(op!I366+1&gt;LOOKUP(H433,schaal2019,regels2019),op!I366,op!I366+1)))</f>
        <v/>
      </c>
      <c r="J433" s="291" t="str">
        <f>IF(op!J366="","",op!J366)</f>
        <v/>
      </c>
      <c r="K433" s="971"/>
      <c r="L433" s="859">
        <f t="shared" si="153"/>
        <v>0</v>
      </c>
      <c r="M433" s="859">
        <f t="shared" si="153"/>
        <v>0</v>
      </c>
      <c r="N433" s="867" t="str">
        <f t="shared" si="168"/>
        <v/>
      </c>
      <c r="O433" s="867" t="str">
        <f t="shared" si="169"/>
        <v/>
      </c>
      <c r="P433" s="953" t="str">
        <f t="shared" si="154"/>
        <v/>
      </c>
      <c r="Q433" s="70"/>
      <c r="R433" s="739" t="str">
        <f t="shared" si="170"/>
        <v/>
      </c>
      <c r="S433" s="739" t="str">
        <f t="shared" si="155"/>
        <v/>
      </c>
      <c r="T433" s="740" t="str">
        <f t="shared" si="156"/>
        <v/>
      </c>
      <c r="U433" s="275"/>
      <c r="V433" s="288"/>
      <c r="W433" s="288"/>
      <c r="X433" s="288"/>
      <c r="Y433" s="908">
        <f t="shared" si="157"/>
        <v>0</v>
      </c>
      <c r="Z433" s="986">
        <f>tab!$D$62</f>
        <v>0.6</v>
      </c>
      <c r="AA433" s="944">
        <f t="shared" si="158"/>
        <v>0</v>
      </c>
      <c r="AB433" s="944">
        <f t="shared" si="159"/>
        <v>0</v>
      </c>
      <c r="AC433" s="944">
        <f t="shared" si="160"/>
        <v>0</v>
      </c>
      <c r="AD433" s="943" t="e">
        <f t="shared" si="161"/>
        <v>#VALUE!</v>
      </c>
      <c r="AE433" s="943">
        <f t="shared" si="162"/>
        <v>0</v>
      </c>
      <c r="AF433" s="916">
        <f>IF(H433&gt;8,tab!$D$63,tab!$D$65)</f>
        <v>0.5</v>
      </c>
      <c r="AG433" s="925">
        <f t="shared" si="163"/>
        <v>0</v>
      </c>
      <c r="AH433" s="940">
        <f t="shared" si="164"/>
        <v>0</v>
      </c>
      <c r="AI433" s="924" t="e">
        <f>DATE(YEAR(tab!$H$3),MONTH(G433),DAY(G433))&gt;tab!$H$3</f>
        <v>#VALUE!</v>
      </c>
      <c r="AJ433" s="924" t="e">
        <f t="shared" si="165"/>
        <v>#VALUE!</v>
      </c>
      <c r="AK433" s="884">
        <f t="shared" si="166"/>
        <v>30</v>
      </c>
      <c r="AL433" s="884">
        <f t="shared" si="171"/>
        <v>30</v>
      </c>
      <c r="AM433" s="925">
        <f t="shared" si="167"/>
        <v>0</v>
      </c>
    </row>
    <row r="434" spans="3:39" x14ac:dyDescent="0.2">
      <c r="C434" s="69"/>
      <c r="D434" s="75" t="str">
        <f>IF(op!D367=0,"",op!D367)</f>
        <v/>
      </c>
      <c r="E434" s="75" t="str">
        <f>IF(op!E367=0,"-",op!E367)</f>
        <v/>
      </c>
      <c r="F434" s="88" t="str">
        <f>IF(op!F367="","",op!F367+1)</f>
        <v/>
      </c>
      <c r="G434" s="290" t="str">
        <f>IF(op!G367="","",op!G367)</f>
        <v/>
      </c>
      <c r="H434" s="88" t="str">
        <f>IF(op!H367=0,"",op!H367)</f>
        <v/>
      </c>
      <c r="I434" s="99" t="str">
        <f>IF(J434="","",(IF(op!I367+1&gt;LOOKUP(H434,schaal2019,regels2019),op!I367,op!I367+1)))</f>
        <v/>
      </c>
      <c r="J434" s="291" t="str">
        <f>IF(op!J367="","",op!J367)</f>
        <v/>
      </c>
      <c r="K434" s="971"/>
      <c r="L434" s="859">
        <f t="shared" si="153"/>
        <v>0</v>
      </c>
      <c r="M434" s="859">
        <f t="shared" si="153"/>
        <v>0</v>
      </c>
      <c r="N434" s="867" t="str">
        <f t="shared" si="168"/>
        <v/>
      </c>
      <c r="O434" s="867" t="str">
        <f t="shared" si="169"/>
        <v/>
      </c>
      <c r="P434" s="953" t="str">
        <f t="shared" si="154"/>
        <v/>
      </c>
      <c r="Q434" s="70"/>
      <c r="R434" s="739" t="str">
        <f t="shared" si="170"/>
        <v/>
      </c>
      <c r="S434" s="739" t="str">
        <f t="shared" si="155"/>
        <v/>
      </c>
      <c r="T434" s="740" t="str">
        <f t="shared" si="156"/>
        <v/>
      </c>
      <c r="U434" s="275"/>
      <c r="V434" s="288"/>
      <c r="W434" s="288"/>
      <c r="X434" s="288"/>
      <c r="Y434" s="908">
        <f t="shared" si="157"/>
        <v>0</v>
      </c>
      <c r="Z434" s="986">
        <f>tab!$D$62</f>
        <v>0.6</v>
      </c>
      <c r="AA434" s="944">
        <f t="shared" si="158"/>
        <v>0</v>
      </c>
      <c r="AB434" s="944">
        <f t="shared" si="159"/>
        <v>0</v>
      </c>
      <c r="AC434" s="944">
        <f t="shared" si="160"/>
        <v>0</v>
      </c>
      <c r="AD434" s="943" t="e">
        <f t="shared" si="161"/>
        <v>#VALUE!</v>
      </c>
      <c r="AE434" s="943">
        <f t="shared" si="162"/>
        <v>0</v>
      </c>
      <c r="AF434" s="916">
        <f>IF(H434&gt;8,tab!$D$63,tab!$D$65)</f>
        <v>0.5</v>
      </c>
      <c r="AG434" s="925">
        <f t="shared" si="163"/>
        <v>0</v>
      </c>
      <c r="AH434" s="940">
        <f t="shared" si="164"/>
        <v>0</v>
      </c>
      <c r="AI434" s="924" t="e">
        <f>DATE(YEAR(tab!$H$3),MONTH(G434),DAY(G434))&gt;tab!$H$3</f>
        <v>#VALUE!</v>
      </c>
      <c r="AJ434" s="924" t="e">
        <f t="shared" si="165"/>
        <v>#VALUE!</v>
      </c>
      <c r="AK434" s="884">
        <f t="shared" si="166"/>
        <v>30</v>
      </c>
      <c r="AL434" s="884">
        <f t="shared" si="171"/>
        <v>30</v>
      </c>
      <c r="AM434" s="925">
        <f t="shared" si="167"/>
        <v>0</v>
      </c>
    </row>
    <row r="435" spans="3:39" x14ac:dyDescent="0.2">
      <c r="C435" s="69"/>
      <c r="D435" s="75" t="str">
        <f>IF(op!D368=0,"",op!D368)</f>
        <v/>
      </c>
      <c r="E435" s="75" t="str">
        <f>IF(op!E368=0,"-",op!E368)</f>
        <v/>
      </c>
      <c r="F435" s="88" t="str">
        <f>IF(op!F368="","",op!F368+1)</f>
        <v/>
      </c>
      <c r="G435" s="290" t="str">
        <f>IF(op!G368="","",op!G368)</f>
        <v/>
      </c>
      <c r="H435" s="88" t="str">
        <f>IF(op!H368=0,"",op!H368)</f>
        <v/>
      </c>
      <c r="I435" s="99" t="str">
        <f>IF(J435="","",(IF(op!I368+1&gt;LOOKUP(H435,schaal2019,regels2019),op!I368,op!I368+1)))</f>
        <v/>
      </c>
      <c r="J435" s="291" t="str">
        <f>IF(op!J368="","",op!J368)</f>
        <v/>
      </c>
      <c r="K435" s="971"/>
      <c r="L435" s="859">
        <f t="shared" si="153"/>
        <v>0</v>
      </c>
      <c r="M435" s="859">
        <f t="shared" si="153"/>
        <v>0</v>
      </c>
      <c r="N435" s="867" t="str">
        <f t="shared" si="168"/>
        <v/>
      </c>
      <c r="O435" s="867" t="str">
        <f t="shared" si="169"/>
        <v/>
      </c>
      <c r="P435" s="953" t="str">
        <f t="shared" si="154"/>
        <v/>
      </c>
      <c r="Q435" s="70"/>
      <c r="R435" s="739" t="str">
        <f t="shared" si="170"/>
        <v/>
      </c>
      <c r="S435" s="739" t="str">
        <f t="shared" si="155"/>
        <v/>
      </c>
      <c r="T435" s="740" t="str">
        <f t="shared" si="156"/>
        <v/>
      </c>
      <c r="U435" s="275"/>
      <c r="V435" s="288"/>
      <c r="W435" s="288"/>
      <c r="X435" s="288"/>
      <c r="Y435" s="908">
        <f t="shared" si="157"/>
        <v>0</v>
      </c>
      <c r="Z435" s="986">
        <f>tab!$D$62</f>
        <v>0.6</v>
      </c>
      <c r="AA435" s="944">
        <f t="shared" si="158"/>
        <v>0</v>
      </c>
      <c r="AB435" s="944">
        <f t="shared" si="159"/>
        <v>0</v>
      </c>
      <c r="AC435" s="944">
        <f t="shared" si="160"/>
        <v>0</v>
      </c>
      <c r="AD435" s="943" t="e">
        <f t="shared" si="161"/>
        <v>#VALUE!</v>
      </c>
      <c r="AE435" s="943">
        <f t="shared" si="162"/>
        <v>0</v>
      </c>
      <c r="AF435" s="916">
        <f>IF(H435&gt;8,tab!$D$63,tab!$D$65)</f>
        <v>0.5</v>
      </c>
      <c r="AG435" s="925">
        <f t="shared" si="163"/>
        <v>0</v>
      </c>
      <c r="AH435" s="940">
        <f t="shared" si="164"/>
        <v>0</v>
      </c>
      <c r="AI435" s="924" t="e">
        <f>DATE(YEAR(tab!$H$3),MONTH(G435),DAY(G435))&gt;tab!$H$3</f>
        <v>#VALUE!</v>
      </c>
      <c r="AJ435" s="924" t="e">
        <f t="shared" si="165"/>
        <v>#VALUE!</v>
      </c>
      <c r="AK435" s="884">
        <f t="shared" si="166"/>
        <v>30</v>
      </c>
      <c r="AL435" s="884">
        <f t="shared" si="171"/>
        <v>30</v>
      </c>
      <c r="AM435" s="925">
        <f t="shared" si="167"/>
        <v>0</v>
      </c>
    </row>
    <row r="436" spans="3:39" x14ac:dyDescent="0.2">
      <c r="C436" s="69"/>
      <c r="D436" s="75" t="str">
        <f>IF(op!D369=0,"",op!D369)</f>
        <v/>
      </c>
      <c r="E436" s="75" t="str">
        <f>IF(op!E369=0,"-",op!E369)</f>
        <v/>
      </c>
      <c r="F436" s="88" t="str">
        <f>IF(op!F369="","",op!F369+1)</f>
        <v/>
      </c>
      <c r="G436" s="290" t="str">
        <f>IF(op!G369="","",op!G369)</f>
        <v/>
      </c>
      <c r="H436" s="88" t="str">
        <f>IF(op!H369=0,"",op!H369)</f>
        <v/>
      </c>
      <c r="I436" s="99" t="str">
        <f>IF(J436="","",(IF(op!I369+1&gt;LOOKUP(H436,schaal2019,regels2019),op!I369,op!I369+1)))</f>
        <v/>
      </c>
      <c r="J436" s="291" t="str">
        <f>IF(op!J369="","",op!J369)</f>
        <v/>
      </c>
      <c r="K436" s="971"/>
      <c r="L436" s="859">
        <f t="shared" si="153"/>
        <v>0</v>
      </c>
      <c r="M436" s="859">
        <f t="shared" si="153"/>
        <v>0</v>
      </c>
      <c r="N436" s="867" t="str">
        <f t="shared" si="168"/>
        <v/>
      </c>
      <c r="O436" s="867" t="str">
        <f t="shared" si="169"/>
        <v/>
      </c>
      <c r="P436" s="953" t="str">
        <f t="shared" si="154"/>
        <v/>
      </c>
      <c r="Q436" s="70"/>
      <c r="R436" s="739" t="str">
        <f t="shared" si="170"/>
        <v/>
      </c>
      <c r="S436" s="739" t="str">
        <f t="shared" si="155"/>
        <v/>
      </c>
      <c r="T436" s="740" t="str">
        <f t="shared" si="156"/>
        <v/>
      </c>
      <c r="U436" s="275"/>
      <c r="V436" s="288"/>
      <c r="W436" s="288"/>
      <c r="X436" s="288"/>
      <c r="Y436" s="908">
        <f t="shared" si="157"/>
        <v>0</v>
      </c>
      <c r="Z436" s="986">
        <f>tab!$D$62</f>
        <v>0.6</v>
      </c>
      <c r="AA436" s="944">
        <f t="shared" si="158"/>
        <v>0</v>
      </c>
      <c r="AB436" s="944">
        <f t="shared" si="159"/>
        <v>0</v>
      </c>
      <c r="AC436" s="944">
        <f t="shared" si="160"/>
        <v>0</v>
      </c>
      <c r="AD436" s="943" t="e">
        <f t="shared" si="161"/>
        <v>#VALUE!</v>
      </c>
      <c r="AE436" s="943">
        <f t="shared" si="162"/>
        <v>0</v>
      </c>
      <c r="AF436" s="916">
        <f>IF(H436&gt;8,tab!$D$63,tab!$D$65)</f>
        <v>0.5</v>
      </c>
      <c r="AG436" s="925">
        <f t="shared" si="163"/>
        <v>0</v>
      </c>
      <c r="AH436" s="940">
        <f t="shared" si="164"/>
        <v>0</v>
      </c>
      <c r="AI436" s="924" t="e">
        <f>DATE(YEAR(tab!$H$3),MONTH(G436),DAY(G436))&gt;tab!$H$3</f>
        <v>#VALUE!</v>
      </c>
      <c r="AJ436" s="924" t="e">
        <f t="shared" si="165"/>
        <v>#VALUE!</v>
      </c>
      <c r="AK436" s="884">
        <f t="shared" si="166"/>
        <v>30</v>
      </c>
      <c r="AL436" s="884">
        <f t="shared" si="171"/>
        <v>30</v>
      </c>
      <c r="AM436" s="925">
        <f t="shared" si="167"/>
        <v>0</v>
      </c>
    </row>
    <row r="437" spans="3:39" x14ac:dyDescent="0.2">
      <c r="C437" s="69"/>
      <c r="D437" s="75" t="str">
        <f>IF(op!D370=0,"",op!D370)</f>
        <v/>
      </c>
      <c r="E437" s="75" t="str">
        <f>IF(op!E370=0,"-",op!E370)</f>
        <v/>
      </c>
      <c r="F437" s="88" t="str">
        <f>IF(op!F370="","",op!F370+1)</f>
        <v/>
      </c>
      <c r="G437" s="290" t="str">
        <f>IF(op!G370="","",op!G370)</f>
        <v/>
      </c>
      <c r="H437" s="88" t="str">
        <f>IF(op!H370=0,"",op!H370)</f>
        <v/>
      </c>
      <c r="I437" s="99" t="str">
        <f>IF(J437="","",(IF(op!I370+1&gt;LOOKUP(H437,schaal2019,regels2019),op!I370,op!I370+1)))</f>
        <v/>
      </c>
      <c r="J437" s="291" t="str">
        <f>IF(op!J370="","",op!J370)</f>
        <v/>
      </c>
      <c r="K437" s="971"/>
      <c r="L437" s="859">
        <f t="shared" si="153"/>
        <v>0</v>
      </c>
      <c r="M437" s="859">
        <f t="shared" si="153"/>
        <v>0</v>
      </c>
      <c r="N437" s="867" t="str">
        <f t="shared" si="168"/>
        <v/>
      </c>
      <c r="O437" s="867" t="str">
        <f t="shared" si="169"/>
        <v/>
      </c>
      <c r="P437" s="953" t="str">
        <f t="shared" si="154"/>
        <v/>
      </c>
      <c r="Q437" s="70"/>
      <c r="R437" s="739" t="str">
        <f t="shared" si="170"/>
        <v/>
      </c>
      <c r="S437" s="739" t="str">
        <f t="shared" si="155"/>
        <v/>
      </c>
      <c r="T437" s="740" t="str">
        <f t="shared" si="156"/>
        <v/>
      </c>
      <c r="U437" s="275"/>
      <c r="V437" s="288"/>
      <c r="W437" s="288"/>
      <c r="X437" s="288"/>
      <c r="Y437" s="908">
        <f t="shared" si="157"/>
        <v>0</v>
      </c>
      <c r="Z437" s="986">
        <f>tab!$D$62</f>
        <v>0.6</v>
      </c>
      <c r="AA437" s="944">
        <f t="shared" si="158"/>
        <v>0</v>
      </c>
      <c r="AB437" s="944">
        <f t="shared" si="159"/>
        <v>0</v>
      </c>
      <c r="AC437" s="944">
        <f t="shared" si="160"/>
        <v>0</v>
      </c>
      <c r="AD437" s="943" t="e">
        <f t="shared" si="161"/>
        <v>#VALUE!</v>
      </c>
      <c r="AE437" s="943">
        <f t="shared" si="162"/>
        <v>0</v>
      </c>
      <c r="AF437" s="916">
        <f>IF(H437&gt;8,tab!$D$63,tab!$D$65)</f>
        <v>0.5</v>
      </c>
      <c r="AG437" s="925">
        <f t="shared" si="163"/>
        <v>0</v>
      </c>
      <c r="AH437" s="940">
        <f t="shared" si="164"/>
        <v>0</v>
      </c>
      <c r="AI437" s="924" t="e">
        <f>DATE(YEAR(tab!$H$3),MONTH(G437),DAY(G437))&gt;tab!$H$3</f>
        <v>#VALUE!</v>
      </c>
      <c r="AJ437" s="924" t="e">
        <f t="shared" si="165"/>
        <v>#VALUE!</v>
      </c>
      <c r="AK437" s="884">
        <f t="shared" si="166"/>
        <v>30</v>
      </c>
      <c r="AL437" s="884">
        <f t="shared" si="171"/>
        <v>30</v>
      </c>
      <c r="AM437" s="925">
        <f t="shared" si="167"/>
        <v>0</v>
      </c>
    </row>
    <row r="438" spans="3:39" x14ac:dyDescent="0.2">
      <c r="C438" s="69"/>
      <c r="D438" s="75" t="str">
        <f>IF(op!D371=0,"",op!D371)</f>
        <v/>
      </c>
      <c r="E438" s="75" t="str">
        <f>IF(op!E371=0,"-",op!E371)</f>
        <v/>
      </c>
      <c r="F438" s="88" t="str">
        <f>IF(op!F371="","",op!F371+1)</f>
        <v/>
      </c>
      <c r="G438" s="290" t="str">
        <f>IF(op!G371="","",op!G371)</f>
        <v/>
      </c>
      <c r="H438" s="88" t="str">
        <f>IF(op!H371=0,"",op!H371)</f>
        <v/>
      </c>
      <c r="I438" s="99" t="str">
        <f>IF(J438="","",(IF(op!I371+1&gt;LOOKUP(H438,schaal2019,regels2019),op!I371,op!I371+1)))</f>
        <v/>
      </c>
      <c r="J438" s="291" t="str">
        <f>IF(op!J371="","",op!J371)</f>
        <v/>
      </c>
      <c r="K438" s="971"/>
      <c r="L438" s="859">
        <f t="shared" si="153"/>
        <v>0</v>
      </c>
      <c r="M438" s="859">
        <f t="shared" si="153"/>
        <v>0</v>
      </c>
      <c r="N438" s="867" t="str">
        <f t="shared" si="168"/>
        <v/>
      </c>
      <c r="O438" s="867" t="str">
        <f t="shared" si="169"/>
        <v/>
      </c>
      <c r="P438" s="953" t="str">
        <f t="shared" si="154"/>
        <v/>
      </c>
      <c r="Q438" s="70"/>
      <c r="R438" s="739" t="str">
        <f t="shared" si="170"/>
        <v/>
      </c>
      <c r="S438" s="739" t="str">
        <f t="shared" si="155"/>
        <v/>
      </c>
      <c r="T438" s="740" t="str">
        <f t="shared" si="156"/>
        <v/>
      </c>
      <c r="U438" s="275"/>
      <c r="V438" s="288"/>
      <c r="W438" s="288"/>
      <c r="X438" s="288"/>
      <c r="Y438" s="908">
        <f t="shared" si="157"/>
        <v>0</v>
      </c>
      <c r="Z438" s="986">
        <f>tab!$D$62</f>
        <v>0.6</v>
      </c>
      <c r="AA438" s="944">
        <f t="shared" si="158"/>
        <v>0</v>
      </c>
      <c r="AB438" s="944">
        <f t="shared" si="159"/>
        <v>0</v>
      </c>
      <c r="AC438" s="944">
        <f t="shared" si="160"/>
        <v>0</v>
      </c>
      <c r="AD438" s="943" t="e">
        <f t="shared" si="161"/>
        <v>#VALUE!</v>
      </c>
      <c r="AE438" s="943">
        <f t="shared" si="162"/>
        <v>0</v>
      </c>
      <c r="AF438" s="916">
        <f>IF(H438&gt;8,tab!$D$63,tab!$D$65)</f>
        <v>0.5</v>
      </c>
      <c r="AG438" s="925">
        <f t="shared" si="163"/>
        <v>0</v>
      </c>
      <c r="AH438" s="940">
        <f t="shared" si="164"/>
        <v>0</v>
      </c>
      <c r="AI438" s="924" t="e">
        <f>DATE(YEAR(tab!$H$3),MONTH(G438),DAY(G438))&gt;tab!$H$3</f>
        <v>#VALUE!</v>
      </c>
      <c r="AJ438" s="924" t="e">
        <f t="shared" si="165"/>
        <v>#VALUE!</v>
      </c>
      <c r="AK438" s="884">
        <f t="shared" si="166"/>
        <v>30</v>
      </c>
      <c r="AL438" s="884">
        <f t="shared" si="171"/>
        <v>30</v>
      </c>
      <c r="AM438" s="925">
        <f t="shared" si="167"/>
        <v>0</v>
      </c>
    </row>
    <row r="439" spans="3:39" x14ac:dyDescent="0.2">
      <c r="C439" s="69"/>
      <c r="D439" s="75" t="str">
        <f>IF(op!D372=0,"",op!D372)</f>
        <v/>
      </c>
      <c r="E439" s="75" t="str">
        <f>IF(op!E372=0,"-",op!E372)</f>
        <v/>
      </c>
      <c r="F439" s="88" t="str">
        <f>IF(op!F372="","",op!F372+1)</f>
        <v/>
      </c>
      <c r="G439" s="290" t="str">
        <f>IF(op!G372="","",op!G372)</f>
        <v/>
      </c>
      <c r="H439" s="88" t="str">
        <f>IF(op!H372=0,"",op!H372)</f>
        <v/>
      </c>
      <c r="I439" s="99" t="str">
        <f>IF(J439="","",(IF(op!I372+1&gt;LOOKUP(H439,schaal2019,regels2019),op!I372,op!I372+1)))</f>
        <v/>
      </c>
      <c r="J439" s="291" t="str">
        <f>IF(op!J372="","",op!J372)</f>
        <v/>
      </c>
      <c r="K439" s="971"/>
      <c r="L439" s="859">
        <f t="shared" ref="L439:M458" si="172">IF(L372="","",L372)</f>
        <v>0</v>
      </c>
      <c r="M439" s="859">
        <f t="shared" si="172"/>
        <v>0</v>
      </c>
      <c r="N439" s="867" t="str">
        <f t="shared" si="168"/>
        <v/>
      </c>
      <c r="O439" s="867" t="str">
        <f t="shared" si="169"/>
        <v/>
      </c>
      <c r="P439" s="953" t="str">
        <f t="shared" si="154"/>
        <v/>
      </c>
      <c r="Q439" s="70"/>
      <c r="R439" s="739" t="str">
        <f t="shared" si="170"/>
        <v/>
      </c>
      <c r="S439" s="739" t="str">
        <f t="shared" si="155"/>
        <v/>
      </c>
      <c r="T439" s="740" t="str">
        <f t="shared" si="156"/>
        <v/>
      </c>
      <c r="U439" s="275"/>
      <c r="V439" s="288"/>
      <c r="W439" s="288"/>
      <c r="X439" s="288"/>
      <c r="Y439" s="908">
        <f t="shared" si="157"/>
        <v>0</v>
      </c>
      <c r="Z439" s="986">
        <f>tab!$D$62</f>
        <v>0.6</v>
      </c>
      <c r="AA439" s="944">
        <f t="shared" si="158"/>
        <v>0</v>
      </c>
      <c r="AB439" s="944">
        <f t="shared" si="159"/>
        <v>0</v>
      </c>
      <c r="AC439" s="944">
        <f t="shared" si="160"/>
        <v>0</v>
      </c>
      <c r="AD439" s="943" t="e">
        <f t="shared" si="161"/>
        <v>#VALUE!</v>
      </c>
      <c r="AE439" s="943">
        <f t="shared" si="162"/>
        <v>0</v>
      </c>
      <c r="AF439" s="916">
        <f>IF(H439&gt;8,tab!$D$63,tab!$D$65)</f>
        <v>0.5</v>
      </c>
      <c r="AG439" s="925">
        <f t="shared" si="163"/>
        <v>0</v>
      </c>
      <c r="AH439" s="940">
        <f t="shared" si="164"/>
        <v>0</v>
      </c>
      <c r="AI439" s="924" t="e">
        <f>DATE(YEAR(tab!$H$3),MONTH(G439),DAY(G439))&gt;tab!$H$3</f>
        <v>#VALUE!</v>
      </c>
      <c r="AJ439" s="924" t="e">
        <f t="shared" si="165"/>
        <v>#VALUE!</v>
      </c>
      <c r="AK439" s="884">
        <f t="shared" si="166"/>
        <v>30</v>
      </c>
      <c r="AL439" s="884">
        <f t="shared" si="171"/>
        <v>30</v>
      </c>
      <c r="AM439" s="925">
        <f t="shared" si="167"/>
        <v>0</v>
      </c>
    </row>
    <row r="440" spans="3:39" x14ac:dyDescent="0.2">
      <c r="C440" s="69"/>
      <c r="D440" s="75" t="str">
        <f>IF(op!D373=0,"",op!D373)</f>
        <v/>
      </c>
      <c r="E440" s="75" t="str">
        <f>IF(op!E373=0,"-",op!E373)</f>
        <v/>
      </c>
      <c r="F440" s="88" t="str">
        <f>IF(op!F373="","",op!F373+1)</f>
        <v/>
      </c>
      <c r="G440" s="290" t="str">
        <f>IF(op!G373="","",op!G373)</f>
        <v/>
      </c>
      <c r="H440" s="88" t="str">
        <f>IF(op!H373=0,"",op!H373)</f>
        <v/>
      </c>
      <c r="I440" s="99" t="str">
        <f>IF(J440="","",(IF(op!I373+1&gt;LOOKUP(H440,schaal2019,regels2019),op!I373,op!I373+1)))</f>
        <v/>
      </c>
      <c r="J440" s="291" t="str">
        <f>IF(op!J373="","",op!J373)</f>
        <v/>
      </c>
      <c r="K440" s="971"/>
      <c r="L440" s="859">
        <f t="shared" si="172"/>
        <v>0</v>
      </c>
      <c r="M440" s="859">
        <f t="shared" si="172"/>
        <v>0</v>
      </c>
      <c r="N440" s="867" t="str">
        <f t="shared" si="168"/>
        <v/>
      </c>
      <c r="O440" s="867" t="str">
        <f t="shared" si="169"/>
        <v/>
      </c>
      <c r="P440" s="953" t="str">
        <f t="shared" si="154"/>
        <v/>
      </c>
      <c r="Q440" s="70"/>
      <c r="R440" s="739" t="str">
        <f t="shared" si="170"/>
        <v/>
      </c>
      <c r="S440" s="739" t="str">
        <f t="shared" si="155"/>
        <v/>
      </c>
      <c r="T440" s="740" t="str">
        <f t="shared" si="156"/>
        <v/>
      </c>
      <c r="U440" s="275"/>
      <c r="V440" s="288"/>
      <c r="W440" s="288"/>
      <c r="X440" s="288"/>
      <c r="Y440" s="908">
        <f t="shared" si="157"/>
        <v>0</v>
      </c>
      <c r="Z440" s="986">
        <f>tab!$D$62</f>
        <v>0.6</v>
      </c>
      <c r="AA440" s="944">
        <f t="shared" si="158"/>
        <v>0</v>
      </c>
      <c r="AB440" s="944">
        <f t="shared" si="159"/>
        <v>0</v>
      </c>
      <c r="AC440" s="944">
        <f t="shared" si="160"/>
        <v>0</v>
      </c>
      <c r="AD440" s="943" t="e">
        <f t="shared" si="161"/>
        <v>#VALUE!</v>
      </c>
      <c r="AE440" s="943">
        <f t="shared" si="162"/>
        <v>0</v>
      </c>
      <c r="AF440" s="916">
        <f>IF(H440&gt;8,tab!$D$63,tab!$D$65)</f>
        <v>0.5</v>
      </c>
      <c r="AG440" s="925">
        <f t="shared" si="163"/>
        <v>0</v>
      </c>
      <c r="AH440" s="940">
        <f t="shared" si="164"/>
        <v>0</v>
      </c>
      <c r="AI440" s="924" t="e">
        <f>DATE(YEAR(tab!$H$3),MONTH(G440),DAY(G440))&gt;tab!$H$3</f>
        <v>#VALUE!</v>
      </c>
      <c r="AJ440" s="924" t="e">
        <f t="shared" si="165"/>
        <v>#VALUE!</v>
      </c>
      <c r="AK440" s="884">
        <f t="shared" si="166"/>
        <v>30</v>
      </c>
      <c r="AL440" s="884">
        <f t="shared" si="171"/>
        <v>30</v>
      </c>
      <c r="AM440" s="925">
        <f t="shared" si="167"/>
        <v>0</v>
      </c>
    </row>
    <row r="441" spans="3:39" x14ac:dyDescent="0.2">
      <c r="C441" s="69"/>
      <c r="D441" s="75" t="str">
        <f>IF(op!D374=0,"",op!D374)</f>
        <v/>
      </c>
      <c r="E441" s="75" t="str">
        <f>IF(op!E374=0,"-",op!E374)</f>
        <v/>
      </c>
      <c r="F441" s="88" t="str">
        <f>IF(op!F374="","",op!F374+1)</f>
        <v/>
      </c>
      <c r="G441" s="290" t="str">
        <f>IF(op!G374="","",op!G374)</f>
        <v/>
      </c>
      <c r="H441" s="88" t="str">
        <f>IF(op!H374=0,"",op!H374)</f>
        <v/>
      </c>
      <c r="I441" s="99" t="str">
        <f>IF(J441="","",(IF(op!I374+1&gt;LOOKUP(H441,schaal2019,regels2019),op!I374,op!I374+1)))</f>
        <v/>
      </c>
      <c r="J441" s="291" t="str">
        <f>IF(op!J374="","",op!J374)</f>
        <v/>
      </c>
      <c r="K441" s="971"/>
      <c r="L441" s="859">
        <f t="shared" si="172"/>
        <v>0</v>
      </c>
      <c r="M441" s="859">
        <f t="shared" si="172"/>
        <v>0</v>
      </c>
      <c r="N441" s="867" t="str">
        <f t="shared" si="168"/>
        <v/>
      </c>
      <c r="O441" s="867" t="str">
        <f t="shared" si="169"/>
        <v/>
      </c>
      <c r="P441" s="953" t="str">
        <f t="shared" si="154"/>
        <v/>
      </c>
      <c r="Q441" s="70"/>
      <c r="R441" s="739" t="str">
        <f t="shared" si="170"/>
        <v/>
      </c>
      <c r="S441" s="739" t="str">
        <f t="shared" si="155"/>
        <v/>
      </c>
      <c r="T441" s="740" t="str">
        <f t="shared" si="156"/>
        <v/>
      </c>
      <c r="U441" s="275"/>
      <c r="V441" s="288"/>
      <c r="W441" s="288"/>
      <c r="X441" s="288"/>
      <c r="Y441" s="908">
        <f t="shared" si="157"/>
        <v>0</v>
      </c>
      <c r="Z441" s="986">
        <f>tab!$D$62</f>
        <v>0.6</v>
      </c>
      <c r="AA441" s="944">
        <f t="shared" si="158"/>
        <v>0</v>
      </c>
      <c r="AB441" s="944">
        <f t="shared" si="159"/>
        <v>0</v>
      </c>
      <c r="AC441" s="944">
        <f t="shared" si="160"/>
        <v>0</v>
      </c>
      <c r="AD441" s="943" t="e">
        <f t="shared" si="161"/>
        <v>#VALUE!</v>
      </c>
      <c r="AE441" s="943">
        <f t="shared" si="162"/>
        <v>0</v>
      </c>
      <c r="AF441" s="916">
        <f>IF(H441&gt;8,tab!$D$63,tab!$D$65)</f>
        <v>0.5</v>
      </c>
      <c r="AG441" s="925">
        <f t="shared" si="163"/>
        <v>0</v>
      </c>
      <c r="AH441" s="940">
        <f t="shared" si="164"/>
        <v>0</v>
      </c>
      <c r="AI441" s="924" t="e">
        <f>DATE(YEAR(tab!$H$3),MONTH(G441),DAY(G441))&gt;tab!$H$3</f>
        <v>#VALUE!</v>
      </c>
      <c r="AJ441" s="924" t="e">
        <f t="shared" si="165"/>
        <v>#VALUE!</v>
      </c>
      <c r="AK441" s="884">
        <f t="shared" si="166"/>
        <v>30</v>
      </c>
      <c r="AL441" s="884">
        <f t="shared" si="171"/>
        <v>30</v>
      </c>
      <c r="AM441" s="925">
        <f t="shared" si="167"/>
        <v>0</v>
      </c>
    </row>
    <row r="442" spans="3:39" x14ac:dyDescent="0.2">
      <c r="C442" s="69"/>
      <c r="D442" s="75" t="str">
        <f>IF(op!D375=0,"",op!D375)</f>
        <v/>
      </c>
      <c r="E442" s="75" t="str">
        <f>IF(op!E375=0,"-",op!E375)</f>
        <v/>
      </c>
      <c r="F442" s="88" t="str">
        <f>IF(op!F375="","",op!F375+1)</f>
        <v/>
      </c>
      <c r="G442" s="290" t="str">
        <f>IF(op!G375="","",op!G375)</f>
        <v/>
      </c>
      <c r="H442" s="88" t="str">
        <f>IF(op!H375=0,"",op!H375)</f>
        <v/>
      </c>
      <c r="I442" s="99" t="str">
        <f>IF(J442="","",(IF(op!I375+1&gt;LOOKUP(H442,schaal2019,regels2019),op!I375,op!I375+1)))</f>
        <v/>
      </c>
      <c r="J442" s="291" t="str">
        <f>IF(op!J375="","",op!J375)</f>
        <v/>
      </c>
      <c r="K442" s="971"/>
      <c r="L442" s="859">
        <f t="shared" si="172"/>
        <v>0</v>
      </c>
      <c r="M442" s="859">
        <f t="shared" si="172"/>
        <v>0</v>
      </c>
      <c r="N442" s="867" t="str">
        <f t="shared" si="168"/>
        <v/>
      </c>
      <c r="O442" s="867" t="str">
        <f t="shared" si="169"/>
        <v/>
      </c>
      <c r="P442" s="953" t="str">
        <f t="shared" si="154"/>
        <v/>
      </c>
      <c r="Q442" s="70"/>
      <c r="R442" s="739" t="str">
        <f t="shared" si="170"/>
        <v/>
      </c>
      <c r="S442" s="739" t="str">
        <f t="shared" si="155"/>
        <v/>
      </c>
      <c r="T442" s="740" t="str">
        <f t="shared" si="156"/>
        <v/>
      </c>
      <c r="U442" s="275"/>
      <c r="V442" s="288"/>
      <c r="W442" s="288"/>
      <c r="X442" s="288"/>
      <c r="Y442" s="908">
        <f t="shared" si="157"/>
        <v>0</v>
      </c>
      <c r="Z442" s="986">
        <f>tab!$D$62</f>
        <v>0.6</v>
      </c>
      <c r="AA442" s="944">
        <f t="shared" si="158"/>
        <v>0</v>
      </c>
      <c r="AB442" s="944">
        <f t="shared" si="159"/>
        <v>0</v>
      </c>
      <c r="AC442" s="944">
        <f t="shared" si="160"/>
        <v>0</v>
      </c>
      <c r="AD442" s="943" t="e">
        <f t="shared" si="161"/>
        <v>#VALUE!</v>
      </c>
      <c r="AE442" s="943">
        <f t="shared" si="162"/>
        <v>0</v>
      </c>
      <c r="AF442" s="916">
        <f>IF(H442&gt;8,tab!$D$63,tab!$D$65)</f>
        <v>0.5</v>
      </c>
      <c r="AG442" s="925">
        <f t="shared" si="163"/>
        <v>0</v>
      </c>
      <c r="AH442" s="940">
        <f t="shared" si="164"/>
        <v>0</v>
      </c>
      <c r="AI442" s="924" t="e">
        <f>DATE(YEAR(tab!$H$3),MONTH(G442),DAY(G442))&gt;tab!$H$3</f>
        <v>#VALUE!</v>
      </c>
      <c r="AJ442" s="924" t="e">
        <f t="shared" si="165"/>
        <v>#VALUE!</v>
      </c>
      <c r="AK442" s="884">
        <f t="shared" si="166"/>
        <v>30</v>
      </c>
      <c r="AL442" s="884">
        <f t="shared" si="171"/>
        <v>30</v>
      </c>
      <c r="AM442" s="925">
        <f t="shared" si="167"/>
        <v>0</v>
      </c>
    </row>
    <row r="443" spans="3:39" x14ac:dyDescent="0.2">
      <c r="C443" s="69"/>
      <c r="D443" s="75" t="str">
        <f>IF(op!D376=0,"",op!D376)</f>
        <v/>
      </c>
      <c r="E443" s="75" t="str">
        <f>IF(op!E376=0,"-",op!E376)</f>
        <v/>
      </c>
      <c r="F443" s="88" t="str">
        <f>IF(op!F376="","",op!F376+1)</f>
        <v/>
      </c>
      <c r="G443" s="290" t="str">
        <f>IF(op!G376="","",op!G376)</f>
        <v/>
      </c>
      <c r="H443" s="88" t="str">
        <f>IF(op!H376=0,"",op!H376)</f>
        <v/>
      </c>
      <c r="I443" s="99" t="str">
        <f>IF(J443="","",(IF(op!I376+1&gt;LOOKUP(H443,schaal2019,regels2019),op!I376,op!I376+1)))</f>
        <v/>
      </c>
      <c r="J443" s="291" t="str">
        <f>IF(op!J376="","",op!J376)</f>
        <v/>
      </c>
      <c r="K443" s="971"/>
      <c r="L443" s="859">
        <f t="shared" si="172"/>
        <v>0</v>
      </c>
      <c r="M443" s="859">
        <f t="shared" si="172"/>
        <v>0</v>
      </c>
      <c r="N443" s="867" t="str">
        <f t="shared" si="168"/>
        <v/>
      </c>
      <c r="O443" s="867" t="str">
        <f t="shared" si="169"/>
        <v/>
      </c>
      <c r="P443" s="953" t="str">
        <f t="shared" si="154"/>
        <v/>
      </c>
      <c r="Q443" s="70"/>
      <c r="R443" s="739" t="str">
        <f t="shared" si="170"/>
        <v/>
      </c>
      <c r="S443" s="739" t="str">
        <f t="shared" si="155"/>
        <v/>
      </c>
      <c r="T443" s="740" t="str">
        <f t="shared" si="156"/>
        <v/>
      </c>
      <c r="U443" s="275"/>
      <c r="V443" s="288"/>
      <c r="W443" s="288"/>
      <c r="X443" s="288"/>
      <c r="Y443" s="908">
        <f t="shared" si="157"/>
        <v>0</v>
      </c>
      <c r="Z443" s="986">
        <f>tab!$D$62</f>
        <v>0.6</v>
      </c>
      <c r="AA443" s="944">
        <f t="shared" si="158"/>
        <v>0</v>
      </c>
      <c r="AB443" s="944">
        <f t="shared" si="159"/>
        <v>0</v>
      </c>
      <c r="AC443" s="944">
        <f t="shared" si="160"/>
        <v>0</v>
      </c>
      <c r="AD443" s="943" t="e">
        <f t="shared" si="161"/>
        <v>#VALUE!</v>
      </c>
      <c r="AE443" s="943">
        <f t="shared" si="162"/>
        <v>0</v>
      </c>
      <c r="AF443" s="916">
        <f>IF(H443&gt;8,tab!$D$63,tab!$D$65)</f>
        <v>0.5</v>
      </c>
      <c r="AG443" s="925">
        <f t="shared" si="163"/>
        <v>0</v>
      </c>
      <c r="AH443" s="940">
        <f t="shared" si="164"/>
        <v>0</v>
      </c>
      <c r="AI443" s="924" t="e">
        <f>DATE(YEAR(tab!$H$3),MONTH(G443),DAY(G443))&gt;tab!$H$3</f>
        <v>#VALUE!</v>
      </c>
      <c r="AJ443" s="924" t="e">
        <f t="shared" si="165"/>
        <v>#VALUE!</v>
      </c>
      <c r="AK443" s="884">
        <f t="shared" si="166"/>
        <v>30</v>
      </c>
      <c r="AL443" s="884">
        <f t="shared" si="171"/>
        <v>30</v>
      </c>
      <c r="AM443" s="925">
        <f t="shared" si="167"/>
        <v>0</v>
      </c>
    </row>
    <row r="444" spans="3:39" x14ac:dyDescent="0.2">
      <c r="C444" s="69"/>
      <c r="D444" s="75" t="str">
        <f>IF(op!D377=0,"",op!D377)</f>
        <v/>
      </c>
      <c r="E444" s="75" t="str">
        <f>IF(op!E377=0,"-",op!E377)</f>
        <v/>
      </c>
      <c r="F444" s="88" t="str">
        <f>IF(op!F377="","",op!F377+1)</f>
        <v/>
      </c>
      <c r="G444" s="290" t="str">
        <f>IF(op!G377="","",op!G377)</f>
        <v/>
      </c>
      <c r="H444" s="88" t="str">
        <f>IF(op!H377=0,"",op!H377)</f>
        <v/>
      </c>
      <c r="I444" s="99" t="str">
        <f>IF(J444="","",(IF(op!I377+1&gt;LOOKUP(H444,schaal2019,regels2019),op!I377,op!I377+1)))</f>
        <v/>
      </c>
      <c r="J444" s="291" t="str">
        <f>IF(op!J377="","",op!J377)</f>
        <v/>
      </c>
      <c r="K444" s="971"/>
      <c r="L444" s="859">
        <f t="shared" si="172"/>
        <v>0</v>
      </c>
      <c r="M444" s="859">
        <f t="shared" si="172"/>
        <v>0</v>
      </c>
      <c r="N444" s="867" t="str">
        <f t="shared" si="168"/>
        <v/>
      </c>
      <c r="O444" s="867" t="str">
        <f t="shared" si="169"/>
        <v/>
      </c>
      <c r="P444" s="953" t="str">
        <f t="shared" si="154"/>
        <v/>
      </c>
      <c r="Q444" s="70"/>
      <c r="R444" s="739" t="str">
        <f t="shared" si="170"/>
        <v/>
      </c>
      <c r="S444" s="739" t="str">
        <f t="shared" si="155"/>
        <v/>
      </c>
      <c r="T444" s="740" t="str">
        <f t="shared" si="156"/>
        <v/>
      </c>
      <c r="U444" s="275"/>
      <c r="V444" s="288"/>
      <c r="W444" s="288"/>
      <c r="X444" s="288"/>
      <c r="Y444" s="908">
        <f t="shared" si="157"/>
        <v>0</v>
      </c>
      <c r="Z444" s="986">
        <f>tab!$D$62</f>
        <v>0.6</v>
      </c>
      <c r="AA444" s="944">
        <f t="shared" si="158"/>
        <v>0</v>
      </c>
      <c r="AB444" s="944">
        <f t="shared" si="159"/>
        <v>0</v>
      </c>
      <c r="AC444" s="944">
        <f t="shared" si="160"/>
        <v>0</v>
      </c>
      <c r="AD444" s="943" t="e">
        <f t="shared" si="161"/>
        <v>#VALUE!</v>
      </c>
      <c r="AE444" s="943">
        <f t="shared" si="162"/>
        <v>0</v>
      </c>
      <c r="AF444" s="916">
        <f>IF(H444&gt;8,tab!$D$63,tab!$D$65)</f>
        <v>0.5</v>
      </c>
      <c r="AG444" s="925">
        <f t="shared" si="163"/>
        <v>0</v>
      </c>
      <c r="AH444" s="940">
        <f t="shared" si="164"/>
        <v>0</v>
      </c>
      <c r="AI444" s="924" t="e">
        <f>DATE(YEAR(tab!$H$3),MONTH(G444),DAY(G444))&gt;tab!$H$3</f>
        <v>#VALUE!</v>
      </c>
      <c r="AJ444" s="924" t="e">
        <f t="shared" si="165"/>
        <v>#VALUE!</v>
      </c>
      <c r="AK444" s="884">
        <f t="shared" si="166"/>
        <v>30</v>
      </c>
      <c r="AL444" s="884">
        <f t="shared" si="171"/>
        <v>30</v>
      </c>
      <c r="AM444" s="925">
        <f t="shared" si="167"/>
        <v>0</v>
      </c>
    </row>
    <row r="445" spans="3:39" x14ac:dyDescent="0.2">
      <c r="C445" s="69"/>
      <c r="D445" s="75" t="str">
        <f>IF(op!D378=0,"",op!D378)</f>
        <v/>
      </c>
      <c r="E445" s="75" t="str">
        <f>IF(op!E378=0,"-",op!E378)</f>
        <v/>
      </c>
      <c r="F445" s="88" t="str">
        <f>IF(op!F378="","",op!F378+1)</f>
        <v/>
      </c>
      <c r="G445" s="290" t="str">
        <f>IF(op!G378="","",op!G378)</f>
        <v/>
      </c>
      <c r="H445" s="88" t="str">
        <f>IF(op!H378=0,"",op!H378)</f>
        <v/>
      </c>
      <c r="I445" s="99" t="str">
        <f>IF(J445="","",(IF(op!I378+1&gt;LOOKUP(H445,schaal2019,regels2019),op!I378,op!I378+1)))</f>
        <v/>
      </c>
      <c r="J445" s="291" t="str">
        <f>IF(op!J378="","",op!J378)</f>
        <v/>
      </c>
      <c r="K445" s="971"/>
      <c r="L445" s="859">
        <f t="shared" si="172"/>
        <v>0</v>
      </c>
      <c r="M445" s="859">
        <f t="shared" si="172"/>
        <v>0</v>
      </c>
      <c r="N445" s="867" t="str">
        <f t="shared" si="168"/>
        <v/>
      </c>
      <c r="O445" s="867" t="str">
        <f t="shared" si="169"/>
        <v/>
      </c>
      <c r="P445" s="953" t="str">
        <f t="shared" si="154"/>
        <v/>
      </c>
      <c r="Q445" s="70"/>
      <c r="R445" s="739" t="str">
        <f t="shared" si="170"/>
        <v/>
      </c>
      <c r="S445" s="739" t="str">
        <f t="shared" si="155"/>
        <v/>
      </c>
      <c r="T445" s="740" t="str">
        <f t="shared" si="156"/>
        <v/>
      </c>
      <c r="U445" s="275"/>
      <c r="V445" s="288"/>
      <c r="W445" s="288"/>
      <c r="X445" s="288"/>
      <c r="Y445" s="908">
        <f t="shared" si="157"/>
        <v>0</v>
      </c>
      <c r="Z445" s="986">
        <f>tab!$D$62</f>
        <v>0.6</v>
      </c>
      <c r="AA445" s="944">
        <f t="shared" si="158"/>
        <v>0</v>
      </c>
      <c r="AB445" s="944">
        <f t="shared" si="159"/>
        <v>0</v>
      </c>
      <c r="AC445" s="944">
        <f t="shared" si="160"/>
        <v>0</v>
      </c>
      <c r="AD445" s="943" t="e">
        <f t="shared" si="161"/>
        <v>#VALUE!</v>
      </c>
      <c r="AE445" s="943">
        <f t="shared" si="162"/>
        <v>0</v>
      </c>
      <c r="AF445" s="916">
        <f>IF(H445&gt;8,tab!$D$63,tab!$D$65)</f>
        <v>0.5</v>
      </c>
      <c r="AG445" s="925">
        <f t="shared" si="163"/>
        <v>0</v>
      </c>
      <c r="AH445" s="940">
        <f t="shared" si="164"/>
        <v>0</v>
      </c>
      <c r="AI445" s="924" t="e">
        <f>DATE(YEAR(tab!$H$3),MONTH(G445),DAY(G445))&gt;tab!$H$3</f>
        <v>#VALUE!</v>
      </c>
      <c r="AJ445" s="924" t="e">
        <f t="shared" si="165"/>
        <v>#VALUE!</v>
      </c>
      <c r="AK445" s="884">
        <f t="shared" si="166"/>
        <v>30</v>
      </c>
      <c r="AL445" s="884">
        <f t="shared" si="171"/>
        <v>30</v>
      </c>
      <c r="AM445" s="925">
        <f t="shared" si="167"/>
        <v>0</v>
      </c>
    </row>
    <row r="446" spans="3:39" x14ac:dyDescent="0.2">
      <c r="C446" s="69"/>
      <c r="D446" s="75" t="str">
        <f>IF(op!D379=0,"",op!D379)</f>
        <v/>
      </c>
      <c r="E446" s="75" t="str">
        <f>IF(op!E379=0,"-",op!E379)</f>
        <v/>
      </c>
      <c r="F446" s="88" t="str">
        <f>IF(op!F379="","",op!F379+1)</f>
        <v/>
      </c>
      <c r="G446" s="290" t="str">
        <f>IF(op!G379="","",op!G379)</f>
        <v/>
      </c>
      <c r="H446" s="88" t="str">
        <f>IF(op!H379=0,"",op!H379)</f>
        <v/>
      </c>
      <c r="I446" s="99" t="str">
        <f>IF(J446="","",(IF(op!I379+1&gt;LOOKUP(H446,schaal2019,regels2019),op!I379,op!I379+1)))</f>
        <v/>
      </c>
      <c r="J446" s="291" t="str">
        <f>IF(op!J379="","",op!J379)</f>
        <v/>
      </c>
      <c r="K446" s="971"/>
      <c r="L446" s="859">
        <f t="shared" si="172"/>
        <v>0</v>
      </c>
      <c r="M446" s="859">
        <f t="shared" si="172"/>
        <v>0</v>
      </c>
      <c r="N446" s="867" t="str">
        <f t="shared" si="168"/>
        <v/>
      </c>
      <c r="O446" s="867" t="str">
        <f t="shared" si="169"/>
        <v/>
      </c>
      <c r="P446" s="953" t="str">
        <f t="shared" si="154"/>
        <v/>
      </c>
      <c r="Q446" s="70"/>
      <c r="R446" s="739" t="str">
        <f t="shared" si="170"/>
        <v/>
      </c>
      <c r="S446" s="739" t="str">
        <f t="shared" si="155"/>
        <v/>
      </c>
      <c r="T446" s="740" t="str">
        <f t="shared" si="156"/>
        <v/>
      </c>
      <c r="U446" s="275"/>
      <c r="V446" s="288"/>
      <c r="W446" s="288"/>
      <c r="X446" s="288"/>
      <c r="Y446" s="908">
        <f t="shared" si="157"/>
        <v>0</v>
      </c>
      <c r="Z446" s="986">
        <f>tab!$D$62</f>
        <v>0.6</v>
      </c>
      <c r="AA446" s="944">
        <f t="shared" si="158"/>
        <v>0</v>
      </c>
      <c r="AB446" s="944">
        <f t="shared" si="159"/>
        <v>0</v>
      </c>
      <c r="AC446" s="944">
        <f t="shared" si="160"/>
        <v>0</v>
      </c>
      <c r="AD446" s="943" t="e">
        <f t="shared" si="161"/>
        <v>#VALUE!</v>
      </c>
      <c r="AE446" s="943">
        <f t="shared" si="162"/>
        <v>0</v>
      </c>
      <c r="AF446" s="916">
        <f>IF(H446&gt;8,tab!$D$63,tab!$D$65)</f>
        <v>0.5</v>
      </c>
      <c r="AG446" s="925">
        <f t="shared" si="163"/>
        <v>0</v>
      </c>
      <c r="AH446" s="940">
        <f t="shared" si="164"/>
        <v>0</v>
      </c>
      <c r="AI446" s="924" t="e">
        <f>DATE(YEAR(tab!$H$3),MONTH(G446),DAY(G446))&gt;tab!$H$3</f>
        <v>#VALUE!</v>
      </c>
      <c r="AJ446" s="924" t="e">
        <f t="shared" si="165"/>
        <v>#VALUE!</v>
      </c>
      <c r="AK446" s="884">
        <f t="shared" si="166"/>
        <v>30</v>
      </c>
      <c r="AL446" s="884">
        <f t="shared" si="171"/>
        <v>30</v>
      </c>
      <c r="AM446" s="925">
        <f t="shared" si="167"/>
        <v>0</v>
      </c>
    </row>
    <row r="447" spans="3:39" x14ac:dyDescent="0.2">
      <c r="C447" s="69"/>
      <c r="D447" s="75" t="str">
        <f>IF(op!D380=0,"",op!D380)</f>
        <v/>
      </c>
      <c r="E447" s="75" t="str">
        <f>IF(op!E380=0,"-",op!E380)</f>
        <v/>
      </c>
      <c r="F447" s="88" t="str">
        <f>IF(op!F380="","",op!F380+1)</f>
        <v/>
      </c>
      <c r="G447" s="290" t="str">
        <f>IF(op!G380="","",op!G380)</f>
        <v/>
      </c>
      <c r="H447" s="88" t="str">
        <f>IF(op!H380=0,"",op!H380)</f>
        <v/>
      </c>
      <c r="I447" s="99" t="str">
        <f>IF(J447="","",(IF(op!I380+1&gt;LOOKUP(H447,schaal2019,regels2019),op!I380,op!I380+1)))</f>
        <v/>
      </c>
      <c r="J447" s="291" t="str">
        <f>IF(op!J380="","",op!J380)</f>
        <v/>
      </c>
      <c r="K447" s="971"/>
      <c r="L447" s="859">
        <f t="shared" si="172"/>
        <v>0</v>
      </c>
      <c r="M447" s="859">
        <f t="shared" si="172"/>
        <v>0</v>
      </c>
      <c r="N447" s="867" t="str">
        <f t="shared" si="168"/>
        <v/>
      </c>
      <c r="O447" s="867" t="str">
        <f t="shared" si="169"/>
        <v/>
      </c>
      <c r="P447" s="953" t="str">
        <f t="shared" si="154"/>
        <v/>
      </c>
      <c r="Q447" s="70"/>
      <c r="R447" s="739" t="str">
        <f t="shared" si="170"/>
        <v/>
      </c>
      <c r="S447" s="739" t="str">
        <f t="shared" si="155"/>
        <v/>
      </c>
      <c r="T447" s="740" t="str">
        <f t="shared" si="156"/>
        <v/>
      </c>
      <c r="U447" s="275"/>
      <c r="V447" s="288"/>
      <c r="W447" s="288"/>
      <c r="X447" s="288"/>
      <c r="Y447" s="908">
        <f t="shared" si="157"/>
        <v>0</v>
      </c>
      <c r="Z447" s="986">
        <f>tab!$D$62</f>
        <v>0.6</v>
      </c>
      <c r="AA447" s="944">
        <f t="shared" si="158"/>
        <v>0</v>
      </c>
      <c r="AB447" s="944">
        <f t="shared" si="159"/>
        <v>0</v>
      </c>
      <c r="AC447" s="944">
        <f t="shared" si="160"/>
        <v>0</v>
      </c>
      <c r="AD447" s="943" t="e">
        <f t="shared" si="161"/>
        <v>#VALUE!</v>
      </c>
      <c r="AE447" s="943">
        <f t="shared" si="162"/>
        <v>0</v>
      </c>
      <c r="AF447" s="916">
        <f>IF(H447&gt;8,tab!$D$63,tab!$D$65)</f>
        <v>0.5</v>
      </c>
      <c r="AG447" s="925">
        <f t="shared" si="163"/>
        <v>0</v>
      </c>
      <c r="AH447" s="940">
        <f t="shared" si="164"/>
        <v>0</v>
      </c>
      <c r="AI447" s="924" t="e">
        <f>DATE(YEAR(tab!$H$3),MONTH(G447),DAY(G447))&gt;tab!$H$3</f>
        <v>#VALUE!</v>
      </c>
      <c r="AJ447" s="924" t="e">
        <f t="shared" si="165"/>
        <v>#VALUE!</v>
      </c>
      <c r="AK447" s="884">
        <f t="shared" si="166"/>
        <v>30</v>
      </c>
      <c r="AL447" s="884">
        <f t="shared" si="171"/>
        <v>30</v>
      </c>
      <c r="AM447" s="925">
        <f t="shared" si="167"/>
        <v>0</v>
      </c>
    </row>
    <row r="448" spans="3:39" x14ac:dyDescent="0.2">
      <c r="C448" s="69"/>
      <c r="D448" s="75" t="str">
        <f>IF(op!D381=0,"",op!D381)</f>
        <v/>
      </c>
      <c r="E448" s="75" t="str">
        <f>IF(op!E381=0,"-",op!E381)</f>
        <v/>
      </c>
      <c r="F448" s="88" t="str">
        <f>IF(op!F381="","",op!F381+1)</f>
        <v/>
      </c>
      <c r="G448" s="290" t="str">
        <f>IF(op!G381="","",op!G381)</f>
        <v/>
      </c>
      <c r="H448" s="88" t="str">
        <f>IF(op!H381=0,"",op!H381)</f>
        <v/>
      </c>
      <c r="I448" s="99" t="str">
        <f>IF(J448="","",(IF(op!I381+1&gt;LOOKUP(H448,schaal2019,regels2019),op!I381,op!I381+1)))</f>
        <v/>
      </c>
      <c r="J448" s="291" t="str">
        <f>IF(op!J381="","",op!J381)</f>
        <v/>
      </c>
      <c r="K448" s="971"/>
      <c r="L448" s="859">
        <f t="shared" si="172"/>
        <v>0</v>
      </c>
      <c r="M448" s="859">
        <f t="shared" si="172"/>
        <v>0</v>
      </c>
      <c r="N448" s="867" t="str">
        <f t="shared" si="168"/>
        <v/>
      </c>
      <c r="O448" s="867" t="str">
        <f t="shared" si="169"/>
        <v/>
      </c>
      <c r="P448" s="953" t="str">
        <f t="shared" si="154"/>
        <v/>
      </c>
      <c r="Q448" s="70"/>
      <c r="R448" s="739" t="str">
        <f t="shared" si="170"/>
        <v/>
      </c>
      <c r="S448" s="739" t="str">
        <f t="shared" si="155"/>
        <v/>
      </c>
      <c r="T448" s="740" t="str">
        <f t="shared" si="156"/>
        <v/>
      </c>
      <c r="U448" s="275"/>
      <c r="V448" s="288"/>
      <c r="W448" s="288"/>
      <c r="X448" s="288"/>
      <c r="Y448" s="908">
        <f t="shared" si="157"/>
        <v>0</v>
      </c>
      <c r="Z448" s="986">
        <f>tab!$D$62</f>
        <v>0.6</v>
      </c>
      <c r="AA448" s="944">
        <f t="shared" si="158"/>
        <v>0</v>
      </c>
      <c r="AB448" s="944">
        <f t="shared" si="159"/>
        <v>0</v>
      </c>
      <c r="AC448" s="944">
        <f t="shared" si="160"/>
        <v>0</v>
      </c>
      <c r="AD448" s="943" t="e">
        <f t="shared" si="161"/>
        <v>#VALUE!</v>
      </c>
      <c r="AE448" s="943">
        <f t="shared" si="162"/>
        <v>0</v>
      </c>
      <c r="AF448" s="916">
        <f>IF(H448&gt;8,tab!$D$63,tab!$D$65)</f>
        <v>0.5</v>
      </c>
      <c r="AG448" s="925">
        <f t="shared" si="163"/>
        <v>0</v>
      </c>
      <c r="AH448" s="940">
        <f t="shared" si="164"/>
        <v>0</v>
      </c>
      <c r="AI448" s="924" t="e">
        <f>DATE(YEAR(tab!$H$3),MONTH(G448),DAY(G448))&gt;tab!$H$3</f>
        <v>#VALUE!</v>
      </c>
      <c r="AJ448" s="924" t="e">
        <f t="shared" si="165"/>
        <v>#VALUE!</v>
      </c>
      <c r="AK448" s="884">
        <f t="shared" si="166"/>
        <v>30</v>
      </c>
      <c r="AL448" s="884">
        <f t="shared" si="171"/>
        <v>30</v>
      </c>
      <c r="AM448" s="925">
        <f t="shared" si="167"/>
        <v>0</v>
      </c>
    </row>
    <row r="449" spans="3:39" x14ac:dyDescent="0.2">
      <c r="C449" s="69"/>
      <c r="D449" s="75" t="str">
        <f>IF(op!D382=0,"",op!D382)</f>
        <v/>
      </c>
      <c r="E449" s="75" t="str">
        <f>IF(op!E382=0,"-",op!E382)</f>
        <v/>
      </c>
      <c r="F449" s="88" t="str">
        <f>IF(op!F382="","",op!F382+1)</f>
        <v/>
      </c>
      <c r="G449" s="290" t="str">
        <f>IF(op!G382="","",op!G382)</f>
        <v/>
      </c>
      <c r="H449" s="88" t="str">
        <f>IF(op!H382=0,"",op!H382)</f>
        <v/>
      </c>
      <c r="I449" s="99" t="str">
        <f>IF(J449="","",(IF(op!I382+1&gt;LOOKUP(H449,schaal2019,regels2019),op!I382,op!I382+1)))</f>
        <v/>
      </c>
      <c r="J449" s="291" t="str">
        <f>IF(op!J382="","",op!J382)</f>
        <v/>
      </c>
      <c r="K449" s="971"/>
      <c r="L449" s="859">
        <f t="shared" si="172"/>
        <v>0</v>
      </c>
      <c r="M449" s="859">
        <f t="shared" si="172"/>
        <v>0</v>
      </c>
      <c r="N449" s="867" t="str">
        <f t="shared" si="168"/>
        <v/>
      </c>
      <c r="O449" s="867" t="str">
        <f t="shared" si="169"/>
        <v/>
      </c>
      <c r="P449" s="953" t="str">
        <f t="shared" si="154"/>
        <v/>
      </c>
      <c r="Q449" s="70"/>
      <c r="R449" s="739" t="str">
        <f t="shared" si="170"/>
        <v/>
      </c>
      <c r="S449" s="739" t="str">
        <f t="shared" si="155"/>
        <v/>
      </c>
      <c r="T449" s="740" t="str">
        <f t="shared" si="156"/>
        <v/>
      </c>
      <c r="U449" s="275"/>
      <c r="V449" s="288"/>
      <c r="W449" s="288"/>
      <c r="X449" s="288"/>
      <c r="Y449" s="908">
        <f t="shared" si="157"/>
        <v>0</v>
      </c>
      <c r="Z449" s="986">
        <f>tab!$D$62</f>
        <v>0.6</v>
      </c>
      <c r="AA449" s="944">
        <f t="shared" si="158"/>
        <v>0</v>
      </c>
      <c r="AB449" s="944">
        <f t="shared" si="159"/>
        <v>0</v>
      </c>
      <c r="AC449" s="944">
        <f t="shared" si="160"/>
        <v>0</v>
      </c>
      <c r="AD449" s="943" t="e">
        <f t="shared" si="161"/>
        <v>#VALUE!</v>
      </c>
      <c r="AE449" s="943">
        <f t="shared" si="162"/>
        <v>0</v>
      </c>
      <c r="AF449" s="916">
        <f>IF(H449&gt;8,tab!$D$63,tab!$D$65)</f>
        <v>0.5</v>
      </c>
      <c r="AG449" s="925">
        <f t="shared" si="163"/>
        <v>0</v>
      </c>
      <c r="AH449" s="940">
        <f t="shared" si="164"/>
        <v>0</v>
      </c>
      <c r="AI449" s="924" t="e">
        <f>DATE(YEAR(tab!$H$3),MONTH(G449),DAY(G449))&gt;tab!$H$3</f>
        <v>#VALUE!</v>
      </c>
      <c r="AJ449" s="924" t="e">
        <f t="shared" si="165"/>
        <v>#VALUE!</v>
      </c>
      <c r="AK449" s="884">
        <f t="shared" si="166"/>
        <v>30</v>
      </c>
      <c r="AL449" s="884">
        <f t="shared" si="171"/>
        <v>30</v>
      </c>
      <c r="AM449" s="925">
        <f t="shared" si="167"/>
        <v>0</v>
      </c>
    </row>
    <row r="450" spans="3:39" x14ac:dyDescent="0.2">
      <c r="C450" s="69"/>
      <c r="D450" s="75" t="str">
        <f>IF(op!D383=0,"",op!D383)</f>
        <v/>
      </c>
      <c r="E450" s="75" t="str">
        <f>IF(op!E383=0,"-",op!E383)</f>
        <v/>
      </c>
      <c r="F450" s="88" t="str">
        <f>IF(op!F383="","",op!F383+1)</f>
        <v/>
      </c>
      <c r="G450" s="290" t="str">
        <f>IF(op!G383="","",op!G383)</f>
        <v/>
      </c>
      <c r="H450" s="88" t="str">
        <f>IF(op!H383=0,"",op!H383)</f>
        <v/>
      </c>
      <c r="I450" s="99" t="str">
        <f>IF(J450="","",(IF(op!I383+1&gt;LOOKUP(H450,schaal2019,regels2019),op!I383,op!I383+1)))</f>
        <v/>
      </c>
      <c r="J450" s="291" t="str">
        <f>IF(op!J383="","",op!J383)</f>
        <v/>
      </c>
      <c r="K450" s="971"/>
      <c r="L450" s="859">
        <f t="shared" si="172"/>
        <v>0</v>
      </c>
      <c r="M450" s="859">
        <f t="shared" si="172"/>
        <v>0</v>
      </c>
      <c r="N450" s="867" t="str">
        <f t="shared" si="168"/>
        <v/>
      </c>
      <c r="O450" s="867" t="str">
        <f t="shared" si="169"/>
        <v/>
      </c>
      <c r="P450" s="953" t="str">
        <f t="shared" si="154"/>
        <v/>
      </c>
      <c r="Q450" s="70"/>
      <c r="R450" s="739" t="str">
        <f t="shared" si="170"/>
        <v/>
      </c>
      <c r="S450" s="739" t="str">
        <f t="shared" si="155"/>
        <v/>
      </c>
      <c r="T450" s="740" t="str">
        <f t="shared" si="156"/>
        <v/>
      </c>
      <c r="U450" s="275"/>
      <c r="V450" s="288"/>
      <c r="W450" s="288"/>
      <c r="X450" s="288"/>
      <c r="Y450" s="908">
        <f t="shared" si="157"/>
        <v>0</v>
      </c>
      <c r="Z450" s="986">
        <f>tab!$D$62</f>
        <v>0.6</v>
      </c>
      <c r="AA450" s="944">
        <f t="shared" si="158"/>
        <v>0</v>
      </c>
      <c r="AB450" s="944">
        <f t="shared" si="159"/>
        <v>0</v>
      </c>
      <c r="AC450" s="944">
        <f t="shared" si="160"/>
        <v>0</v>
      </c>
      <c r="AD450" s="943" t="e">
        <f t="shared" si="161"/>
        <v>#VALUE!</v>
      </c>
      <c r="AE450" s="943">
        <f t="shared" si="162"/>
        <v>0</v>
      </c>
      <c r="AF450" s="916">
        <f>IF(H450&gt;8,tab!$D$63,tab!$D$65)</f>
        <v>0.5</v>
      </c>
      <c r="AG450" s="925">
        <f t="shared" si="163"/>
        <v>0</v>
      </c>
      <c r="AH450" s="940">
        <f t="shared" si="164"/>
        <v>0</v>
      </c>
      <c r="AI450" s="924" t="e">
        <f>DATE(YEAR(tab!$H$3),MONTH(G450),DAY(G450))&gt;tab!$H$3</f>
        <v>#VALUE!</v>
      </c>
      <c r="AJ450" s="924" t="e">
        <f t="shared" si="165"/>
        <v>#VALUE!</v>
      </c>
      <c r="AK450" s="884">
        <f t="shared" si="166"/>
        <v>30</v>
      </c>
      <c r="AL450" s="884">
        <f t="shared" si="171"/>
        <v>30</v>
      </c>
      <c r="AM450" s="925">
        <f t="shared" si="167"/>
        <v>0</v>
      </c>
    </row>
    <row r="451" spans="3:39" x14ac:dyDescent="0.2">
      <c r="C451" s="69"/>
      <c r="D451" s="75" t="str">
        <f>IF(op!D384=0,"",op!D384)</f>
        <v/>
      </c>
      <c r="E451" s="75" t="str">
        <f>IF(op!E384=0,"-",op!E384)</f>
        <v/>
      </c>
      <c r="F451" s="88" t="str">
        <f>IF(op!F384="","",op!F384+1)</f>
        <v/>
      </c>
      <c r="G451" s="290" t="str">
        <f>IF(op!G384="","",op!G384)</f>
        <v/>
      </c>
      <c r="H451" s="88" t="str">
        <f>IF(op!H384=0,"",op!H384)</f>
        <v/>
      </c>
      <c r="I451" s="99" t="str">
        <f>IF(J451="","",(IF(op!I384+1&gt;LOOKUP(H451,schaal2019,regels2019),op!I384,op!I384+1)))</f>
        <v/>
      </c>
      <c r="J451" s="291" t="str">
        <f>IF(op!J384="","",op!J384)</f>
        <v/>
      </c>
      <c r="K451" s="971"/>
      <c r="L451" s="859">
        <f t="shared" si="172"/>
        <v>0</v>
      </c>
      <c r="M451" s="859">
        <f t="shared" si="172"/>
        <v>0</v>
      </c>
      <c r="N451" s="867" t="str">
        <f t="shared" si="168"/>
        <v/>
      </c>
      <c r="O451" s="867" t="str">
        <f t="shared" si="169"/>
        <v/>
      </c>
      <c r="P451" s="953" t="str">
        <f t="shared" si="154"/>
        <v/>
      </c>
      <c r="Q451" s="70"/>
      <c r="R451" s="739" t="str">
        <f t="shared" si="170"/>
        <v/>
      </c>
      <c r="S451" s="739" t="str">
        <f t="shared" si="155"/>
        <v/>
      </c>
      <c r="T451" s="740" t="str">
        <f t="shared" si="156"/>
        <v/>
      </c>
      <c r="U451" s="275"/>
      <c r="V451" s="288"/>
      <c r="W451" s="288"/>
      <c r="X451" s="288"/>
      <c r="Y451" s="908">
        <f t="shared" ref="Y451:Y473" si="173">IF(H451="",0,VLOOKUP(H451,salaris2020,I451+1,FALSE))</f>
        <v>0</v>
      </c>
      <c r="Z451" s="986">
        <f>tab!$D$62</f>
        <v>0.6</v>
      </c>
      <c r="AA451" s="944">
        <f t="shared" si="158"/>
        <v>0</v>
      </c>
      <c r="AB451" s="944">
        <f t="shared" si="159"/>
        <v>0</v>
      </c>
      <c r="AC451" s="944">
        <f t="shared" si="160"/>
        <v>0</v>
      </c>
      <c r="AD451" s="943" t="e">
        <f t="shared" si="161"/>
        <v>#VALUE!</v>
      </c>
      <c r="AE451" s="943">
        <f t="shared" si="162"/>
        <v>0</v>
      </c>
      <c r="AF451" s="916">
        <f>IF(H451&gt;8,tab!$D$63,tab!$D$65)</f>
        <v>0.5</v>
      </c>
      <c r="AG451" s="925">
        <f t="shared" si="163"/>
        <v>0</v>
      </c>
      <c r="AH451" s="940">
        <f t="shared" si="164"/>
        <v>0</v>
      </c>
      <c r="AI451" s="924" t="e">
        <f>DATE(YEAR(tab!$H$3),MONTH(G451),DAY(G451))&gt;tab!$H$3</f>
        <v>#VALUE!</v>
      </c>
      <c r="AJ451" s="924" t="e">
        <f t="shared" si="165"/>
        <v>#VALUE!</v>
      </c>
      <c r="AK451" s="884">
        <f t="shared" si="166"/>
        <v>30</v>
      </c>
      <c r="AL451" s="884">
        <f t="shared" si="171"/>
        <v>30</v>
      </c>
      <c r="AM451" s="925">
        <f t="shared" ref="AM451:AM473" si="174">ROUND((AL451*(SUM(J451:J451))),2)</f>
        <v>0</v>
      </c>
    </row>
    <row r="452" spans="3:39" x14ac:dyDescent="0.2">
      <c r="C452" s="69"/>
      <c r="D452" s="75" t="str">
        <f>IF(op!D385=0,"",op!D385)</f>
        <v/>
      </c>
      <c r="E452" s="75" t="str">
        <f>IF(op!E385=0,"-",op!E385)</f>
        <v/>
      </c>
      <c r="F452" s="88" t="str">
        <f>IF(op!F385="","",op!F385+1)</f>
        <v/>
      </c>
      <c r="G452" s="290" t="str">
        <f>IF(op!G385="","",op!G385)</f>
        <v/>
      </c>
      <c r="H452" s="88" t="str">
        <f>IF(op!H385=0,"",op!H385)</f>
        <v/>
      </c>
      <c r="I452" s="99" t="str">
        <f>IF(J452="","",(IF(op!I385+1&gt;LOOKUP(H452,schaal2019,regels2019),op!I385,op!I385+1)))</f>
        <v/>
      </c>
      <c r="J452" s="291" t="str">
        <f>IF(op!J385="","",op!J385)</f>
        <v/>
      </c>
      <c r="K452" s="971"/>
      <c r="L452" s="859">
        <f t="shared" si="172"/>
        <v>0</v>
      </c>
      <c r="M452" s="859">
        <f t="shared" si="172"/>
        <v>0</v>
      </c>
      <c r="N452" s="867" t="str">
        <f t="shared" si="168"/>
        <v/>
      </c>
      <c r="O452" s="867" t="str">
        <f t="shared" si="169"/>
        <v/>
      </c>
      <c r="P452" s="953" t="str">
        <f t="shared" si="154"/>
        <v/>
      </c>
      <c r="Q452" s="70"/>
      <c r="R452" s="739" t="str">
        <f t="shared" si="170"/>
        <v/>
      </c>
      <c r="S452" s="739" t="str">
        <f t="shared" si="155"/>
        <v/>
      </c>
      <c r="T452" s="740" t="str">
        <f t="shared" si="156"/>
        <v/>
      </c>
      <c r="U452" s="275"/>
      <c r="V452" s="288"/>
      <c r="W452" s="288"/>
      <c r="X452" s="288"/>
      <c r="Y452" s="908">
        <f t="shared" si="173"/>
        <v>0</v>
      </c>
      <c r="Z452" s="986">
        <f>tab!$D$62</f>
        <v>0.6</v>
      </c>
      <c r="AA452" s="944">
        <f t="shared" si="158"/>
        <v>0</v>
      </c>
      <c r="AB452" s="944">
        <f t="shared" si="159"/>
        <v>0</v>
      </c>
      <c r="AC452" s="944">
        <f t="shared" si="160"/>
        <v>0</v>
      </c>
      <c r="AD452" s="943" t="e">
        <f t="shared" si="161"/>
        <v>#VALUE!</v>
      </c>
      <c r="AE452" s="943">
        <f t="shared" si="162"/>
        <v>0</v>
      </c>
      <c r="AF452" s="916">
        <f>IF(H452&gt;8,tab!$D$63,tab!$D$65)</f>
        <v>0.5</v>
      </c>
      <c r="AG452" s="925">
        <f t="shared" si="163"/>
        <v>0</v>
      </c>
      <c r="AH452" s="940">
        <f t="shared" si="164"/>
        <v>0</v>
      </c>
      <c r="AI452" s="924" t="e">
        <f>DATE(YEAR(tab!$H$3),MONTH(G452),DAY(G452))&gt;tab!$H$3</f>
        <v>#VALUE!</v>
      </c>
      <c r="AJ452" s="924" t="e">
        <f t="shared" si="165"/>
        <v>#VALUE!</v>
      </c>
      <c r="AK452" s="884">
        <f t="shared" si="166"/>
        <v>30</v>
      </c>
      <c r="AL452" s="884">
        <f t="shared" si="171"/>
        <v>30</v>
      </c>
      <c r="AM452" s="925">
        <f t="shared" si="174"/>
        <v>0</v>
      </c>
    </row>
    <row r="453" spans="3:39" x14ac:dyDescent="0.2">
      <c r="C453" s="69"/>
      <c r="D453" s="75" t="str">
        <f>IF(op!D386=0,"",op!D386)</f>
        <v/>
      </c>
      <c r="E453" s="75" t="str">
        <f>IF(op!E386=0,"-",op!E386)</f>
        <v/>
      </c>
      <c r="F453" s="88" t="str">
        <f>IF(op!F386="","",op!F386+1)</f>
        <v/>
      </c>
      <c r="G453" s="290" t="str">
        <f>IF(op!G386="","",op!G386)</f>
        <v/>
      </c>
      <c r="H453" s="88" t="str">
        <f>IF(op!H386=0,"",op!H386)</f>
        <v/>
      </c>
      <c r="I453" s="99" t="str">
        <f>IF(J453="","",(IF(op!I386+1&gt;LOOKUP(H453,schaal2019,regels2019),op!I386,op!I386+1)))</f>
        <v/>
      </c>
      <c r="J453" s="291" t="str">
        <f>IF(op!J386="","",op!J386)</f>
        <v/>
      </c>
      <c r="K453" s="971"/>
      <c r="L453" s="859">
        <f t="shared" si="172"/>
        <v>0</v>
      </c>
      <c r="M453" s="859">
        <f t="shared" si="172"/>
        <v>0</v>
      </c>
      <c r="N453" s="867" t="str">
        <f t="shared" si="168"/>
        <v/>
      </c>
      <c r="O453" s="867" t="str">
        <f t="shared" si="169"/>
        <v/>
      </c>
      <c r="P453" s="953" t="str">
        <f t="shared" si="154"/>
        <v/>
      </c>
      <c r="Q453" s="70"/>
      <c r="R453" s="739" t="str">
        <f t="shared" si="170"/>
        <v/>
      </c>
      <c r="S453" s="739" t="str">
        <f t="shared" si="155"/>
        <v/>
      </c>
      <c r="T453" s="740" t="str">
        <f t="shared" si="156"/>
        <v/>
      </c>
      <c r="U453" s="275"/>
      <c r="V453" s="288"/>
      <c r="W453" s="288"/>
      <c r="X453" s="288"/>
      <c r="Y453" s="908">
        <f t="shared" si="173"/>
        <v>0</v>
      </c>
      <c r="Z453" s="986">
        <f>tab!$D$62</f>
        <v>0.6</v>
      </c>
      <c r="AA453" s="944">
        <f t="shared" si="158"/>
        <v>0</v>
      </c>
      <c r="AB453" s="944">
        <f t="shared" si="159"/>
        <v>0</v>
      </c>
      <c r="AC453" s="944">
        <f t="shared" si="160"/>
        <v>0</v>
      </c>
      <c r="AD453" s="943" t="e">
        <f t="shared" si="161"/>
        <v>#VALUE!</v>
      </c>
      <c r="AE453" s="943">
        <f t="shared" si="162"/>
        <v>0</v>
      </c>
      <c r="AF453" s="916">
        <f>IF(H453&gt;8,tab!$D$63,tab!$D$65)</f>
        <v>0.5</v>
      </c>
      <c r="AG453" s="925">
        <f t="shared" si="163"/>
        <v>0</v>
      </c>
      <c r="AH453" s="940">
        <f t="shared" si="164"/>
        <v>0</v>
      </c>
      <c r="AI453" s="924" t="e">
        <f>DATE(YEAR(tab!$H$3),MONTH(G453),DAY(G453))&gt;tab!$H$3</f>
        <v>#VALUE!</v>
      </c>
      <c r="AJ453" s="924" t="e">
        <f t="shared" si="165"/>
        <v>#VALUE!</v>
      </c>
      <c r="AK453" s="884">
        <f t="shared" si="166"/>
        <v>30</v>
      </c>
      <c r="AL453" s="884">
        <f t="shared" si="171"/>
        <v>30</v>
      </c>
      <c r="AM453" s="925">
        <f t="shared" si="174"/>
        <v>0</v>
      </c>
    </row>
    <row r="454" spans="3:39" x14ac:dyDescent="0.2">
      <c r="C454" s="69"/>
      <c r="D454" s="75" t="str">
        <f>IF(op!D387=0,"",op!D387)</f>
        <v/>
      </c>
      <c r="E454" s="75" t="str">
        <f>IF(op!E387=0,"-",op!E387)</f>
        <v/>
      </c>
      <c r="F454" s="88" t="str">
        <f>IF(op!F387="","",op!F387+1)</f>
        <v/>
      </c>
      <c r="G454" s="290" t="str">
        <f>IF(op!G387="","",op!G387)</f>
        <v/>
      </c>
      <c r="H454" s="88" t="str">
        <f>IF(op!H387=0,"",op!H387)</f>
        <v/>
      </c>
      <c r="I454" s="99" t="str">
        <f>IF(J454="","",(IF(op!I387+1&gt;LOOKUP(H454,schaal2019,regels2019),op!I387,op!I387+1)))</f>
        <v/>
      </c>
      <c r="J454" s="291" t="str">
        <f>IF(op!J387="","",op!J387)</f>
        <v/>
      </c>
      <c r="K454" s="971"/>
      <c r="L454" s="859">
        <f t="shared" si="172"/>
        <v>0</v>
      </c>
      <c r="M454" s="859">
        <f t="shared" si="172"/>
        <v>0</v>
      </c>
      <c r="N454" s="867" t="str">
        <f t="shared" si="168"/>
        <v/>
      </c>
      <c r="O454" s="867" t="str">
        <f t="shared" si="169"/>
        <v/>
      </c>
      <c r="P454" s="953" t="str">
        <f t="shared" si="154"/>
        <v/>
      </c>
      <c r="Q454" s="70"/>
      <c r="R454" s="739" t="str">
        <f t="shared" si="170"/>
        <v/>
      </c>
      <c r="S454" s="739" t="str">
        <f t="shared" si="155"/>
        <v/>
      </c>
      <c r="T454" s="740" t="str">
        <f t="shared" si="156"/>
        <v/>
      </c>
      <c r="U454" s="275"/>
      <c r="V454" s="288"/>
      <c r="W454" s="288"/>
      <c r="X454" s="288"/>
      <c r="Y454" s="908">
        <f t="shared" si="173"/>
        <v>0</v>
      </c>
      <c r="Z454" s="986">
        <f>tab!$D$62</f>
        <v>0.6</v>
      </c>
      <c r="AA454" s="944">
        <f t="shared" si="158"/>
        <v>0</v>
      </c>
      <c r="AB454" s="944">
        <f t="shared" si="159"/>
        <v>0</v>
      </c>
      <c r="AC454" s="944">
        <f t="shared" si="160"/>
        <v>0</v>
      </c>
      <c r="AD454" s="943" t="e">
        <f t="shared" si="161"/>
        <v>#VALUE!</v>
      </c>
      <c r="AE454" s="943">
        <f t="shared" si="162"/>
        <v>0</v>
      </c>
      <c r="AF454" s="916">
        <f>IF(H454&gt;8,tab!$D$63,tab!$D$65)</f>
        <v>0.5</v>
      </c>
      <c r="AG454" s="925">
        <f t="shared" si="163"/>
        <v>0</v>
      </c>
      <c r="AH454" s="940">
        <f t="shared" si="164"/>
        <v>0</v>
      </c>
      <c r="AI454" s="924" t="e">
        <f>DATE(YEAR(tab!$H$3),MONTH(G454),DAY(G454))&gt;tab!$H$3</f>
        <v>#VALUE!</v>
      </c>
      <c r="AJ454" s="924" t="e">
        <f t="shared" si="165"/>
        <v>#VALUE!</v>
      </c>
      <c r="AK454" s="884">
        <f t="shared" si="166"/>
        <v>30</v>
      </c>
      <c r="AL454" s="884">
        <f t="shared" si="171"/>
        <v>30</v>
      </c>
      <c r="AM454" s="925">
        <f t="shared" si="174"/>
        <v>0</v>
      </c>
    </row>
    <row r="455" spans="3:39" x14ac:dyDescent="0.2">
      <c r="C455" s="69"/>
      <c r="D455" s="75" t="str">
        <f>IF(op!D388=0,"",op!D388)</f>
        <v/>
      </c>
      <c r="E455" s="75" t="str">
        <f>IF(op!E388=0,"-",op!E388)</f>
        <v/>
      </c>
      <c r="F455" s="88" t="str">
        <f>IF(op!F388="","",op!F388+1)</f>
        <v/>
      </c>
      <c r="G455" s="290" t="str">
        <f>IF(op!G388="","",op!G388)</f>
        <v/>
      </c>
      <c r="H455" s="88" t="str">
        <f>IF(op!H388=0,"",op!H388)</f>
        <v/>
      </c>
      <c r="I455" s="99" t="str">
        <f>IF(J455="","",(IF(op!I388+1&gt;LOOKUP(H455,schaal2019,regels2019),op!I388,op!I388+1)))</f>
        <v/>
      </c>
      <c r="J455" s="291" t="str">
        <f>IF(op!J388="","",op!J388)</f>
        <v/>
      </c>
      <c r="K455" s="971"/>
      <c r="L455" s="859">
        <f t="shared" si="172"/>
        <v>0</v>
      </c>
      <c r="M455" s="859">
        <f t="shared" si="172"/>
        <v>0</v>
      </c>
      <c r="N455" s="867" t="str">
        <f t="shared" si="168"/>
        <v/>
      </c>
      <c r="O455" s="867" t="str">
        <f t="shared" si="169"/>
        <v/>
      </c>
      <c r="P455" s="953" t="str">
        <f t="shared" si="154"/>
        <v/>
      </c>
      <c r="Q455" s="70"/>
      <c r="R455" s="739" t="str">
        <f t="shared" si="170"/>
        <v/>
      </c>
      <c r="S455" s="739" t="str">
        <f t="shared" si="155"/>
        <v/>
      </c>
      <c r="T455" s="740" t="str">
        <f t="shared" si="156"/>
        <v/>
      </c>
      <c r="U455" s="275"/>
      <c r="V455" s="288"/>
      <c r="W455" s="288"/>
      <c r="X455" s="288"/>
      <c r="Y455" s="908">
        <f t="shared" si="173"/>
        <v>0</v>
      </c>
      <c r="Z455" s="986">
        <f>tab!$D$62</f>
        <v>0.6</v>
      </c>
      <c r="AA455" s="944">
        <f t="shared" si="158"/>
        <v>0</v>
      </c>
      <c r="AB455" s="944">
        <f t="shared" si="159"/>
        <v>0</v>
      </c>
      <c r="AC455" s="944">
        <f t="shared" si="160"/>
        <v>0</v>
      </c>
      <c r="AD455" s="943" t="e">
        <f t="shared" si="161"/>
        <v>#VALUE!</v>
      </c>
      <c r="AE455" s="943">
        <f t="shared" si="162"/>
        <v>0</v>
      </c>
      <c r="AF455" s="916">
        <f>IF(H455&gt;8,tab!$D$63,tab!$D$65)</f>
        <v>0.5</v>
      </c>
      <c r="AG455" s="925">
        <f t="shared" si="163"/>
        <v>0</v>
      </c>
      <c r="AH455" s="940">
        <f t="shared" si="164"/>
        <v>0</v>
      </c>
      <c r="AI455" s="924" t="e">
        <f>DATE(YEAR(tab!$H$3),MONTH(G455),DAY(G455))&gt;tab!$H$3</f>
        <v>#VALUE!</v>
      </c>
      <c r="AJ455" s="924" t="e">
        <f t="shared" si="165"/>
        <v>#VALUE!</v>
      </c>
      <c r="AK455" s="884">
        <f t="shared" si="166"/>
        <v>30</v>
      </c>
      <c r="AL455" s="884">
        <f t="shared" si="171"/>
        <v>30</v>
      </c>
      <c r="AM455" s="925">
        <f t="shared" si="174"/>
        <v>0</v>
      </c>
    </row>
    <row r="456" spans="3:39" x14ac:dyDescent="0.2">
      <c r="C456" s="69"/>
      <c r="D456" s="75" t="str">
        <f>IF(op!D389=0,"",op!D389)</f>
        <v/>
      </c>
      <c r="E456" s="75" t="str">
        <f>IF(op!E389=0,"-",op!E389)</f>
        <v/>
      </c>
      <c r="F456" s="88" t="str">
        <f>IF(op!F389="","",op!F389+1)</f>
        <v/>
      </c>
      <c r="G456" s="290" t="str">
        <f>IF(op!G389="","",op!G389)</f>
        <v/>
      </c>
      <c r="H456" s="88" t="str">
        <f>IF(op!H389=0,"",op!H389)</f>
        <v/>
      </c>
      <c r="I456" s="99" t="str">
        <f>IF(J456="","",(IF(op!I389+1&gt;LOOKUP(H456,schaal2019,regels2019),op!I389,op!I389+1)))</f>
        <v/>
      </c>
      <c r="J456" s="291" t="str">
        <f>IF(op!J389="","",op!J389)</f>
        <v/>
      </c>
      <c r="K456" s="971"/>
      <c r="L456" s="859">
        <f t="shared" si="172"/>
        <v>0</v>
      </c>
      <c r="M456" s="859">
        <f t="shared" si="172"/>
        <v>0</v>
      </c>
      <c r="N456" s="867" t="str">
        <f t="shared" si="168"/>
        <v/>
      </c>
      <c r="O456" s="867" t="str">
        <f t="shared" si="169"/>
        <v/>
      </c>
      <c r="P456" s="953" t="str">
        <f t="shared" si="154"/>
        <v/>
      </c>
      <c r="Q456" s="70"/>
      <c r="R456" s="739" t="str">
        <f t="shared" si="170"/>
        <v/>
      </c>
      <c r="S456" s="739" t="str">
        <f t="shared" si="155"/>
        <v/>
      </c>
      <c r="T456" s="740" t="str">
        <f t="shared" si="156"/>
        <v/>
      </c>
      <c r="U456" s="275"/>
      <c r="V456" s="288"/>
      <c r="W456" s="288"/>
      <c r="X456" s="288"/>
      <c r="Y456" s="908">
        <f t="shared" si="173"/>
        <v>0</v>
      </c>
      <c r="Z456" s="986">
        <f>tab!$D$62</f>
        <v>0.6</v>
      </c>
      <c r="AA456" s="944">
        <f t="shared" si="158"/>
        <v>0</v>
      </c>
      <c r="AB456" s="944">
        <f t="shared" si="159"/>
        <v>0</v>
      </c>
      <c r="AC456" s="944">
        <f t="shared" si="160"/>
        <v>0</v>
      </c>
      <c r="AD456" s="943" t="e">
        <f t="shared" si="161"/>
        <v>#VALUE!</v>
      </c>
      <c r="AE456" s="943">
        <f t="shared" si="162"/>
        <v>0</v>
      </c>
      <c r="AF456" s="916">
        <f>IF(H456&gt;8,tab!$D$63,tab!$D$65)</f>
        <v>0.5</v>
      </c>
      <c r="AG456" s="925">
        <f t="shared" si="163"/>
        <v>0</v>
      </c>
      <c r="AH456" s="940">
        <f t="shared" si="164"/>
        <v>0</v>
      </c>
      <c r="AI456" s="924" t="e">
        <f>DATE(YEAR(tab!$H$3),MONTH(G456),DAY(G456))&gt;tab!$H$3</f>
        <v>#VALUE!</v>
      </c>
      <c r="AJ456" s="924" t="e">
        <f t="shared" si="165"/>
        <v>#VALUE!</v>
      </c>
      <c r="AK456" s="884">
        <f t="shared" si="166"/>
        <v>30</v>
      </c>
      <c r="AL456" s="884">
        <f t="shared" si="171"/>
        <v>30</v>
      </c>
      <c r="AM456" s="925">
        <f t="shared" si="174"/>
        <v>0</v>
      </c>
    </row>
    <row r="457" spans="3:39" x14ac:dyDescent="0.2">
      <c r="C457" s="69"/>
      <c r="D457" s="75" t="str">
        <f>IF(op!D390=0,"",op!D390)</f>
        <v/>
      </c>
      <c r="E457" s="75" t="str">
        <f>IF(op!E390=0,"-",op!E390)</f>
        <v/>
      </c>
      <c r="F457" s="88" t="str">
        <f>IF(op!F390="","",op!F390+1)</f>
        <v/>
      </c>
      <c r="G457" s="290" t="str">
        <f>IF(op!G390="","",op!G390)</f>
        <v/>
      </c>
      <c r="H457" s="88" t="str">
        <f>IF(op!H390=0,"",op!H390)</f>
        <v/>
      </c>
      <c r="I457" s="99" t="str">
        <f>IF(J457="","",(IF(op!I390+1&gt;LOOKUP(H457,schaal2019,regels2019),op!I390,op!I390+1)))</f>
        <v/>
      </c>
      <c r="J457" s="291" t="str">
        <f>IF(op!J390="","",op!J390)</f>
        <v/>
      </c>
      <c r="K457" s="971"/>
      <c r="L457" s="859">
        <f t="shared" si="172"/>
        <v>0</v>
      </c>
      <c r="M457" s="859">
        <f t="shared" si="172"/>
        <v>0</v>
      </c>
      <c r="N457" s="867" t="str">
        <f t="shared" si="168"/>
        <v/>
      </c>
      <c r="O457" s="867" t="str">
        <f t="shared" si="169"/>
        <v/>
      </c>
      <c r="P457" s="953" t="str">
        <f t="shared" si="154"/>
        <v/>
      </c>
      <c r="Q457" s="70"/>
      <c r="R457" s="739" t="str">
        <f t="shared" si="170"/>
        <v/>
      </c>
      <c r="S457" s="739" t="str">
        <f t="shared" si="155"/>
        <v/>
      </c>
      <c r="T457" s="740" t="str">
        <f t="shared" si="156"/>
        <v/>
      </c>
      <c r="U457" s="275"/>
      <c r="V457" s="288"/>
      <c r="W457" s="288"/>
      <c r="X457" s="288"/>
      <c r="Y457" s="908">
        <f t="shared" si="173"/>
        <v>0</v>
      </c>
      <c r="Z457" s="986">
        <f>tab!$D$62</f>
        <v>0.6</v>
      </c>
      <c r="AA457" s="944">
        <f t="shared" si="158"/>
        <v>0</v>
      </c>
      <c r="AB457" s="944">
        <f t="shared" si="159"/>
        <v>0</v>
      </c>
      <c r="AC457" s="944">
        <f t="shared" si="160"/>
        <v>0</v>
      </c>
      <c r="AD457" s="943" t="e">
        <f t="shared" si="161"/>
        <v>#VALUE!</v>
      </c>
      <c r="AE457" s="943">
        <f t="shared" si="162"/>
        <v>0</v>
      </c>
      <c r="AF457" s="916">
        <f>IF(H457&gt;8,tab!$D$63,tab!$D$65)</f>
        <v>0.5</v>
      </c>
      <c r="AG457" s="925">
        <f t="shared" si="163"/>
        <v>0</v>
      </c>
      <c r="AH457" s="940">
        <f t="shared" si="164"/>
        <v>0</v>
      </c>
      <c r="AI457" s="924" t="e">
        <f>DATE(YEAR(tab!$H$3),MONTH(G457),DAY(G457))&gt;tab!$H$3</f>
        <v>#VALUE!</v>
      </c>
      <c r="AJ457" s="924" t="e">
        <f t="shared" si="165"/>
        <v>#VALUE!</v>
      </c>
      <c r="AK457" s="884">
        <f t="shared" si="166"/>
        <v>30</v>
      </c>
      <c r="AL457" s="884">
        <f t="shared" si="171"/>
        <v>30</v>
      </c>
      <c r="AM457" s="925">
        <f t="shared" si="174"/>
        <v>0</v>
      </c>
    </row>
    <row r="458" spans="3:39" x14ac:dyDescent="0.2">
      <c r="C458" s="69"/>
      <c r="D458" s="75" t="str">
        <f>IF(op!D391=0,"",op!D391)</f>
        <v/>
      </c>
      <c r="E458" s="75" t="str">
        <f>IF(op!E391=0,"-",op!E391)</f>
        <v/>
      </c>
      <c r="F458" s="88" t="str">
        <f>IF(op!F391="","",op!F391+1)</f>
        <v/>
      </c>
      <c r="G458" s="290" t="str">
        <f>IF(op!G391="","",op!G391)</f>
        <v/>
      </c>
      <c r="H458" s="88" t="str">
        <f>IF(op!H391=0,"",op!H391)</f>
        <v/>
      </c>
      <c r="I458" s="99" t="str">
        <f>IF(J458="","",(IF(op!I391+1&gt;LOOKUP(H458,schaal2019,regels2019),op!I391,op!I391+1)))</f>
        <v/>
      </c>
      <c r="J458" s="291" t="str">
        <f>IF(op!J391="","",op!J391)</f>
        <v/>
      </c>
      <c r="K458" s="971"/>
      <c r="L458" s="859">
        <f t="shared" si="172"/>
        <v>0</v>
      </c>
      <c r="M458" s="859">
        <f t="shared" si="172"/>
        <v>0</v>
      </c>
      <c r="N458" s="867" t="str">
        <f t="shared" si="168"/>
        <v/>
      </c>
      <c r="O458" s="867" t="str">
        <f t="shared" si="169"/>
        <v/>
      </c>
      <c r="P458" s="953" t="str">
        <f t="shared" si="154"/>
        <v/>
      </c>
      <c r="Q458" s="70"/>
      <c r="R458" s="739" t="str">
        <f t="shared" si="170"/>
        <v/>
      </c>
      <c r="S458" s="739" t="str">
        <f t="shared" si="155"/>
        <v/>
      </c>
      <c r="T458" s="740" t="str">
        <f t="shared" si="156"/>
        <v/>
      </c>
      <c r="U458" s="275"/>
      <c r="V458" s="288"/>
      <c r="W458" s="288"/>
      <c r="X458" s="288"/>
      <c r="Y458" s="908">
        <f t="shared" si="173"/>
        <v>0</v>
      </c>
      <c r="Z458" s="986">
        <f>tab!$D$62</f>
        <v>0.6</v>
      </c>
      <c r="AA458" s="944">
        <f t="shared" si="158"/>
        <v>0</v>
      </c>
      <c r="AB458" s="944">
        <f t="shared" si="159"/>
        <v>0</v>
      </c>
      <c r="AC458" s="944">
        <f t="shared" si="160"/>
        <v>0</v>
      </c>
      <c r="AD458" s="943" t="e">
        <f t="shared" si="161"/>
        <v>#VALUE!</v>
      </c>
      <c r="AE458" s="943">
        <f t="shared" si="162"/>
        <v>0</v>
      </c>
      <c r="AF458" s="916">
        <f>IF(H458&gt;8,tab!$D$63,tab!$D$65)</f>
        <v>0.5</v>
      </c>
      <c r="AG458" s="925">
        <f t="shared" si="163"/>
        <v>0</v>
      </c>
      <c r="AH458" s="940">
        <f t="shared" si="164"/>
        <v>0</v>
      </c>
      <c r="AI458" s="924" t="e">
        <f>DATE(YEAR(tab!$H$3),MONTH(G458),DAY(G458))&gt;tab!$H$3</f>
        <v>#VALUE!</v>
      </c>
      <c r="AJ458" s="924" t="e">
        <f t="shared" si="165"/>
        <v>#VALUE!</v>
      </c>
      <c r="AK458" s="884">
        <f t="shared" si="166"/>
        <v>30</v>
      </c>
      <c r="AL458" s="884">
        <f t="shared" si="171"/>
        <v>30</v>
      </c>
      <c r="AM458" s="925">
        <f t="shared" si="174"/>
        <v>0</v>
      </c>
    </row>
    <row r="459" spans="3:39" x14ac:dyDescent="0.2">
      <c r="C459" s="69"/>
      <c r="D459" s="75" t="str">
        <f>IF(op!D392=0,"",op!D392)</f>
        <v/>
      </c>
      <c r="E459" s="75" t="str">
        <f>IF(op!E392=0,"-",op!E392)</f>
        <v/>
      </c>
      <c r="F459" s="88" t="str">
        <f>IF(op!F392="","",op!F392+1)</f>
        <v/>
      </c>
      <c r="G459" s="290" t="str">
        <f>IF(op!G392="","",op!G392)</f>
        <v/>
      </c>
      <c r="H459" s="88" t="str">
        <f>IF(op!H392=0,"",op!H392)</f>
        <v/>
      </c>
      <c r="I459" s="99" t="str">
        <f>IF(J459="","",(IF(op!I392+1&gt;LOOKUP(H459,schaal2019,regels2019),op!I392,op!I392+1)))</f>
        <v/>
      </c>
      <c r="J459" s="291" t="str">
        <f>IF(op!J392="","",op!J392)</f>
        <v/>
      </c>
      <c r="K459" s="971"/>
      <c r="L459" s="859">
        <f t="shared" ref="L459:M473" si="175">IF(L392="","",L392)</f>
        <v>0</v>
      </c>
      <c r="M459" s="859">
        <f t="shared" si="175"/>
        <v>0</v>
      </c>
      <c r="N459" s="867" t="str">
        <f t="shared" si="168"/>
        <v/>
      </c>
      <c r="O459" s="867" t="str">
        <f t="shared" si="169"/>
        <v/>
      </c>
      <c r="P459" s="953" t="str">
        <f t="shared" si="154"/>
        <v/>
      </c>
      <c r="Q459" s="70"/>
      <c r="R459" s="739" t="str">
        <f t="shared" si="170"/>
        <v/>
      </c>
      <c r="S459" s="739" t="str">
        <f t="shared" si="155"/>
        <v/>
      </c>
      <c r="T459" s="740" t="str">
        <f t="shared" si="156"/>
        <v/>
      </c>
      <c r="U459" s="275"/>
      <c r="V459" s="288"/>
      <c r="W459" s="288"/>
      <c r="X459" s="288"/>
      <c r="Y459" s="908">
        <f t="shared" si="173"/>
        <v>0</v>
      </c>
      <c r="Z459" s="986">
        <f>tab!$D$62</f>
        <v>0.6</v>
      </c>
      <c r="AA459" s="944">
        <f t="shared" si="158"/>
        <v>0</v>
      </c>
      <c r="AB459" s="944">
        <f t="shared" si="159"/>
        <v>0</v>
      </c>
      <c r="AC459" s="944">
        <f t="shared" si="160"/>
        <v>0</v>
      </c>
      <c r="AD459" s="943" t="e">
        <f t="shared" si="161"/>
        <v>#VALUE!</v>
      </c>
      <c r="AE459" s="943">
        <f t="shared" si="162"/>
        <v>0</v>
      </c>
      <c r="AF459" s="916">
        <f>IF(H459&gt;8,tab!$D$63,tab!$D$65)</f>
        <v>0.5</v>
      </c>
      <c r="AG459" s="925">
        <f t="shared" si="163"/>
        <v>0</v>
      </c>
      <c r="AH459" s="940">
        <f t="shared" si="164"/>
        <v>0</v>
      </c>
      <c r="AI459" s="924" t="e">
        <f>DATE(YEAR(tab!$H$3),MONTH(G459),DAY(G459))&gt;tab!$H$3</f>
        <v>#VALUE!</v>
      </c>
      <c r="AJ459" s="924" t="e">
        <f t="shared" si="165"/>
        <v>#VALUE!</v>
      </c>
      <c r="AK459" s="884">
        <f t="shared" si="166"/>
        <v>30</v>
      </c>
      <c r="AL459" s="884">
        <f t="shared" si="171"/>
        <v>30</v>
      </c>
      <c r="AM459" s="925">
        <f t="shared" si="174"/>
        <v>0</v>
      </c>
    </row>
    <row r="460" spans="3:39" x14ac:dyDescent="0.2">
      <c r="C460" s="69"/>
      <c r="D460" s="75" t="str">
        <f>IF(op!D393=0,"",op!D393)</f>
        <v/>
      </c>
      <c r="E460" s="75" t="str">
        <f>IF(op!E393=0,"-",op!E393)</f>
        <v/>
      </c>
      <c r="F460" s="88" t="str">
        <f>IF(op!F393="","",op!F393+1)</f>
        <v/>
      </c>
      <c r="G460" s="290" t="str">
        <f>IF(op!G393="","",op!G393)</f>
        <v/>
      </c>
      <c r="H460" s="88" t="str">
        <f>IF(op!H393=0,"",op!H393)</f>
        <v/>
      </c>
      <c r="I460" s="99" t="str">
        <f>IF(J460="","",(IF(op!I393+1&gt;LOOKUP(H460,schaal2019,regels2019),op!I393,op!I393+1)))</f>
        <v/>
      </c>
      <c r="J460" s="291" t="str">
        <f>IF(op!J393="","",op!J393)</f>
        <v/>
      </c>
      <c r="K460" s="971"/>
      <c r="L460" s="859">
        <f t="shared" si="175"/>
        <v>0</v>
      </c>
      <c r="M460" s="859">
        <f t="shared" si="175"/>
        <v>0</v>
      </c>
      <c r="N460" s="867" t="str">
        <f t="shared" si="168"/>
        <v/>
      </c>
      <c r="O460" s="867" t="str">
        <f t="shared" si="169"/>
        <v/>
      </c>
      <c r="P460" s="953" t="str">
        <f t="shared" si="154"/>
        <v/>
      </c>
      <c r="Q460" s="70"/>
      <c r="R460" s="739" t="str">
        <f t="shared" si="170"/>
        <v/>
      </c>
      <c r="S460" s="739" t="str">
        <f t="shared" si="155"/>
        <v/>
      </c>
      <c r="T460" s="740" t="str">
        <f t="shared" si="156"/>
        <v/>
      </c>
      <c r="U460" s="275"/>
      <c r="V460" s="288"/>
      <c r="W460" s="288"/>
      <c r="X460" s="288"/>
      <c r="Y460" s="908">
        <f t="shared" si="173"/>
        <v>0</v>
      </c>
      <c r="Z460" s="986">
        <f>tab!$D$62</f>
        <v>0.6</v>
      </c>
      <c r="AA460" s="944">
        <f t="shared" si="158"/>
        <v>0</v>
      </c>
      <c r="AB460" s="944">
        <f t="shared" si="159"/>
        <v>0</v>
      </c>
      <c r="AC460" s="944">
        <f t="shared" si="160"/>
        <v>0</v>
      </c>
      <c r="AD460" s="943" t="e">
        <f t="shared" si="161"/>
        <v>#VALUE!</v>
      </c>
      <c r="AE460" s="943">
        <f t="shared" si="162"/>
        <v>0</v>
      </c>
      <c r="AF460" s="916">
        <f>IF(H460&gt;8,tab!$D$63,tab!$D$65)</f>
        <v>0.5</v>
      </c>
      <c r="AG460" s="925">
        <f t="shared" si="163"/>
        <v>0</v>
      </c>
      <c r="AH460" s="940">
        <f t="shared" si="164"/>
        <v>0</v>
      </c>
      <c r="AI460" s="924" t="e">
        <f>DATE(YEAR(tab!$H$3),MONTH(G460),DAY(G460))&gt;tab!$H$3</f>
        <v>#VALUE!</v>
      </c>
      <c r="AJ460" s="924" t="e">
        <f t="shared" si="165"/>
        <v>#VALUE!</v>
      </c>
      <c r="AK460" s="884">
        <f t="shared" si="166"/>
        <v>30</v>
      </c>
      <c r="AL460" s="884">
        <f t="shared" si="171"/>
        <v>30</v>
      </c>
      <c r="AM460" s="925">
        <f t="shared" si="174"/>
        <v>0</v>
      </c>
    </row>
    <row r="461" spans="3:39" x14ac:dyDescent="0.2">
      <c r="C461" s="69"/>
      <c r="D461" s="75" t="str">
        <f>IF(op!D394=0,"",op!D394)</f>
        <v/>
      </c>
      <c r="E461" s="75" t="str">
        <f>IF(op!E394=0,"-",op!E394)</f>
        <v/>
      </c>
      <c r="F461" s="88" t="str">
        <f>IF(op!F394="","",op!F394+1)</f>
        <v/>
      </c>
      <c r="G461" s="290" t="str">
        <f>IF(op!G394="","",op!G394)</f>
        <v/>
      </c>
      <c r="H461" s="88" t="str">
        <f>IF(op!H394=0,"",op!H394)</f>
        <v/>
      </c>
      <c r="I461" s="99" t="str">
        <f>IF(J461="","",(IF(op!I394+1&gt;LOOKUP(H461,schaal2019,regels2019),op!I394,op!I394+1)))</f>
        <v/>
      </c>
      <c r="J461" s="291" t="str">
        <f>IF(op!J394="","",op!J394)</f>
        <v/>
      </c>
      <c r="K461" s="971"/>
      <c r="L461" s="859">
        <f t="shared" si="175"/>
        <v>0</v>
      </c>
      <c r="M461" s="859">
        <f t="shared" si="175"/>
        <v>0</v>
      </c>
      <c r="N461" s="867" t="str">
        <f t="shared" si="168"/>
        <v/>
      </c>
      <c r="O461" s="867" t="str">
        <f t="shared" si="169"/>
        <v/>
      </c>
      <c r="P461" s="953" t="str">
        <f t="shared" si="154"/>
        <v/>
      </c>
      <c r="Q461" s="70"/>
      <c r="R461" s="739" t="str">
        <f t="shared" si="170"/>
        <v/>
      </c>
      <c r="S461" s="739" t="str">
        <f t="shared" si="155"/>
        <v/>
      </c>
      <c r="T461" s="740" t="str">
        <f t="shared" si="156"/>
        <v/>
      </c>
      <c r="U461" s="275"/>
      <c r="V461" s="288"/>
      <c r="W461" s="288"/>
      <c r="X461" s="288"/>
      <c r="Y461" s="908">
        <f t="shared" si="173"/>
        <v>0</v>
      </c>
      <c r="Z461" s="986">
        <f>tab!$D$62</f>
        <v>0.6</v>
      </c>
      <c r="AA461" s="944">
        <f t="shared" si="158"/>
        <v>0</v>
      </c>
      <c r="AB461" s="944">
        <f t="shared" si="159"/>
        <v>0</v>
      </c>
      <c r="AC461" s="944">
        <f t="shared" si="160"/>
        <v>0</v>
      </c>
      <c r="AD461" s="943" t="e">
        <f t="shared" si="161"/>
        <v>#VALUE!</v>
      </c>
      <c r="AE461" s="943">
        <f t="shared" si="162"/>
        <v>0</v>
      </c>
      <c r="AF461" s="916">
        <f>IF(H461&gt;8,tab!$D$63,tab!$D$65)</f>
        <v>0.5</v>
      </c>
      <c r="AG461" s="925">
        <f t="shared" si="163"/>
        <v>0</v>
      </c>
      <c r="AH461" s="940">
        <f t="shared" si="164"/>
        <v>0</v>
      </c>
      <c r="AI461" s="924" t="e">
        <f>DATE(YEAR(tab!$H$3),MONTH(G461),DAY(G461))&gt;tab!$H$3</f>
        <v>#VALUE!</v>
      </c>
      <c r="AJ461" s="924" t="e">
        <f t="shared" si="165"/>
        <v>#VALUE!</v>
      </c>
      <c r="AK461" s="884">
        <f t="shared" si="166"/>
        <v>30</v>
      </c>
      <c r="AL461" s="884">
        <f t="shared" si="171"/>
        <v>30</v>
      </c>
      <c r="AM461" s="925">
        <f t="shared" si="174"/>
        <v>0</v>
      </c>
    </row>
    <row r="462" spans="3:39" x14ac:dyDescent="0.2">
      <c r="C462" s="69"/>
      <c r="D462" s="75" t="str">
        <f>IF(op!D395=0,"",op!D395)</f>
        <v/>
      </c>
      <c r="E462" s="75" t="str">
        <f>IF(op!E395=0,"-",op!E395)</f>
        <v/>
      </c>
      <c r="F462" s="88" t="str">
        <f>IF(op!F395="","",op!F395+1)</f>
        <v/>
      </c>
      <c r="G462" s="290" t="str">
        <f>IF(op!G395="","",op!G395)</f>
        <v/>
      </c>
      <c r="H462" s="88" t="str">
        <f>IF(op!H395=0,"",op!H395)</f>
        <v/>
      </c>
      <c r="I462" s="99" t="str">
        <f>IF(J462="","",(IF(op!I395+1&gt;LOOKUP(H462,schaal2019,regels2019),op!I395,op!I395+1)))</f>
        <v/>
      </c>
      <c r="J462" s="291" t="str">
        <f>IF(op!J395="","",op!J395)</f>
        <v/>
      </c>
      <c r="K462" s="971"/>
      <c r="L462" s="859">
        <f t="shared" si="175"/>
        <v>0</v>
      </c>
      <c r="M462" s="859">
        <f t="shared" si="175"/>
        <v>0</v>
      </c>
      <c r="N462" s="867" t="str">
        <f t="shared" si="168"/>
        <v/>
      </c>
      <c r="O462" s="867" t="str">
        <f t="shared" si="169"/>
        <v/>
      </c>
      <c r="P462" s="953" t="str">
        <f t="shared" si="154"/>
        <v/>
      </c>
      <c r="Q462" s="70"/>
      <c r="R462" s="739" t="str">
        <f t="shared" si="170"/>
        <v/>
      </c>
      <c r="S462" s="739" t="str">
        <f t="shared" si="155"/>
        <v/>
      </c>
      <c r="T462" s="740" t="str">
        <f t="shared" si="156"/>
        <v/>
      </c>
      <c r="U462" s="275"/>
      <c r="V462" s="288"/>
      <c r="W462" s="288"/>
      <c r="X462" s="288"/>
      <c r="Y462" s="908">
        <f t="shared" si="173"/>
        <v>0</v>
      </c>
      <c r="Z462" s="986">
        <f>tab!$D$62</f>
        <v>0.6</v>
      </c>
      <c r="AA462" s="944">
        <f t="shared" si="158"/>
        <v>0</v>
      </c>
      <c r="AB462" s="944">
        <f t="shared" si="159"/>
        <v>0</v>
      </c>
      <c r="AC462" s="944">
        <f t="shared" si="160"/>
        <v>0</v>
      </c>
      <c r="AD462" s="943" t="e">
        <f t="shared" si="161"/>
        <v>#VALUE!</v>
      </c>
      <c r="AE462" s="943">
        <f t="shared" si="162"/>
        <v>0</v>
      </c>
      <c r="AF462" s="916">
        <f>IF(H462&gt;8,tab!$D$63,tab!$D$65)</f>
        <v>0.5</v>
      </c>
      <c r="AG462" s="925">
        <f t="shared" si="163"/>
        <v>0</v>
      </c>
      <c r="AH462" s="940">
        <f t="shared" si="164"/>
        <v>0</v>
      </c>
      <c r="AI462" s="924" t="e">
        <f>DATE(YEAR(tab!$H$3),MONTH(G462),DAY(G462))&gt;tab!$H$3</f>
        <v>#VALUE!</v>
      </c>
      <c r="AJ462" s="924" t="e">
        <f t="shared" si="165"/>
        <v>#VALUE!</v>
      </c>
      <c r="AK462" s="884">
        <f t="shared" si="166"/>
        <v>30</v>
      </c>
      <c r="AL462" s="884">
        <f t="shared" si="171"/>
        <v>30</v>
      </c>
      <c r="AM462" s="925">
        <f t="shared" si="174"/>
        <v>0</v>
      </c>
    </row>
    <row r="463" spans="3:39" x14ac:dyDescent="0.2">
      <c r="C463" s="69"/>
      <c r="D463" s="75" t="str">
        <f>IF(op!D396=0,"",op!D396)</f>
        <v/>
      </c>
      <c r="E463" s="75" t="str">
        <f>IF(op!E396=0,"-",op!E396)</f>
        <v/>
      </c>
      <c r="F463" s="88" t="str">
        <f>IF(op!F396="","",op!F396+1)</f>
        <v/>
      </c>
      <c r="G463" s="290" t="str">
        <f>IF(op!G396="","",op!G396)</f>
        <v/>
      </c>
      <c r="H463" s="88" t="str">
        <f>IF(op!H396=0,"",op!H396)</f>
        <v/>
      </c>
      <c r="I463" s="99" t="str">
        <f>IF(J463="","",(IF(op!I396+1&gt;LOOKUP(H463,schaal2019,regels2019),op!I396,op!I396+1)))</f>
        <v/>
      </c>
      <c r="J463" s="291" t="str">
        <f>IF(op!J396="","",op!J396)</f>
        <v/>
      </c>
      <c r="K463" s="971"/>
      <c r="L463" s="859">
        <f t="shared" si="175"/>
        <v>0</v>
      </c>
      <c r="M463" s="859">
        <f t="shared" si="175"/>
        <v>0</v>
      </c>
      <c r="N463" s="867" t="str">
        <f t="shared" si="168"/>
        <v/>
      </c>
      <c r="O463" s="867" t="str">
        <f t="shared" si="169"/>
        <v/>
      </c>
      <c r="P463" s="953" t="str">
        <f t="shared" si="154"/>
        <v/>
      </c>
      <c r="Q463" s="70"/>
      <c r="R463" s="739" t="str">
        <f t="shared" si="170"/>
        <v/>
      </c>
      <c r="S463" s="739" t="str">
        <f t="shared" si="155"/>
        <v/>
      </c>
      <c r="T463" s="740" t="str">
        <f t="shared" si="156"/>
        <v/>
      </c>
      <c r="U463" s="275"/>
      <c r="V463" s="288"/>
      <c r="W463" s="288"/>
      <c r="X463" s="288"/>
      <c r="Y463" s="908">
        <f t="shared" si="173"/>
        <v>0</v>
      </c>
      <c r="Z463" s="986">
        <f>tab!$D$62</f>
        <v>0.6</v>
      </c>
      <c r="AA463" s="944">
        <f t="shared" si="158"/>
        <v>0</v>
      </c>
      <c r="AB463" s="944">
        <f t="shared" si="159"/>
        <v>0</v>
      </c>
      <c r="AC463" s="944">
        <f t="shared" si="160"/>
        <v>0</v>
      </c>
      <c r="AD463" s="943" t="e">
        <f t="shared" si="161"/>
        <v>#VALUE!</v>
      </c>
      <c r="AE463" s="943">
        <f t="shared" si="162"/>
        <v>0</v>
      </c>
      <c r="AF463" s="916">
        <f>IF(H463&gt;8,tab!$D$63,tab!$D$65)</f>
        <v>0.5</v>
      </c>
      <c r="AG463" s="925">
        <f t="shared" si="163"/>
        <v>0</v>
      </c>
      <c r="AH463" s="940">
        <f t="shared" si="164"/>
        <v>0</v>
      </c>
      <c r="AI463" s="924" t="e">
        <f>DATE(YEAR(tab!$H$3),MONTH(G463),DAY(G463))&gt;tab!$H$3</f>
        <v>#VALUE!</v>
      </c>
      <c r="AJ463" s="924" t="e">
        <f t="shared" si="165"/>
        <v>#VALUE!</v>
      </c>
      <c r="AK463" s="884">
        <f t="shared" si="166"/>
        <v>30</v>
      </c>
      <c r="AL463" s="884">
        <f t="shared" si="171"/>
        <v>30</v>
      </c>
      <c r="AM463" s="925">
        <f t="shared" si="174"/>
        <v>0</v>
      </c>
    </row>
    <row r="464" spans="3:39" x14ac:dyDescent="0.2">
      <c r="C464" s="69"/>
      <c r="D464" s="75" t="str">
        <f>IF(op!D397=0,"",op!D397)</f>
        <v/>
      </c>
      <c r="E464" s="75" t="str">
        <f>IF(op!E397=0,"-",op!E397)</f>
        <v/>
      </c>
      <c r="F464" s="88" t="str">
        <f>IF(op!F397="","",op!F397+1)</f>
        <v/>
      </c>
      <c r="G464" s="290" t="str">
        <f>IF(op!G397="","",op!G397)</f>
        <v/>
      </c>
      <c r="H464" s="88" t="str">
        <f>IF(op!H397=0,"",op!H397)</f>
        <v/>
      </c>
      <c r="I464" s="99" t="str">
        <f>IF(J464="","",(IF(op!I397+1&gt;LOOKUP(H464,schaal2019,regels2019),op!I397,op!I397+1)))</f>
        <v/>
      </c>
      <c r="J464" s="291" t="str">
        <f>IF(op!J397="","",op!J397)</f>
        <v/>
      </c>
      <c r="K464" s="971"/>
      <c r="L464" s="859">
        <f t="shared" si="175"/>
        <v>0</v>
      </c>
      <c r="M464" s="859">
        <f t="shared" si="175"/>
        <v>0</v>
      </c>
      <c r="N464" s="867" t="str">
        <f t="shared" si="168"/>
        <v/>
      </c>
      <c r="O464" s="867" t="str">
        <f t="shared" si="169"/>
        <v/>
      </c>
      <c r="P464" s="953" t="str">
        <f t="shared" si="154"/>
        <v/>
      </c>
      <c r="Q464" s="70"/>
      <c r="R464" s="739" t="str">
        <f t="shared" si="170"/>
        <v/>
      </c>
      <c r="S464" s="739" t="str">
        <f t="shared" si="155"/>
        <v/>
      </c>
      <c r="T464" s="740" t="str">
        <f t="shared" si="156"/>
        <v/>
      </c>
      <c r="U464" s="275"/>
      <c r="V464" s="288"/>
      <c r="W464" s="288"/>
      <c r="X464" s="288"/>
      <c r="Y464" s="908">
        <f t="shared" si="173"/>
        <v>0</v>
      </c>
      <c r="Z464" s="986">
        <f>tab!$D$62</f>
        <v>0.6</v>
      </c>
      <c r="AA464" s="944">
        <f t="shared" si="158"/>
        <v>0</v>
      </c>
      <c r="AB464" s="944">
        <f t="shared" si="159"/>
        <v>0</v>
      </c>
      <c r="AC464" s="944">
        <f t="shared" si="160"/>
        <v>0</v>
      </c>
      <c r="AD464" s="943" t="e">
        <f t="shared" si="161"/>
        <v>#VALUE!</v>
      </c>
      <c r="AE464" s="943">
        <f t="shared" si="162"/>
        <v>0</v>
      </c>
      <c r="AF464" s="916">
        <f>IF(H464&gt;8,tab!$D$63,tab!$D$65)</f>
        <v>0.5</v>
      </c>
      <c r="AG464" s="925">
        <f t="shared" si="163"/>
        <v>0</v>
      </c>
      <c r="AH464" s="940">
        <f t="shared" si="164"/>
        <v>0</v>
      </c>
      <c r="AI464" s="924" t="e">
        <f>DATE(YEAR(tab!$H$3),MONTH(G464),DAY(G464))&gt;tab!$H$3</f>
        <v>#VALUE!</v>
      </c>
      <c r="AJ464" s="924" t="e">
        <f t="shared" si="165"/>
        <v>#VALUE!</v>
      </c>
      <c r="AK464" s="884">
        <f t="shared" si="166"/>
        <v>30</v>
      </c>
      <c r="AL464" s="884">
        <f t="shared" si="171"/>
        <v>30</v>
      </c>
      <c r="AM464" s="925">
        <f t="shared" si="174"/>
        <v>0</v>
      </c>
    </row>
    <row r="465" spans="3:39" x14ac:dyDescent="0.2">
      <c r="C465" s="69"/>
      <c r="D465" s="75" t="str">
        <f>IF(op!D398=0,"",op!D398)</f>
        <v/>
      </c>
      <c r="E465" s="75" t="str">
        <f>IF(op!E398=0,"-",op!E398)</f>
        <v/>
      </c>
      <c r="F465" s="88" t="str">
        <f>IF(op!F398="","",op!F398+1)</f>
        <v/>
      </c>
      <c r="G465" s="290" t="str">
        <f>IF(op!G398="","",op!G398)</f>
        <v/>
      </c>
      <c r="H465" s="88" t="str">
        <f>IF(op!H398=0,"",op!H398)</f>
        <v/>
      </c>
      <c r="I465" s="99" t="str">
        <f>IF(J465="","",(IF(op!I398+1&gt;LOOKUP(H465,schaal2019,regels2019),op!I398,op!I398+1)))</f>
        <v/>
      </c>
      <c r="J465" s="291" t="str">
        <f>IF(op!J398="","",op!J398)</f>
        <v/>
      </c>
      <c r="K465" s="971"/>
      <c r="L465" s="859">
        <f t="shared" si="175"/>
        <v>0</v>
      </c>
      <c r="M465" s="859">
        <f t="shared" si="175"/>
        <v>0</v>
      </c>
      <c r="N465" s="867" t="str">
        <f t="shared" si="168"/>
        <v/>
      </c>
      <c r="O465" s="867" t="str">
        <f t="shared" si="169"/>
        <v/>
      </c>
      <c r="P465" s="953" t="str">
        <f t="shared" si="154"/>
        <v/>
      </c>
      <c r="Q465" s="70"/>
      <c r="R465" s="739" t="str">
        <f t="shared" si="170"/>
        <v/>
      </c>
      <c r="S465" s="739" t="str">
        <f t="shared" si="155"/>
        <v/>
      </c>
      <c r="T465" s="740" t="str">
        <f t="shared" si="156"/>
        <v/>
      </c>
      <c r="U465" s="275"/>
      <c r="V465" s="288"/>
      <c r="W465" s="288"/>
      <c r="X465" s="288"/>
      <c r="Y465" s="908">
        <f t="shared" si="173"/>
        <v>0</v>
      </c>
      <c r="Z465" s="986">
        <f>tab!$D$62</f>
        <v>0.6</v>
      </c>
      <c r="AA465" s="944">
        <f t="shared" si="158"/>
        <v>0</v>
      </c>
      <c r="AB465" s="944">
        <f t="shared" si="159"/>
        <v>0</v>
      </c>
      <c r="AC465" s="944">
        <f t="shared" si="160"/>
        <v>0</v>
      </c>
      <c r="AD465" s="943" t="e">
        <f t="shared" si="161"/>
        <v>#VALUE!</v>
      </c>
      <c r="AE465" s="943">
        <f t="shared" si="162"/>
        <v>0</v>
      </c>
      <c r="AF465" s="916">
        <f>IF(H465&gt;8,tab!$D$63,tab!$D$65)</f>
        <v>0.5</v>
      </c>
      <c r="AG465" s="925">
        <f t="shared" si="163"/>
        <v>0</v>
      </c>
      <c r="AH465" s="940">
        <f t="shared" si="164"/>
        <v>0</v>
      </c>
      <c r="AI465" s="924" t="e">
        <f>DATE(YEAR(tab!$H$3),MONTH(G465),DAY(G465))&gt;tab!$H$3</f>
        <v>#VALUE!</v>
      </c>
      <c r="AJ465" s="924" t="e">
        <f t="shared" si="165"/>
        <v>#VALUE!</v>
      </c>
      <c r="AK465" s="884">
        <f t="shared" si="166"/>
        <v>30</v>
      </c>
      <c r="AL465" s="884">
        <f t="shared" si="171"/>
        <v>30</v>
      </c>
      <c r="AM465" s="925">
        <f t="shared" si="174"/>
        <v>0</v>
      </c>
    </row>
    <row r="466" spans="3:39" x14ac:dyDescent="0.2">
      <c r="C466" s="69"/>
      <c r="D466" s="75" t="str">
        <f>IF(op!D399=0,"",op!D399)</f>
        <v/>
      </c>
      <c r="E466" s="75" t="str">
        <f>IF(op!E399=0,"-",op!E399)</f>
        <v/>
      </c>
      <c r="F466" s="88" t="str">
        <f>IF(op!F399="","",op!F399+1)</f>
        <v/>
      </c>
      <c r="G466" s="290" t="str">
        <f>IF(op!G399="","",op!G399)</f>
        <v/>
      </c>
      <c r="H466" s="88" t="str">
        <f>IF(op!H399=0,"",op!H399)</f>
        <v/>
      </c>
      <c r="I466" s="99" t="str">
        <f>IF(J466="","",(IF(op!I399+1&gt;LOOKUP(H466,schaal2019,regels2019),op!I399,op!I399+1)))</f>
        <v/>
      </c>
      <c r="J466" s="291" t="str">
        <f>IF(op!J399="","",op!J399)</f>
        <v/>
      </c>
      <c r="K466" s="971"/>
      <c r="L466" s="859">
        <f t="shared" si="175"/>
        <v>0</v>
      </c>
      <c r="M466" s="859">
        <f t="shared" si="175"/>
        <v>0</v>
      </c>
      <c r="N466" s="867" t="str">
        <f t="shared" si="168"/>
        <v/>
      </c>
      <c r="O466" s="867" t="str">
        <f t="shared" si="169"/>
        <v/>
      </c>
      <c r="P466" s="953" t="str">
        <f t="shared" si="154"/>
        <v/>
      </c>
      <c r="Q466" s="70"/>
      <c r="R466" s="739" t="str">
        <f t="shared" si="170"/>
        <v/>
      </c>
      <c r="S466" s="739" t="str">
        <f t="shared" si="155"/>
        <v/>
      </c>
      <c r="T466" s="740" t="str">
        <f t="shared" si="156"/>
        <v/>
      </c>
      <c r="U466" s="275"/>
      <c r="V466" s="288"/>
      <c r="W466" s="288"/>
      <c r="X466" s="288"/>
      <c r="Y466" s="908">
        <f t="shared" si="173"/>
        <v>0</v>
      </c>
      <c r="Z466" s="986">
        <f>tab!$D$62</f>
        <v>0.6</v>
      </c>
      <c r="AA466" s="944">
        <f t="shared" si="158"/>
        <v>0</v>
      </c>
      <c r="AB466" s="944">
        <f t="shared" si="159"/>
        <v>0</v>
      </c>
      <c r="AC466" s="944">
        <f t="shared" si="160"/>
        <v>0</v>
      </c>
      <c r="AD466" s="943" t="e">
        <f t="shared" si="161"/>
        <v>#VALUE!</v>
      </c>
      <c r="AE466" s="943">
        <f t="shared" si="162"/>
        <v>0</v>
      </c>
      <c r="AF466" s="916">
        <f>IF(H466&gt;8,tab!$D$63,tab!$D$65)</f>
        <v>0.5</v>
      </c>
      <c r="AG466" s="925">
        <f t="shared" si="163"/>
        <v>0</v>
      </c>
      <c r="AH466" s="940">
        <f t="shared" si="164"/>
        <v>0</v>
      </c>
      <c r="AI466" s="924" t="e">
        <f>DATE(YEAR(tab!$H$3),MONTH(G466),DAY(G466))&gt;tab!$H$3</f>
        <v>#VALUE!</v>
      </c>
      <c r="AJ466" s="924" t="e">
        <f t="shared" si="165"/>
        <v>#VALUE!</v>
      </c>
      <c r="AK466" s="884">
        <f t="shared" si="166"/>
        <v>30</v>
      </c>
      <c r="AL466" s="884">
        <f t="shared" si="171"/>
        <v>30</v>
      </c>
      <c r="AM466" s="925">
        <f t="shared" si="174"/>
        <v>0</v>
      </c>
    </row>
    <row r="467" spans="3:39" x14ac:dyDescent="0.2">
      <c r="C467" s="69"/>
      <c r="D467" s="75" t="str">
        <f>IF(op!D400=0,"",op!D400)</f>
        <v/>
      </c>
      <c r="E467" s="75" t="str">
        <f>IF(op!E400=0,"-",op!E400)</f>
        <v/>
      </c>
      <c r="F467" s="88" t="str">
        <f>IF(op!F400="","",op!F400+1)</f>
        <v/>
      </c>
      <c r="G467" s="290" t="str">
        <f>IF(op!G400="","",op!G400)</f>
        <v/>
      </c>
      <c r="H467" s="88" t="str">
        <f>IF(op!H400=0,"",op!H400)</f>
        <v/>
      </c>
      <c r="I467" s="99" t="str">
        <f>IF(J467="","",(IF(op!I400+1&gt;LOOKUP(H467,schaal2019,regels2019),op!I400,op!I400+1)))</f>
        <v/>
      </c>
      <c r="J467" s="291" t="str">
        <f>IF(op!J400="","",op!J400)</f>
        <v/>
      </c>
      <c r="K467" s="971"/>
      <c r="L467" s="859">
        <f t="shared" si="175"/>
        <v>0</v>
      </c>
      <c r="M467" s="859">
        <f t="shared" si="175"/>
        <v>0</v>
      </c>
      <c r="N467" s="867" t="str">
        <f t="shared" si="168"/>
        <v/>
      </c>
      <c r="O467" s="867" t="str">
        <f t="shared" si="169"/>
        <v/>
      </c>
      <c r="P467" s="953" t="str">
        <f t="shared" si="154"/>
        <v/>
      </c>
      <c r="Q467" s="70"/>
      <c r="R467" s="739" t="str">
        <f t="shared" si="170"/>
        <v/>
      </c>
      <c r="S467" s="739" t="str">
        <f t="shared" si="155"/>
        <v/>
      </c>
      <c r="T467" s="740" t="str">
        <f t="shared" si="156"/>
        <v/>
      </c>
      <c r="U467" s="275"/>
      <c r="V467" s="288"/>
      <c r="W467" s="288"/>
      <c r="X467" s="288"/>
      <c r="Y467" s="908">
        <f t="shared" si="173"/>
        <v>0</v>
      </c>
      <c r="Z467" s="986">
        <f>tab!$D$62</f>
        <v>0.6</v>
      </c>
      <c r="AA467" s="944">
        <f t="shared" si="158"/>
        <v>0</v>
      </c>
      <c r="AB467" s="944">
        <f t="shared" si="159"/>
        <v>0</v>
      </c>
      <c r="AC467" s="944">
        <f t="shared" si="160"/>
        <v>0</v>
      </c>
      <c r="AD467" s="943" t="e">
        <f t="shared" si="161"/>
        <v>#VALUE!</v>
      </c>
      <c r="AE467" s="943">
        <f t="shared" si="162"/>
        <v>0</v>
      </c>
      <c r="AF467" s="916">
        <f>IF(H467&gt;8,tab!$D$63,tab!$D$65)</f>
        <v>0.5</v>
      </c>
      <c r="AG467" s="925">
        <f t="shared" si="163"/>
        <v>0</v>
      </c>
      <c r="AH467" s="940">
        <f t="shared" si="164"/>
        <v>0</v>
      </c>
      <c r="AI467" s="924" t="e">
        <f>DATE(YEAR(tab!$H$3),MONTH(G467),DAY(G467))&gt;tab!$H$3</f>
        <v>#VALUE!</v>
      </c>
      <c r="AJ467" s="924" t="e">
        <f t="shared" si="165"/>
        <v>#VALUE!</v>
      </c>
      <c r="AK467" s="884">
        <f t="shared" si="166"/>
        <v>30</v>
      </c>
      <c r="AL467" s="884">
        <f t="shared" si="171"/>
        <v>30</v>
      </c>
      <c r="AM467" s="925">
        <f t="shared" si="174"/>
        <v>0</v>
      </c>
    </row>
    <row r="468" spans="3:39" x14ac:dyDescent="0.2">
      <c r="C468" s="69"/>
      <c r="D468" s="75" t="str">
        <f>IF(op!D401=0,"",op!D401)</f>
        <v/>
      </c>
      <c r="E468" s="75" t="str">
        <f>IF(op!E401=0,"-",op!E401)</f>
        <v/>
      </c>
      <c r="F468" s="88" t="str">
        <f>IF(op!F401="","",op!F401+1)</f>
        <v/>
      </c>
      <c r="G468" s="290" t="str">
        <f>IF(op!G401="","",op!G401)</f>
        <v/>
      </c>
      <c r="H468" s="88" t="str">
        <f>IF(op!H401=0,"",op!H401)</f>
        <v/>
      </c>
      <c r="I468" s="99" t="str">
        <f>IF(J468="","",(IF(op!I401+1&gt;LOOKUP(H468,schaal2019,regels2019),op!I401,op!I401+1)))</f>
        <v/>
      </c>
      <c r="J468" s="291" t="str">
        <f>IF(op!J401="","",op!J401)</f>
        <v/>
      </c>
      <c r="K468" s="971"/>
      <c r="L468" s="859">
        <f t="shared" si="175"/>
        <v>0</v>
      </c>
      <c r="M468" s="859">
        <f t="shared" si="175"/>
        <v>0</v>
      </c>
      <c r="N468" s="867" t="str">
        <f t="shared" si="168"/>
        <v/>
      </c>
      <c r="O468" s="867" t="str">
        <f t="shared" si="169"/>
        <v/>
      </c>
      <c r="P468" s="953" t="str">
        <f t="shared" si="154"/>
        <v/>
      </c>
      <c r="Q468" s="70"/>
      <c r="R468" s="739" t="str">
        <f t="shared" si="170"/>
        <v/>
      </c>
      <c r="S468" s="739" t="str">
        <f t="shared" si="155"/>
        <v/>
      </c>
      <c r="T468" s="740" t="str">
        <f t="shared" si="156"/>
        <v/>
      </c>
      <c r="U468" s="275"/>
      <c r="V468" s="288"/>
      <c r="W468" s="288"/>
      <c r="X468" s="288"/>
      <c r="Y468" s="908">
        <f t="shared" si="173"/>
        <v>0</v>
      </c>
      <c r="Z468" s="986">
        <f>tab!$D$62</f>
        <v>0.6</v>
      </c>
      <c r="AA468" s="944">
        <f t="shared" si="158"/>
        <v>0</v>
      </c>
      <c r="AB468" s="944">
        <f t="shared" si="159"/>
        <v>0</v>
      </c>
      <c r="AC468" s="944">
        <f t="shared" si="160"/>
        <v>0</v>
      </c>
      <c r="AD468" s="943" t="e">
        <f t="shared" si="161"/>
        <v>#VALUE!</v>
      </c>
      <c r="AE468" s="943">
        <f t="shared" si="162"/>
        <v>0</v>
      </c>
      <c r="AF468" s="916">
        <f>IF(H468&gt;8,tab!$D$63,tab!$D$65)</f>
        <v>0.5</v>
      </c>
      <c r="AG468" s="925">
        <f t="shared" si="163"/>
        <v>0</v>
      </c>
      <c r="AH468" s="940">
        <f t="shared" si="164"/>
        <v>0</v>
      </c>
      <c r="AI468" s="924" t="e">
        <f>DATE(YEAR(tab!$H$3),MONTH(G468),DAY(G468))&gt;tab!$H$3</f>
        <v>#VALUE!</v>
      </c>
      <c r="AJ468" s="924" t="e">
        <f t="shared" si="165"/>
        <v>#VALUE!</v>
      </c>
      <c r="AK468" s="884">
        <f t="shared" si="166"/>
        <v>30</v>
      </c>
      <c r="AL468" s="884">
        <f t="shared" si="171"/>
        <v>30</v>
      </c>
      <c r="AM468" s="925">
        <f t="shared" si="174"/>
        <v>0</v>
      </c>
    </row>
    <row r="469" spans="3:39" x14ac:dyDescent="0.2">
      <c r="C469" s="69"/>
      <c r="D469" s="75" t="str">
        <f>IF(op!D402=0,"",op!D402)</f>
        <v/>
      </c>
      <c r="E469" s="75" t="str">
        <f>IF(op!E402=0,"-",op!E402)</f>
        <v/>
      </c>
      <c r="F469" s="88" t="str">
        <f>IF(op!F402="","",op!F402+1)</f>
        <v/>
      </c>
      <c r="G469" s="290" t="str">
        <f>IF(op!G402="","",op!G402)</f>
        <v/>
      </c>
      <c r="H469" s="88" t="str">
        <f>IF(op!H402=0,"",op!H402)</f>
        <v/>
      </c>
      <c r="I469" s="99" t="str">
        <f>IF(J469="","",(IF(op!I402+1&gt;LOOKUP(H469,schaal2019,regels2019),op!I402,op!I402+1)))</f>
        <v/>
      </c>
      <c r="J469" s="291" t="str">
        <f>IF(op!J402="","",op!J402)</f>
        <v/>
      </c>
      <c r="K469" s="971"/>
      <c r="L469" s="859">
        <f t="shared" si="175"/>
        <v>0</v>
      </c>
      <c r="M469" s="859">
        <f t="shared" si="175"/>
        <v>0</v>
      </c>
      <c r="N469" s="867" t="str">
        <f t="shared" si="168"/>
        <v/>
      </c>
      <c r="O469" s="867" t="str">
        <f t="shared" si="169"/>
        <v/>
      </c>
      <c r="P469" s="953" t="str">
        <f t="shared" si="154"/>
        <v/>
      </c>
      <c r="Q469" s="70"/>
      <c r="R469" s="739" t="str">
        <f t="shared" si="170"/>
        <v/>
      </c>
      <c r="S469" s="739" t="str">
        <f t="shared" si="155"/>
        <v/>
      </c>
      <c r="T469" s="740" t="str">
        <f t="shared" si="156"/>
        <v/>
      </c>
      <c r="U469" s="275"/>
      <c r="V469" s="288"/>
      <c r="W469" s="288"/>
      <c r="X469" s="288"/>
      <c r="Y469" s="908">
        <f t="shared" si="173"/>
        <v>0</v>
      </c>
      <c r="Z469" s="986">
        <f>tab!$D$62</f>
        <v>0.6</v>
      </c>
      <c r="AA469" s="944">
        <f t="shared" si="158"/>
        <v>0</v>
      </c>
      <c r="AB469" s="944">
        <f t="shared" si="159"/>
        <v>0</v>
      </c>
      <c r="AC469" s="944">
        <f t="shared" si="160"/>
        <v>0</v>
      </c>
      <c r="AD469" s="943" t="e">
        <f t="shared" si="161"/>
        <v>#VALUE!</v>
      </c>
      <c r="AE469" s="943">
        <f t="shared" si="162"/>
        <v>0</v>
      </c>
      <c r="AF469" s="916">
        <f>IF(H469&gt;8,tab!$D$63,tab!$D$65)</f>
        <v>0.5</v>
      </c>
      <c r="AG469" s="925">
        <f t="shared" si="163"/>
        <v>0</v>
      </c>
      <c r="AH469" s="940">
        <f t="shared" si="164"/>
        <v>0</v>
      </c>
      <c r="AI469" s="924" t="e">
        <f>DATE(YEAR(tab!$H$3),MONTH(G469),DAY(G469))&gt;tab!$H$3</f>
        <v>#VALUE!</v>
      </c>
      <c r="AJ469" s="924" t="e">
        <f t="shared" si="165"/>
        <v>#VALUE!</v>
      </c>
      <c r="AK469" s="884">
        <f t="shared" si="166"/>
        <v>30</v>
      </c>
      <c r="AL469" s="884">
        <f t="shared" si="171"/>
        <v>30</v>
      </c>
      <c r="AM469" s="925">
        <f t="shared" si="174"/>
        <v>0</v>
      </c>
    </row>
    <row r="470" spans="3:39" x14ac:dyDescent="0.2">
      <c r="C470" s="69"/>
      <c r="D470" s="75" t="str">
        <f>IF(op!D403=0,"",op!D403)</f>
        <v/>
      </c>
      <c r="E470" s="75" t="str">
        <f>IF(op!E403=0,"-",op!E403)</f>
        <v/>
      </c>
      <c r="F470" s="88" t="str">
        <f>IF(op!F403="","",op!F403+1)</f>
        <v/>
      </c>
      <c r="G470" s="290" t="str">
        <f>IF(op!G403="","",op!G403)</f>
        <v/>
      </c>
      <c r="H470" s="88" t="str">
        <f>IF(op!H403=0,"",op!H403)</f>
        <v/>
      </c>
      <c r="I470" s="99" t="str">
        <f>IF(J470="","",(IF(op!I403+1&gt;LOOKUP(H470,schaal2019,regels2019),op!I403,op!I403+1)))</f>
        <v/>
      </c>
      <c r="J470" s="291" t="str">
        <f>IF(op!J403="","",op!J403)</f>
        <v/>
      </c>
      <c r="K470" s="971"/>
      <c r="L470" s="859">
        <f t="shared" si="175"/>
        <v>0</v>
      </c>
      <c r="M470" s="859">
        <f t="shared" si="175"/>
        <v>0</v>
      </c>
      <c r="N470" s="867" t="str">
        <f t="shared" si="168"/>
        <v/>
      </c>
      <c r="O470" s="867" t="str">
        <f t="shared" si="169"/>
        <v/>
      </c>
      <c r="P470" s="953" t="str">
        <f t="shared" si="154"/>
        <v/>
      </c>
      <c r="Q470" s="70"/>
      <c r="R470" s="739" t="str">
        <f t="shared" si="170"/>
        <v/>
      </c>
      <c r="S470" s="739" t="str">
        <f t="shared" si="155"/>
        <v/>
      </c>
      <c r="T470" s="740" t="str">
        <f t="shared" si="156"/>
        <v/>
      </c>
      <c r="U470" s="275"/>
      <c r="V470" s="288"/>
      <c r="W470" s="288"/>
      <c r="X470" s="288"/>
      <c r="Y470" s="908">
        <f t="shared" si="173"/>
        <v>0</v>
      </c>
      <c r="Z470" s="986">
        <f>tab!$D$62</f>
        <v>0.6</v>
      </c>
      <c r="AA470" s="944">
        <f t="shared" si="158"/>
        <v>0</v>
      </c>
      <c r="AB470" s="944">
        <f t="shared" si="159"/>
        <v>0</v>
      </c>
      <c r="AC470" s="944">
        <f t="shared" si="160"/>
        <v>0</v>
      </c>
      <c r="AD470" s="943" t="e">
        <f t="shared" si="161"/>
        <v>#VALUE!</v>
      </c>
      <c r="AE470" s="943">
        <f t="shared" si="162"/>
        <v>0</v>
      </c>
      <c r="AF470" s="916">
        <f>IF(H470&gt;8,tab!$D$63,tab!$D$65)</f>
        <v>0.5</v>
      </c>
      <c r="AG470" s="925">
        <f t="shared" si="163"/>
        <v>0</v>
      </c>
      <c r="AH470" s="940">
        <f t="shared" si="164"/>
        <v>0</v>
      </c>
      <c r="AI470" s="924" t="e">
        <f>DATE(YEAR(tab!$H$3),MONTH(G470),DAY(G470))&gt;tab!$H$3</f>
        <v>#VALUE!</v>
      </c>
      <c r="AJ470" s="924" t="e">
        <f t="shared" si="165"/>
        <v>#VALUE!</v>
      </c>
      <c r="AK470" s="884">
        <f t="shared" si="166"/>
        <v>30</v>
      </c>
      <c r="AL470" s="884">
        <f t="shared" si="171"/>
        <v>30</v>
      </c>
      <c r="AM470" s="925">
        <f t="shared" si="174"/>
        <v>0</v>
      </c>
    </row>
    <row r="471" spans="3:39" x14ac:dyDescent="0.2">
      <c r="C471" s="69"/>
      <c r="D471" s="75" t="str">
        <f>IF(op!D404=0,"",op!D404)</f>
        <v/>
      </c>
      <c r="E471" s="75" t="str">
        <f>IF(op!E404=0,"-",op!E404)</f>
        <v/>
      </c>
      <c r="F471" s="88" t="str">
        <f>IF(op!F404="","",op!F404+1)</f>
        <v/>
      </c>
      <c r="G471" s="290" t="str">
        <f>IF(op!G404="","",op!G404)</f>
        <v/>
      </c>
      <c r="H471" s="88" t="str">
        <f>IF(op!H404=0,"",op!H404)</f>
        <v/>
      </c>
      <c r="I471" s="99" t="str">
        <f>IF(J471="","",(IF(op!I404+1&gt;LOOKUP(H471,schaal2019,regels2019),op!I404,op!I404+1)))</f>
        <v/>
      </c>
      <c r="J471" s="291" t="str">
        <f>IF(op!J404="","",op!J404)</f>
        <v/>
      </c>
      <c r="K471" s="971"/>
      <c r="L471" s="859">
        <f t="shared" si="175"/>
        <v>0</v>
      </c>
      <c r="M471" s="859">
        <f t="shared" si="175"/>
        <v>0</v>
      </c>
      <c r="N471" s="867" t="str">
        <f t="shared" si="168"/>
        <v/>
      </c>
      <c r="O471" s="867" t="str">
        <f t="shared" si="169"/>
        <v/>
      </c>
      <c r="P471" s="953" t="str">
        <f t="shared" si="154"/>
        <v/>
      </c>
      <c r="Q471" s="70"/>
      <c r="R471" s="739" t="str">
        <f t="shared" si="170"/>
        <v/>
      </c>
      <c r="S471" s="739" t="str">
        <f t="shared" si="155"/>
        <v/>
      </c>
      <c r="T471" s="740" t="str">
        <f t="shared" si="156"/>
        <v/>
      </c>
      <c r="U471" s="275"/>
      <c r="V471" s="288"/>
      <c r="W471" s="288"/>
      <c r="X471" s="288"/>
      <c r="Y471" s="908">
        <f t="shared" si="173"/>
        <v>0</v>
      </c>
      <c r="Z471" s="986">
        <f>tab!$D$62</f>
        <v>0.6</v>
      </c>
      <c r="AA471" s="944">
        <f t="shared" si="158"/>
        <v>0</v>
      </c>
      <c r="AB471" s="944">
        <f t="shared" si="159"/>
        <v>0</v>
      </c>
      <c r="AC471" s="944">
        <f t="shared" si="160"/>
        <v>0</v>
      </c>
      <c r="AD471" s="943" t="e">
        <f t="shared" si="161"/>
        <v>#VALUE!</v>
      </c>
      <c r="AE471" s="943">
        <f t="shared" si="162"/>
        <v>0</v>
      </c>
      <c r="AF471" s="916">
        <f>IF(H471&gt;8,tab!$D$63,tab!$D$65)</f>
        <v>0.5</v>
      </c>
      <c r="AG471" s="925">
        <f t="shared" si="163"/>
        <v>0</v>
      </c>
      <c r="AH471" s="940">
        <f t="shared" si="164"/>
        <v>0</v>
      </c>
      <c r="AI471" s="924" t="e">
        <f>DATE(YEAR(tab!$H$3),MONTH(G471),DAY(G471))&gt;tab!$H$3</f>
        <v>#VALUE!</v>
      </c>
      <c r="AJ471" s="924" t="e">
        <f t="shared" si="165"/>
        <v>#VALUE!</v>
      </c>
      <c r="AK471" s="884">
        <f t="shared" si="166"/>
        <v>30</v>
      </c>
      <c r="AL471" s="884">
        <f t="shared" si="171"/>
        <v>30</v>
      </c>
      <c r="AM471" s="925">
        <f t="shared" si="174"/>
        <v>0</v>
      </c>
    </row>
    <row r="472" spans="3:39" x14ac:dyDescent="0.2">
      <c r="C472" s="69"/>
      <c r="D472" s="75" t="str">
        <f>IF(op!D405=0,"",op!D405)</f>
        <v/>
      </c>
      <c r="E472" s="75" t="str">
        <f>IF(op!E405=0,"-",op!E405)</f>
        <v/>
      </c>
      <c r="F472" s="88" t="str">
        <f>IF(op!F405="","",op!F405+1)</f>
        <v/>
      </c>
      <c r="G472" s="290" t="str">
        <f>IF(op!G405="","",op!G405)</f>
        <v/>
      </c>
      <c r="H472" s="88" t="str">
        <f>IF(op!H405=0,"",op!H405)</f>
        <v/>
      </c>
      <c r="I472" s="99" t="str">
        <f>IF(J472="","",(IF(op!I405+1&gt;LOOKUP(H472,schaal2019,regels2019),op!I405,op!I405+1)))</f>
        <v/>
      </c>
      <c r="J472" s="291" t="str">
        <f>IF(op!J405="","",op!J405)</f>
        <v/>
      </c>
      <c r="K472" s="971"/>
      <c r="L472" s="859">
        <f t="shared" si="175"/>
        <v>0</v>
      </c>
      <c r="M472" s="859">
        <f t="shared" si="175"/>
        <v>0</v>
      </c>
      <c r="N472" s="867" t="str">
        <f t="shared" si="168"/>
        <v/>
      </c>
      <c r="O472" s="867" t="str">
        <f t="shared" si="169"/>
        <v/>
      </c>
      <c r="P472" s="953" t="str">
        <f t="shared" si="154"/>
        <v/>
      </c>
      <c r="Q472" s="70"/>
      <c r="R472" s="739" t="str">
        <f t="shared" si="170"/>
        <v/>
      </c>
      <c r="S472" s="739" t="str">
        <f t="shared" si="155"/>
        <v/>
      </c>
      <c r="T472" s="740" t="str">
        <f t="shared" si="156"/>
        <v/>
      </c>
      <c r="U472" s="275"/>
      <c r="V472" s="288"/>
      <c r="W472" s="288"/>
      <c r="X472" s="288"/>
      <c r="Y472" s="908">
        <f t="shared" si="173"/>
        <v>0</v>
      </c>
      <c r="Z472" s="986">
        <f>tab!$D$62</f>
        <v>0.6</v>
      </c>
      <c r="AA472" s="944">
        <f t="shared" si="158"/>
        <v>0</v>
      </c>
      <c r="AB472" s="944">
        <f t="shared" si="159"/>
        <v>0</v>
      </c>
      <c r="AC472" s="944">
        <f t="shared" si="160"/>
        <v>0</v>
      </c>
      <c r="AD472" s="943" t="e">
        <f t="shared" si="161"/>
        <v>#VALUE!</v>
      </c>
      <c r="AE472" s="943">
        <f t="shared" si="162"/>
        <v>0</v>
      </c>
      <c r="AF472" s="916">
        <f>IF(H472&gt;8,tab!$D$63,tab!$D$65)</f>
        <v>0.5</v>
      </c>
      <c r="AG472" s="925">
        <f t="shared" si="163"/>
        <v>0</v>
      </c>
      <c r="AH472" s="940">
        <f t="shared" si="164"/>
        <v>0</v>
      </c>
      <c r="AI472" s="924" t="e">
        <f>DATE(YEAR(tab!$H$3),MONTH(G472),DAY(G472))&gt;tab!$H$3</f>
        <v>#VALUE!</v>
      </c>
      <c r="AJ472" s="924" t="e">
        <f t="shared" si="165"/>
        <v>#VALUE!</v>
      </c>
      <c r="AK472" s="884">
        <f t="shared" si="166"/>
        <v>30</v>
      </c>
      <c r="AL472" s="884">
        <f t="shared" si="171"/>
        <v>30</v>
      </c>
      <c r="AM472" s="925">
        <f t="shared" si="174"/>
        <v>0</v>
      </c>
    </row>
    <row r="473" spans="3:39" x14ac:dyDescent="0.2">
      <c r="C473" s="69"/>
      <c r="D473" s="75" t="str">
        <f>IF(op!D406=0,"",op!D406)</f>
        <v/>
      </c>
      <c r="E473" s="75" t="str">
        <f>IF(op!E406=0,"-",op!E406)</f>
        <v/>
      </c>
      <c r="F473" s="88" t="str">
        <f>IF(op!F406="","",op!F406+1)</f>
        <v/>
      </c>
      <c r="G473" s="290" t="str">
        <f>IF(op!G406="","",op!G406)</f>
        <v/>
      </c>
      <c r="H473" s="88" t="str">
        <f>IF(op!H406=0,"",op!H406)</f>
        <v/>
      </c>
      <c r="I473" s="99" t="str">
        <f>IF(J473="","",(IF(op!I406+1&gt;LOOKUP(H473,schaal2019,regels2019),op!I406,op!I406+1)))</f>
        <v/>
      </c>
      <c r="J473" s="291" t="str">
        <f>IF(op!J406="","",op!J406)</f>
        <v/>
      </c>
      <c r="K473" s="971"/>
      <c r="L473" s="859">
        <f t="shared" si="175"/>
        <v>0</v>
      </c>
      <c r="M473" s="859">
        <f t="shared" si="175"/>
        <v>0</v>
      </c>
      <c r="N473" s="867" t="str">
        <f t="shared" si="168"/>
        <v/>
      </c>
      <c r="O473" s="867" t="str">
        <f t="shared" si="169"/>
        <v/>
      </c>
      <c r="P473" s="953" t="str">
        <f t="shared" si="154"/>
        <v/>
      </c>
      <c r="Q473" s="70"/>
      <c r="R473" s="739" t="str">
        <f t="shared" si="170"/>
        <v/>
      </c>
      <c r="S473" s="739" t="str">
        <f t="shared" si="155"/>
        <v/>
      </c>
      <c r="T473" s="740" t="str">
        <f t="shared" si="156"/>
        <v/>
      </c>
      <c r="U473" s="275"/>
      <c r="V473" s="288"/>
      <c r="W473" s="288"/>
      <c r="X473" s="288"/>
      <c r="Y473" s="908">
        <f t="shared" si="173"/>
        <v>0</v>
      </c>
      <c r="Z473" s="986">
        <f>tab!$D$62</f>
        <v>0.6</v>
      </c>
      <c r="AA473" s="944">
        <f t="shared" si="158"/>
        <v>0</v>
      </c>
      <c r="AB473" s="944">
        <f t="shared" si="159"/>
        <v>0</v>
      </c>
      <c r="AC473" s="944">
        <f t="shared" si="160"/>
        <v>0</v>
      </c>
      <c r="AD473" s="943" t="e">
        <f t="shared" si="161"/>
        <v>#VALUE!</v>
      </c>
      <c r="AE473" s="943">
        <f t="shared" si="162"/>
        <v>0</v>
      </c>
      <c r="AF473" s="916">
        <f>IF(H473&gt;8,tab!$D$63,tab!$D$65)</f>
        <v>0.5</v>
      </c>
      <c r="AG473" s="925">
        <f t="shared" si="163"/>
        <v>0</v>
      </c>
      <c r="AH473" s="940">
        <f t="shared" si="164"/>
        <v>0</v>
      </c>
      <c r="AI473" s="924" t="e">
        <f>DATE(YEAR(tab!$H$3),MONTH(G473),DAY(G473))&gt;tab!$H$3</f>
        <v>#VALUE!</v>
      </c>
      <c r="AJ473" s="924" t="e">
        <f t="shared" si="165"/>
        <v>#VALUE!</v>
      </c>
      <c r="AK473" s="884">
        <f t="shared" si="166"/>
        <v>30</v>
      </c>
      <c r="AL473" s="884">
        <f t="shared" si="171"/>
        <v>30</v>
      </c>
      <c r="AM473" s="925">
        <f t="shared" si="174"/>
        <v>0</v>
      </c>
    </row>
    <row r="474" spans="3:39" x14ac:dyDescent="0.2">
      <c r="C474" s="76"/>
      <c r="D474" s="172"/>
      <c r="E474" s="345"/>
      <c r="F474" s="345"/>
      <c r="G474" s="346"/>
      <c r="H474" s="345"/>
      <c r="I474" s="347"/>
      <c r="J474" s="755">
        <f>SUM(J419:J473)</f>
        <v>0.1</v>
      </c>
      <c r="K474" s="972"/>
      <c r="L474" s="942">
        <f>SUM(L419:L473)</f>
        <v>0</v>
      </c>
      <c r="M474" s="942">
        <f>SUM(M419:M473)</f>
        <v>0</v>
      </c>
      <c r="N474" s="942">
        <f>SUM(N419:N473)</f>
        <v>4</v>
      </c>
      <c r="O474" s="942">
        <f>SUM(O419:O473)</f>
        <v>0</v>
      </c>
      <c r="P474" s="942">
        <f>SUM(P419:P473)</f>
        <v>4</v>
      </c>
      <c r="Q474" s="172"/>
      <c r="R474" s="756">
        <f>SUM(R419:R473)</f>
        <v>7326.1945750452078</v>
      </c>
      <c r="S474" s="756">
        <f>SUM(S419:S473)</f>
        <v>181.00542495479203</v>
      </c>
      <c r="T474" s="756">
        <f>SUM(T419:T473)</f>
        <v>7507.2</v>
      </c>
      <c r="U474" s="81"/>
      <c r="Y474" s="909">
        <f>SUM(Y419:Y473)</f>
        <v>3910</v>
      </c>
      <c r="AA474" s="909"/>
      <c r="AB474" s="909">
        <f>SUM(AB419:AB473)</f>
        <v>45.251356238698008</v>
      </c>
      <c r="AC474" s="909"/>
      <c r="AF474" s="927"/>
      <c r="AG474" s="928">
        <f>SUM(AG419:AG473)</f>
        <v>0</v>
      </c>
      <c r="AH474" s="937">
        <f>SUM(AH419:AH473)</f>
        <v>0</v>
      </c>
      <c r="AI474" s="926"/>
      <c r="AJ474" s="926"/>
    </row>
  </sheetData>
  <sheetProtection algorithmName="SHA-512" hashValue="vR+Rfus3xHc1zDOZTADWE5OJcnjWKlcmxiMOm9h/XxnmWNeaE/Y2cScLX+/FaAho5U0kG9aVcg9FT0wp4I6/rw==" saltValue="QNbHXCrNZ1kEoL0sYtQU9w==" spinCount="100000" sheet="1" objects="1" scenarios="1"/>
  <phoneticPr fontId="0" type="noConversion"/>
  <dataValidations count="2">
    <dataValidation type="list" allowBlank="1" showInputMessage="1" showErrorMessage="1" sqref="H218:H272 H151:H205 H8:H10 H84:H138 H285:H339 H16:H70 H352:H406 H419:H473">
      <formula1>"L10,L11,L12,L13,L14"</formula1>
    </dataValidation>
    <dataValidation type="whole" allowBlank="1" showInputMessage="1" showErrorMessage="1" sqref="I16">
      <formula1>1</formula1>
      <formula2>16</formula2>
    </dataValidation>
  </dataValidations>
  <pageMargins left="0.74803149606299213" right="0.74803149606299213" top="0.98425196850393704" bottom="0.98425196850393704" header="0.51181102362204722" footer="0.51181102362204722"/>
  <pageSetup paperSize="9" scale="40" orientation="portrait" r:id="rId1"/>
  <headerFooter alignWithMargins="0">
    <oddHeader>&amp;L&amp;"Arial,Vet"&amp;F&amp;R&amp;"Arial,Vet"&amp;A</oddHeader>
    <oddFooter>&amp;L&amp;"Arial,Vet"PO-Raad&amp;C&amp;"Arial,Vet"&amp;D&amp;R&amp;"Arial,Vet"pagina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pageSetUpPr fitToPage="1"/>
  </sheetPr>
  <dimension ref="B1:AR229"/>
  <sheetViews>
    <sheetView showGridLines="0" zoomScale="80" zoomScaleNormal="80" workbookViewId="0">
      <pane ySplit="7" topLeftCell="A8" activePane="bottomLeft" state="frozen"/>
      <selection activeCell="B2" sqref="B2"/>
      <selection pane="bottomLeft" activeCell="B2" sqref="B2"/>
    </sheetView>
  </sheetViews>
  <sheetFormatPr defaultColWidth="9.140625" defaultRowHeight="12.75" x14ac:dyDescent="0.2"/>
  <cols>
    <col min="1" max="1" width="3.7109375" style="48" customWidth="1"/>
    <col min="2" max="3" width="2.7109375" style="48" customWidth="1"/>
    <col min="4" max="4" width="8.7109375" style="209" customWidth="1"/>
    <col min="5" max="5" width="21.5703125" style="209" customWidth="1"/>
    <col min="6" max="6" width="8.7109375" style="127" customWidth="1"/>
    <col min="7" max="7" width="8.7109375" style="210" customWidth="1"/>
    <col min="8" max="9" width="8.7109375" style="211" customWidth="1"/>
    <col min="10" max="10" width="8.7109375" style="212" customWidth="1"/>
    <col min="11" max="11" width="0.85546875" style="48" customWidth="1"/>
    <col min="12" max="14" width="10.85546875" style="211" customWidth="1"/>
    <col min="15" max="15" width="10.85546875" style="211" hidden="1" customWidth="1"/>
    <col min="16" max="16" width="10.85546875" style="211" customWidth="1"/>
    <col min="17" max="17" width="0.85546875" style="48" customWidth="1"/>
    <col min="18" max="18" width="10.85546875" style="358" customWidth="1"/>
    <col min="19" max="19" width="10.85546875" style="48" customWidth="1"/>
    <col min="20" max="20" width="10.85546875" style="328" customWidth="1"/>
    <col min="21" max="21" width="3" style="48" customWidth="1"/>
    <col min="22" max="22" width="2.7109375" style="48" customWidth="1"/>
    <col min="23" max="24" width="20.7109375" style="48" customWidth="1"/>
    <col min="25" max="25" width="9.7109375" style="880" customWidth="1"/>
    <col min="26" max="29" width="10.85546875" style="127" customWidth="1"/>
    <col min="30" max="31" width="8.7109375" style="881" customWidth="1"/>
    <col min="32" max="32" width="9.7109375" style="882" customWidth="1"/>
    <col min="33" max="33" width="8.7109375" style="919" customWidth="1"/>
    <col min="34" max="34" width="8.7109375" style="936" customWidth="1"/>
    <col min="35" max="38" width="8.7109375" style="48" customWidth="1"/>
    <col min="39" max="39" width="1.5703125" style="48" customWidth="1"/>
    <col min="40" max="40" width="12.7109375" style="48" customWidth="1"/>
    <col min="41" max="41" width="12.7109375" style="127" customWidth="1"/>
    <col min="42" max="42" width="12.7109375" style="216" customWidth="1"/>
    <col min="43" max="43" width="12.7109375" style="48" customWidth="1"/>
    <col min="44" max="44" width="1.5703125" style="48" customWidth="1"/>
    <col min="45" max="46" width="10.7109375" style="48" customWidth="1"/>
    <col min="47" max="48" width="2.7109375" style="48" customWidth="1"/>
    <col min="49" max="54" width="9.28515625" style="48" bestFit="1" customWidth="1"/>
    <col min="55" max="16384" width="9.140625" style="48"/>
  </cols>
  <sheetData>
    <row r="1" spans="2:44" ht="12.75" customHeight="1" x14ac:dyDescent="0.2"/>
    <row r="2" spans="2:44" x14ac:dyDescent="0.2">
      <c r="B2" s="43"/>
      <c r="C2" s="44"/>
      <c r="D2" s="218"/>
      <c r="E2" s="218"/>
      <c r="F2" s="128"/>
      <c r="G2" s="219"/>
      <c r="H2" s="220"/>
      <c r="I2" s="220"/>
      <c r="J2" s="221"/>
      <c r="K2" s="44"/>
      <c r="L2" s="220"/>
      <c r="M2" s="220"/>
      <c r="N2" s="220"/>
      <c r="O2" s="220"/>
      <c r="P2" s="220"/>
      <c r="Q2" s="44"/>
      <c r="R2" s="359"/>
      <c r="S2" s="44"/>
      <c r="T2" s="622"/>
      <c r="U2" s="44"/>
      <c r="V2" s="47"/>
    </row>
    <row r="3" spans="2:44" x14ac:dyDescent="0.2">
      <c r="B3" s="49"/>
      <c r="C3" s="50"/>
      <c r="D3" s="176"/>
      <c r="E3" s="176"/>
      <c r="F3" s="129"/>
      <c r="G3" s="224"/>
      <c r="H3" s="225"/>
      <c r="I3" s="225"/>
      <c r="J3" s="226"/>
      <c r="K3" s="50"/>
      <c r="L3" s="225"/>
      <c r="M3" s="225"/>
      <c r="N3" s="225"/>
      <c r="O3" s="225"/>
      <c r="P3" s="225"/>
      <c r="Q3" s="50"/>
      <c r="R3" s="360"/>
      <c r="S3" s="50"/>
      <c r="T3" s="308"/>
      <c r="U3" s="50"/>
      <c r="V3" s="53"/>
    </row>
    <row r="4" spans="2:44" s="229" customFormat="1" ht="18.75" x14ac:dyDescent="0.3">
      <c r="B4" s="230"/>
      <c r="C4" s="674" t="s">
        <v>451</v>
      </c>
      <c r="D4" s="237"/>
      <c r="E4" s="237"/>
      <c r="F4" s="233"/>
      <c r="G4" s="234"/>
      <c r="H4" s="235"/>
      <c r="I4" s="235"/>
      <c r="J4" s="236"/>
      <c r="K4" s="237"/>
      <c r="L4" s="235"/>
      <c r="M4" s="235"/>
      <c r="N4" s="235"/>
      <c r="O4" s="235"/>
      <c r="P4" s="235"/>
      <c r="Q4" s="237"/>
      <c r="R4" s="361"/>
      <c r="S4" s="237"/>
      <c r="T4" s="624"/>
      <c r="U4" s="237"/>
      <c r="V4" s="238"/>
      <c r="Y4" s="910"/>
      <c r="Z4" s="984"/>
      <c r="AA4" s="984"/>
      <c r="AB4" s="984"/>
      <c r="AC4" s="984"/>
      <c r="AD4" s="887"/>
      <c r="AE4" s="887"/>
      <c r="AF4" s="890"/>
      <c r="AG4" s="922"/>
      <c r="AH4" s="939"/>
      <c r="AI4" s="239"/>
      <c r="AJ4" s="239"/>
      <c r="AK4" s="239"/>
      <c r="AL4" s="240"/>
      <c r="AM4" s="241"/>
      <c r="AN4" s="242"/>
      <c r="AO4" s="243"/>
      <c r="AP4" s="240"/>
    </row>
    <row r="5" spans="2:44" s="244" customFormat="1" ht="18.75" x14ac:dyDescent="0.3">
      <c r="B5" s="245"/>
      <c r="C5" s="246" t="str">
        <f>geg!G12</f>
        <v>voorbeeld Basisschool</v>
      </c>
      <c r="D5" s="253"/>
      <c r="E5" s="253"/>
      <c r="F5" s="249"/>
      <c r="G5" s="250"/>
      <c r="H5" s="251"/>
      <c r="I5" s="251"/>
      <c r="J5" s="252"/>
      <c r="K5" s="253"/>
      <c r="L5" s="251"/>
      <c r="M5" s="251"/>
      <c r="N5" s="251"/>
      <c r="O5" s="251"/>
      <c r="P5" s="251"/>
      <c r="Q5" s="253"/>
      <c r="R5" s="361"/>
      <c r="S5" s="253"/>
      <c r="T5" s="624"/>
      <c r="U5" s="253"/>
      <c r="V5" s="254"/>
      <c r="Y5" s="910"/>
      <c r="Z5" s="985"/>
      <c r="AA5" s="985"/>
      <c r="AB5" s="985"/>
      <c r="AC5" s="985"/>
      <c r="AD5" s="887"/>
      <c r="AE5" s="887"/>
      <c r="AF5" s="890"/>
      <c r="AG5" s="922"/>
      <c r="AH5" s="939"/>
      <c r="AI5" s="255"/>
      <c r="AJ5" s="255"/>
      <c r="AK5" s="255"/>
      <c r="AL5" s="256"/>
      <c r="AM5" s="257"/>
      <c r="AN5" s="258"/>
      <c r="AO5" s="259"/>
      <c r="AP5" s="256"/>
    </row>
    <row r="6" spans="2:44" ht="12.75" customHeight="1" x14ac:dyDescent="0.2">
      <c r="B6" s="49"/>
      <c r="C6" s="50"/>
      <c r="D6" s="50"/>
      <c r="E6" s="50"/>
      <c r="F6" s="129"/>
      <c r="G6" s="224"/>
      <c r="H6" s="225"/>
      <c r="I6" s="225"/>
      <c r="J6" s="226"/>
      <c r="K6" s="50"/>
      <c r="L6" s="225"/>
      <c r="M6" s="225"/>
      <c r="N6" s="225"/>
      <c r="O6" s="225"/>
      <c r="P6" s="225"/>
      <c r="Q6" s="50"/>
      <c r="R6" s="360"/>
      <c r="S6" s="50"/>
      <c r="T6" s="308"/>
      <c r="U6" s="50"/>
      <c r="V6" s="53"/>
      <c r="AI6" s="260"/>
      <c r="AJ6" s="260"/>
      <c r="AK6" s="260"/>
      <c r="AL6" s="212"/>
      <c r="AM6" s="211"/>
      <c r="AN6" s="213"/>
      <c r="AO6" s="261"/>
      <c r="AP6" s="212"/>
    </row>
    <row r="7" spans="2:44" ht="12.75" customHeight="1" x14ac:dyDescent="0.2">
      <c r="B7" s="49"/>
      <c r="C7" s="50"/>
      <c r="D7" s="50"/>
      <c r="E7" s="50"/>
      <c r="F7" s="129"/>
      <c r="G7" s="224"/>
      <c r="H7" s="225"/>
      <c r="I7" s="225"/>
      <c r="J7" s="226"/>
      <c r="K7" s="50"/>
      <c r="L7" s="225"/>
      <c r="M7" s="225"/>
      <c r="N7" s="225"/>
      <c r="O7" s="225"/>
      <c r="P7" s="225"/>
      <c r="Q7" s="50"/>
      <c r="R7" s="360"/>
      <c r="S7" s="50"/>
      <c r="T7" s="308"/>
      <c r="U7" s="50"/>
      <c r="V7" s="53"/>
      <c r="AI7" s="260"/>
      <c r="AJ7" s="260"/>
      <c r="AK7" s="260"/>
      <c r="AL7" s="212"/>
      <c r="AM7" s="211"/>
      <c r="AN7" s="213"/>
      <c r="AO7" s="261"/>
      <c r="AP7" s="212"/>
    </row>
    <row r="8" spans="2:44" ht="12.75" customHeight="1" x14ac:dyDescent="0.2">
      <c r="B8" s="49"/>
      <c r="C8" s="50" t="s">
        <v>165</v>
      </c>
      <c r="D8" s="176"/>
      <c r="E8" s="270" t="str">
        <f>dir!E10</f>
        <v>2019/20</v>
      </c>
      <c r="F8" s="129"/>
      <c r="G8" s="224"/>
      <c r="H8" s="129"/>
      <c r="I8" s="225"/>
      <c r="J8" s="351"/>
      <c r="K8" s="50"/>
      <c r="L8" s="226"/>
      <c r="M8" s="226"/>
      <c r="N8" s="226"/>
      <c r="O8" s="226"/>
      <c r="P8" s="226"/>
      <c r="Q8" s="50"/>
      <c r="R8" s="366"/>
      <c r="S8" s="352"/>
      <c r="T8" s="629"/>
      <c r="U8" s="50"/>
      <c r="V8" s="53"/>
      <c r="Y8" s="908"/>
      <c r="Z8" s="371"/>
      <c r="AA8" s="371"/>
      <c r="AB8" s="371"/>
      <c r="AC8" s="371"/>
      <c r="AD8" s="892"/>
      <c r="AE8" s="911"/>
      <c r="AF8" s="905"/>
      <c r="AG8" s="925"/>
      <c r="AH8" s="940"/>
    </row>
    <row r="9" spans="2:44" ht="12.75" customHeight="1" x14ac:dyDescent="0.2">
      <c r="B9" s="49"/>
      <c r="C9" s="50" t="s">
        <v>187</v>
      </c>
      <c r="D9" s="176"/>
      <c r="E9" s="270">
        <f>dir!E11</f>
        <v>43739</v>
      </c>
      <c r="F9" s="129"/>
      <c r="G9" s="224"/>
      <c r="H9" s="129"/>
      <c r="I9" s="225"/>
      <c r="J9" s="351"/>
      <c r="K9" s="50"/>
      <c r="L9" s="226"/>
      <c r="M9" s="226"/>
      <c r="N9" s="226"/>
      <c r="O9" s="226"/>
      <c r="P9" s="226"/>
      <c r="Q9" s="50"/>
      <c r="R9" s="366"/>
      <c r="S9" s="352"/>
      <c r="T9" s="629"/>
      <c r="U9" s="50"/>
      <c r="V9" s="53"/>
      <c r="Y9" s="908"/>
      <c r="Z9" s="371"/>
      <c r="AA9" s="371"/>
      <c r="AB9" s="371"/>
      <c r="AC9" s="371"/>
      <c r="AD9" s="892"/>
      <c r="AE9" s="911"/>
      <c r="AF9" s="905"/>
      <c r="AG9" s="925"/>
      <c r="AH9" s="940"/>
    </row>
    <row r="10" spans="2:44" ht="12.75" customHeight="1" x14ac:dyDescent="0.2">
      <c r="B10" s="49"/>
      <c r="C10" s="50"/>
      <c r="D10" s="176"/>
      <c r="E10" s="176"/>
      <c r="F10" s="129"/>
      <c r="G10" s="224"/>
      <c r="H10" s="129"/>
      <c r="I10" s="225"/>
      <c r="J10" s="351"/>
      <c r="K10" s="50"/>
      <c r="L10" s="226"/>
      <c r="M10" s="226"/>
      <c r="N10" s="226"/>
      <c r="O10" s="226"/>
      <c r="P10" s="226"/>
      <c r="Q10" s="50"/>
      <c r="R10" s="366"/>
      <c r="S10" s="352"/>
      <c r="T10" s="629"/>
      <c r="U10" s="50"/>
      <c r="V10" s="53"/>
      <c r="Y10" s="908"/>
      <c r="Z10" s="371"/>
      <c r="AA10" s="371"/>
      <c r="AB10" s="371"/>
      <c r="AC10" s="371"/>
      <c r="AD10" s="892"/>
      <c r="AE10" s="911"/>
      <c r="AF10" s="905"/>
      <c r="AG10" s="925"/>
      <c r="AH10" s="940"/>
    </row>
    <row r="11" spans="2:44" ht="12.75" customHeight="1" x14ac:dyDescent="0.2">
      <c r="B11" s="49"/>
      <c r="C11" s="757"/>
      <c r="D11" s="724"/>
      <c r="E11" s="723"/>
      <c r="F11" s="704"/>
      <c r="G11" s="725"/>
      <c r="H11" s="726"/>
      <c r="I11" s="726"/>
      <c r="J11" s="727"/>
      <c r="K11" s="728"/>
      <c r="L11" s="726"/>
      <c r="M11" s="726"/>
      <c r="N11" s="726"/>
      <c r="O11" s="726"/>
      <c r="P11" s="726"/>
      <c r="Q11" s="728"/>
      <c r="R11" s="728"/>
      <c r="S11" s="728"/>
      <c r="T11" s="626"/>
      <c r="U11" s="119"/>
      <c r="V11" s="53"/>
      <c r="Z11" s="709"/>
      <c r="AA11" s="709"/>
      <c r="AB11" s="709"/>
      <c r="AC11" s="709"/>
      <c r="AE11" s="911"/>
      <c r="AI11" s="260"/>
      <c r="AJ11" s="260"/>
      <c r="AK11" s="260"/>
      <c r="AL11" s="212"/>
      <c r="AM11" s="211"/>
      <c r="AN11" s="213"/>
      <c r="AO11" s="261"/>
      <c r="AP11" s="212"/>
    </row>
    <row r="12" spans="2:44" ht="12.75" customHeight="1" x14ac:dyDescent="0.2">
      <c r="B12" s="49"/>
      <c r="C12" s="758"/>
      <c r="D12" s="864" t="s">
        <v>298</v>
      </c>
      <c r="E12" s="865"/>
      <c r="F12" s="865"/>
      <c r="G12" s="865"/>
      <c r="H12" s="866"/>
      <c r="I12" s="866"/>
      <c r="J12" s="866"/>
      <c r="K12" s="968"/>
      <c r="L12" s="864" t="s">
        <v>492</v>
      </c>
      <c r="M12" s="858"/>
      <c r="N12" s="864"/>
      <c r="O12" s="864"/>
      <c r="P12" s="951"/>
      <c r="Q12" s="730"/>
      <c r="R12" s="864" t="s">
        <v>494</v>
      </c>
      <c r="S12" s="866"/>
      <c r="T12" s="935"/>
      <c r="U12" s="746"/>
      <c r="V12" s="278"/>
      <c r="W12" s="279"/>
      <c r="X12" s="279"/>
      <c r="Y12" s="882"/>
      <c r="Z12" s="913"/>
      <c r="AA12" s="882"/>
      <c r="AB12" s="882"/>
      <c r="AC12" s="882"/>
      <c r="AD12" s="912"/>
      <c r="AE12" s="912"/>
      <c r="AF12" s="913"/>
      <c r="AG12" s="933"/>
      <c r="AH12" s="941"/>
      <c r="AI12" s="923"/>
      <c r="AJ12" s="923"/>
      <c r="AK12" s="923"/>
      <c r="AL12" s="923"/>
      <c r="AM12" s="923"/>
      <c r="AO12" s="48"/>
      <c r="AP12" s="48"/>
      <c r="AQ12" s="367"/>
      <c r="AR12" s="367"/>
    </row>
    <row r="13" spans="2:44" ht="12.75" customHeight="1" x14ac:dyDescent="0.2">
      <c r="B13" s="49"/>
      <c r="C13" s="758"/>
      <c r="D13" s="693" t="s">
        <v>480</v>
      </c>
      <c r="E13" s="693" t="s">
        <v>171</v>
      </c>
      <c r="F13" s="732" t="s">
        <v>119</v>
      </c>
      <c r="G13" s="733" t="s">
        <v>289</v>
      </c>
      <c r="H13" s="732" t="s">
        <v>201</v>
      </c>
      <c r="I13" s="732" t="s">
        <v>229</v>
      </c>
      <c r="J13" s="734" t="s">
        <v>122</v>
      </c>
      <c r="K13" s="969"/>
      <c r="L13" s="735" t="s">
        <v>475</v>
      </c>
      <c r="M13" s="735" t="s">
        <v>468</v>
      </c>
      <c r="N13" s="735" t="s">
        <v>482</v>
      </c>
      <c r="O13" s="735" t="s">
        <v>475</v>
      </c>
      <c r="P13" s="952" t="s">
        <v>487</v>
      </c>
      <c r="Q13" s="702"/>
      <c r="R13" s="863" t="s">
        <v>186</v>
      </c>
      <c r="S13" s="737" t="s">
        <v>493</v>
      </c>
      <c r="T13" s="738" t="s">
        <v>186</v>
      </c>
      <c r="U13" s="747"/>
      <c r="V13" s="281"/>
      <c r="W13" s="282"/>
      <c r="X13" s="282"/>
      <c r="Y13" s="914" t="s">
        <v>322</v>
      </c>
      <c r="Z13" s="960" t="s">
        <v>479</v>
      </c>
      <c r="AA13" s="903" t="s">
        <v>488</v>
      </c>
      <c r="AB13" s="903" t="s">
        <v>488</v>
      </c>
      <c r="AC13" s="903" t="s">
        <v>491</v>
      </c>
      <c r="AD13" s="915" t="s">
        <v>473</v>
      </c>
      <c r="AE13" s="915" t="s">
        <v>474</v>
      </c>
      <c r="AF13" s="902" t="s">
        <v>470</v>
      </c>
      <c r="AG13" s="934" t="s">
        <v>306</v>
      </c>
      <c r="AH13" s="941" t="s">
        <v>415</v>
      </c>
      <c r="AI13" s="902" t="s">
        <v>292</v>
      </c>
      <c r="AJ13" s="902" t="s">
        <v>293</v>
      </c>
      <c r="AK13" s="902" t="s">
        <v>121</v>
      </c>
      <c r="AL13" s="902" t="s">
        <v>198</v>
      </c>
      <c r="AM13" s="915" t="s">
        <v>173</v>
      </c>
      <c r="AO13" s="48"/>
      <c r="AP13" s="48"/>
      <c r="AQ13" s="367"/>
      <c r="AR13" s="369"/>
    </row>
    <row r="14" spans="2:44" ht="12.75" customHeight="1" x14ac:dyDescent="0.2">
      <c r="B14" s="49"/>
      <c r="C14" s="758"/>
      <c r="D14" s="865"/>
      <c r="E14" s="693"/>
      <c r="F14" s="732" t="s">
        <v>120</v>
      </c>
      <c r="G14" s="733" t="s">
        <v>290</v>
      </c>
      <c r="H14" s="732"/>
      <c r="I14" s="732"/>
      <c r="J14" s="734"/>
      <c r="K14" s="969"/>
      <c r="L14" s="735" t="s">
        <v>476</v>
      </c>
      <c r="M14" s="735" t="s">
        <v>478</v>
      </c>
      <c r="N14" s="735" t="s">
        <v>483</v>
      </c>
      <c r="O14" s="735" t="s">
        <v>477</v>
      </c>
      <c r="P14" s="952" t="s">
        <v>284</v>
      </c>
      <c r="Q14" s="702"/>
      <c r="R14" s="706" t="s">
        <v>485</v>
      </c>
      <c r="S14" s="737" t="s">
        <v>469</v>
      </c>
      <c r="T14" s="738" t="s">
        <v>284</v>
      </c>
      <c r="U14" s="710"/>
      <c r="V14" s="58"/>
      <c r="W14" s="81"/>
      <c r="X14" s="81"/>
      <c r="Y14" s="914" t="s">
        <v>193</v>
      </c>
      <c r="Z14" s="961">
        <f>tab!$D$62</f>
        <v>0.6</v>
      </c>
      <c r="AA14" s="903" t="s">
        <v>489</v>
      </c>
      <c r="AB14" s="903" t="s">
        <v>490</v>
      </c>
      <c r="AC14" s="903" t="s">
        <v>486</v>
      </c>
      <c r="AD14" s="915" t="s">
        <v>472</v>
      </c>
      <c r="AE14" s="915" t="s">
        <v>472</v>
      </c>
      <c r="AF14" s="902" t="s">
        <v>471</v>
      </c>
      <c r="AG14" s="934"/>
      <c r="AH14" s="940" t="s">
        <v>228</v>
      </c>
      <c r="AI14" s="915" t="s">
        <v>291</v>
      </c>
      <c r="AJ14" s="915" t="s">
        <v>291</v>
      </c>
      <c r="AK14" s="902"/>
      <c r="AL14" s="902" t="s">
        <v>173</v>
      </c>
      <c r="AM14" s="915"/>
      <c r="AO14" s="48"/>
      <c r="AP14" s="48"/>
      <c r="AR14" s="288"/>
    </row>
    <row r="15" spans="2:44" ht="12.75" customHeight="1" x14ac:dyDescent="0.2">
      <c r="B15" s="49"/>
      <c r="C15" s="758"/>
      <c r="D15" s="865"/>
      <c r="E15" s="865"/>
      <c r="F15" s="703"/>
      <c r="G15" s="748"/>
      <c r="H15" s="732"/>
      <c r="I15" s="732"/>
      <c r="J15" s="734"/>
      <c r="K15" s="736"/>
      <c r="L15" s="735"/>
      <c r="M15" s="735"/>
      <c r="N15" s="735"/>
      <c r="O15" s="735"/>
      <c r="P15" s="735"/>
      <c r="Q15" s="736"/>
      <c r="R15" s="749"/>
      <c r="S15" s="749"/>
      <c r="T15" s="363"/>
      <c r="U15" s="344"/>
      <c r="V15" s="53"/>
      <c r="Y15" s="914"/>
      <c r="Z15" s="982"/>
      <c r="AA15" s="982"/>
      <c r="AB15" s="982"/>
      <c r="AC15" s="982"/>
      <c r="AD15" s="915"/>
      <c r="AE15" s="915"/>
      <c r="AF15" s="901"/>
      <c r="AG15" s="934"/>
      <c r="AH15" s="940"/>
      <c r="AO15" s="48"/>
      <c r="AP15" s="48"/>
      <c r="AR15" s="288"/>
    </row>
    <row r="16" spans="2:44" ht="12.75" customHeight="1" x14ac:dyDescent="0.2">
      <c r="B16" s="49"/>
      <c r="C16" s="69"/>
      <c r="D16" s="75"/>
      <c r="E16" s="75" t="s">
        <v>457</v>
      </c>
      <c r="F16" s="88">
        <v>40</v>
      </c>
      <c r="G16" s="290"/>
      <c r="H16" s="88">
        <v>8</v>
      </c>
      <c r="I16" s="99">
        <v>4</v>
      </c>
      <c r="J16" s="291">
        <v>0</v>
      </c>
      <c r="K16" s="304"/>
      <c r="L16" s="868"/>
      <c r="M16" s="868"/>
      <c r="N16" s="867">
        <f t="shared" ref="N16:N35" si="0">IF(J16="","",IF((J16*40)&gt;40,40,((J16*40))))</f>
        <v>0</v>
      </c>
      <c r="O16" s="867"/>
      <c r="P16" s="953">
        <f t="shared" ref="P16:P35" si="1">IF(J16="","",(SUM(L16:O16)))</f>
        <v>0</v>
      </c>
      <c r="Q16" s="70"/>
      <c r="R16" s="739">
        <f>IF(J16="","",(((1659*J16)-P16)*AB16))</f>
        <v>0</v>
      </c>
      <c r="S16" s="739">
        <f t="shared" ref="S16:S35" si="2">IF(J16="","",(P16*AC16)+(AA16*AD16)+((AE16*AA16*(1-AF16))))</f>
        <v>0</v>
      </c>
      <c r="T16" s="740">
        <f t="shared" ref="T16:T35" si="3">IF(J16="","",(R16+S16))</f>
        <v>0</v>
      </c>
      <c r="U16" s="275"/>
      <c r="V16" s="293"/>
      <c r="W16" s="288"/>
      <c r="X16" s="288"/>
      <c r="Y16" s="908">
        <f t="shared" ref="Y16:Y35" si="4">IF(H16="",0,5/12*VLOOKUP(H16,salaris2019,I16+1,FALSE)+7/12*VLOOKUP(H16,salaris2020,I16+1,FALSE))</f>
        <v>2475</v>
      </c>
      <c r="Z16" s="986">
        <f>tab!$D$62</f>
        <v>0.6</v>
      </c>
      <c r="AA16" s="944">
        <f t="shared" ref="AA16:AA36" si="5">(Y16*12/1659)</f>
        <v>17.902350813743219</v>
      </c>
      <c r="AB16" s="944">
        <f t="shared" ref="AB16:AB35" si="6">(Y16*12*(1+Z16))/1659</f>
        <v>28.643761301989151</v>
      </c>
      <c r="AC16" s="944">
        <f t="shared" ref="AC16:AC35" si="7">AB16-AA16</f>
        <v>10.741410488245933</v>
      </c>
      <c r="AD16" s="943">
        <f t="shared" ref="AD16:AD35" si="8">(N16+O16)</f>
        <v>0</v>
      </c>
      <c r="AE16" s="943">
        <f t="shared" ref="AE16:AE35" si="9">(L16+M16)</f>
        <v>0</v>
      </c>
      <c r="AF16" s="916">
        <f>IF(H16&gt;8,tab!$D$63,tab!$D$65)</f>
        <v>0.4</v>
      </c>
      <c r="AG16" s="925">
        <f t="shared" ref="AG16:AG35" si="10">IF(F16&lt;25,0,IF(F16=25,25,IF(F16&lt;40,0,IF(F16=40,40,IF(F16&gt;=40,0)))))</f>
        <v>40</v>
      </c>
      <c r="AH16" s="940">
        <f t="shared" ref="AH16:AH35" si="11">IF(AG16=25,(Y16*1.08*(J16)/2),IF(AG16=40,(Y16*1.08*(J16)),IF(AG16=0,0)))</f>
        <v>0</v>
      </c>
      <c r="AM16" s="315"/>
    </row>
    <row r="17" spans="2:39" x14ac:dyDescent="0.2">
      <c r="B17" s="49"/>
      <c r="C17" s="69"/>
      <c r="D17" s="75"/>
      <c r="E17" s="75"/>
      <c r="F17" s="88"/>
      <c r="G17" s="290"/>
      <c r="H17" s="88"/>
      <c r="I17" s="99"/>
      <c r="J17" s="291"/>
      <c r="K17" s="304"/>
      <c r="L17" s="868"/>
      <c r="M17" s="868"/>
      <c r="N17" s="867" t="str">
        <f t="shared" si="0"/>
        <v/>
      </c>
      <c r="O17" s="867"/>
      <c r="P17" s="953" t="str">
        <f t="shared" si="1"/>
        <v/>
      </c>
      <c r="Q17" s="70"/>
      <c r="R17" s="739" t="str">
        <f t="shared" ref="R17:R35" si="12">IF(J17="","",(((1659*J17)-P17)*AB17))</f>
        <v/>
      </c>
      <c r="S17" s="739" t="str">
        <f t="shared" si="2"/>
        <v/>
      </c>
      <c r="T17" s="740" t="str">
        <f t="shared" si="3"/>
        <v/>
      </c>
      <c r="U17" s="275"/>
      <c r="V17" s="293"/>
      <c r="W17" s="288"/>
      <c r="X17" s="288"/>
      <c r="Y17" s="908">
        <f t="shared" si="4"/>
        <v>0</v>
      </c>
      <c r="Z17" s="986">
        <f>tab!$D$62</f>
        <v>0.6</v>
      </c>
      <c r="AA17" s="944">
        <f t="shared" si="5"/>
        <v>0</v>
      </c>
      <c r="AB17" s="944">
        <f t="shared" si="6"/>
        <v>0</v>
      </c>
      <c r="AC17" s="944">
        <f t="shared" si="7"/>
        <v>0</v>
      </c>
      <c r="AD17" s="943" t="e">
        <f t="shared" si="8"/>
        <v>#VALUE!</v>
      </c>
      <c r="AE17" s="943">
        <f t="shared" si="9"/>
        <v>0</v>
      </c>
      <c r="AF17" s="916">
        <f>IF(H17&gt;8,tab!$D$63,tab!$D$65)</f>
        <v>0.4</v>
      </c>
      <c r="AG17" s="925">
        <f t="shared" si="10"/>
        <v>0</v>
      </c>
      <c r="AH17" s="940">
        <f t="shared" si="11"/>
        <v>0</v>
      </c>
      <c r="AM17" s="315"/>
    </row>
    <row r="18" spans="2:39" x14ac:dyDescent="0.2">
      <c r="B18" s="49"/>
      <c r="C18" s="69"/>
      <c r="D18" s="75"/>
      <c r="E18" s="75"/>
      <c r="F18" s="88"/>
      <c r="G18" s="290"/>
      <c r="H18" s="88"/>
      <c r="I18" s="99"/>
      <c r="J18" s="291"/>
      <c r="K18" s="304"/>
      <c r="L18" s="868"/>
      <c r="M18" s="868"/>
      <c r="N18" s="867" t="str">
        <f t="shared" si="0"/>
        <v/>
      </c>
      <c r="O18" s="867"/>
      <c r="P18" s="953" t="str">
        <f t="shared" si="1"/>
        <v/>
      </c>
      <c r="Q18" s="70"/>
      <c r="R18" s="739" t="str">
        <f t="shared" si="12"/>
        <v/>
      </c>
      <c r="S18" s="739" t="str">
        <f t="shared" si="2"/>
        <v/>
      </c>
      <c r="T18" s="740" t="str">
        <f t="shared" si="3"/>
        <v/>
      </c>
      <c r="U18" s="275"/>
      <c r="V18" s="293"/>
      <c r="W18" s="288"/>
      <c r="X18" s="288"/>
      <c r="Y18" s="908">
        <f t="shared" si="4"/>
        <v>0</v>
      </c>
      <c r="Z18" s="986">
        <f>tab!$D$62</f>
        <v>0.6</v>
      </c>
      <c r="AA18" s="944">
        <f t="shared" si="5"/>
        <v>0</v>
      </c>
      <c r="AB18" s="944">
        <f t="shared" si="6"/>
        <v>0</v>
      </c>
      <c r="AC18" s="944">
        <f t="shared" si="7"/>
        <v>0</v>
      </c>
      <c r="AD18" s="943" t="e">
        <f t="shared" si="8"/>
        <v>#VALUE!</v>
      </c>
      <c r="AE18" s="943">
        <f t="shared" si="9"/>
        <v>0</v>
      </c>
      <c r="AF18" s="916">
        <f>IF(H18&gt;8,tab!$D$63,tab!$D$65)</f>
        <v>0.4</v>
      </c>
      <c r="AG18" s="925">
        <f t="shared" si="10"/>
        <v>0</v>
      </c>
      <c r="AH18" s="940">
        <f t="shared" si="11"/>
        <v>0</v>
      </c>
      <c r="AM18" s="315"/>
    </row>
    <row r="19" spans="2:39" x14ac:dyDescent="0.2">
      <c r="B19" s="49"/>
      <c r="C19" s="69"/>
      <c r="D19" s="75"/>
      <c r="E19" s="75"/>
      <c r="F19" s="88"/>
      <c r="G19" s="290"/>
      <c r="H19" s="88"/>
      <c r="I19" s="99"/>
      <c r="J19" s="291"/>
      <c r="K19" s="304"/>
      <c r="L19" s="868"/>
      <c r="M19" s="868"/>
      <c r="N19" s="867" t="str">
        <f t="shared" si="0"/>
        <v/>
      </c>
      <c r="O19" s="867"/>
      <c r="P19" s="953" t="str">
        <f t="shared" si="1"/>
        <v/>
      </c>
      <c r="Q19" s="70"/>
      <c r="R19" s="739" t="str">
        <f t="shared" si="12"/>
        <v/>
      </c>
      <c r="S19" s="739" t="str">
        <f t="shared" si="2"/>
        <v/>
      </c>
      <c r="T19" s="740" t="str">
        <f t="shared" si="3"/>
        <v/>
      </c>
      <c r="U19" s="275"/>
      <c r="V19" s="293"/>
      <c r="W19" s="288"/>
      <c r="X19" s="288"/>
      <c r="Y19" s="908">
        <f t="shared" si="4"/>
        <v>0</v>
      </c>
      <c r="Z19" s="986">
        <f>tab!$D$62</f>
        <v>0.6</v>
      </c>
      <c r="AA19" s="944">
        <f t="shared" si="5"/>
        <v>0</v>
      </c>
      <c r="AB19" s="944">
        <f t="shared" si="6"/>
        <v>0</v>
      </c>
      <c r="AC19" s="944">
        <f t="shared" si="7"/>
        <v>0</v>
      </c>
      <c r="AD19" s="943" t="e">
        <f t="shared" si="8"/>
        <v>#VALUE!</v>
      </c>
      <c r="AE19" s="943">
        <f t="shared" si="9"/>
        <v>0</v>
      </c>
      <c r="AF19" s="916">
        <f>IF(H19&gt;8,tab!$D$63,tab!$D$65)</f>
        <v>0.4</v>
      </c>
      <c r="AG19" s="925">
        <f t="shared" si="10"/>
        <v>0</v>
      </c>
      <c r="AH19" s="940">
        <f t="shared" si="11"/>
        <v>0</v>
      </c>
      <c r="AM19" s="315"/>
    </row>
    <row r="20" spans="2:39" x14ac:dyDescent="0.2">
      <c r="B20" s="49"/>
      <c r="C20" s="69"/>
      <c r="D20" s="75"/>
      <c r="E20" s="75"/>
      <c r="F20" s="88"/>
      <c r="G20" s="290"/>
      <c r="H20" s="88"/>
      <c r="I20" s="99"/>
      <c r="J20" s="291"/>
      <c r="K20" s="304"/>
      <c r="L20" s="868"/>
      <c r="M20" s="868"/>
      <c r="N20" s="867" t="str">
        <f t="shared" si="0"/>
        <v/>
      </c>
      <c r="O20" s="867"/>
      <c r="P20" s="953" t="str">
        <f t="shared" si="1"/>
        <v/>
      </c>
      <c r="Q20" s="70"/>
      <c r="R20" s="739" t="str">
        <f t="shared" si="12"/>
        <v/>
      </c>
      <c r="S20" s="739" t="str">
        <f t="shared" si="2"/>
        <v/>
      </c>
      <c r="T20" s="740" t="str">
        <f t="shared" si="3"/>
        <v/>
      </c>
      <c r="U20" s="275"/>
      <c r="V20" s="293"/>
      <c r="W20" s="288"/>
      <c r="X20" s="288"/>
      <c r="Y20" s="908">
        <f t="shared" si="4"/>
        <v>0</v>
      </c>
      <c r="Z20" s="986">
        <f>tab!$D$62</f>
        <v>0.6</v>
      </c>
      <c r="AA20" s="944">
        <f t="shared" si="5"/>
        <v>0</v>
      </c>
      <c r="AB20" s="944">
        <f t="shared" si="6"/>
        <v>0</v>
      </c>
      <c r="AC20" s="944">
        <f t="shared" si="7"/>
        <v>0</v>
      </c>
      <c r="AD20" s="943" t="e">
        <f t="shared" si="8"/>
        <v>#VALUE!</v>
      </c>
      <c r="AE20" s="943">
        <f t="shared" si="9"/>
        <v>0</v>
      </c>
      <c r="AF20" s="916">
        <f>IF(H20&gt;8,tab!$D$63,tab!$D$65)</f>
        <v>0.4</v>
      </c>
      <c r="AG20" s="925">
        <f t="shared" si="10"/>
        <v>0</v>
      </c>
      <c r="AH20" s="940">
        <f t="shared" si="11"/>
        <v>0</v>
      </c>
      <c r="AM20" s="315"/>
    </row>
    <row r="21" spans="2:39" x14ac:dyDescent="0.2">
      <c r="B21" s="49"/>
      <c r="C21" s="69"/>
      <c r="D21" s="75"/>
      <c r="E21" s="75"/>
      <c r="F21" s="88"/>
      <c r="G21" s="290"/>
      <c r="H21" s="88"/>
      <c r="I21" s="99"/>
      <c r="J21" s="291"/>
      <c r="K21" s="304"/>
      <c r="L21" s="868"/>
      <c r="M21" s="868"/>
      <c r="N21" s="867" t="str">
        <f t="shared" si="0"/>
        <v/>
      </c>
      <c r="O21" s="867"/>
      <c r="P21" s="953" t="str">
        <f t="shared" si="1"/>
        <v/>
      </c>
      <c r="Q21" s="70"/>
      <c r="R21" s="739" t="str">
        <f t="shared" si="12"/>
        <v/>
      </c>
      <c r="S21" s="739" t="str">
        <f t="shared" si="2"/>
        <v/>
      </c>
      <c r="T21" s="740" t="str">
        <f t="shared" si="3"/>
        <v/>
      </c>
      <c r="U21" s="275"/>
      <c r="V21" s="293"/>
      <c r="W21" s="288"/>
      <c r="X21" s="288"/>
      <c r="Y21" s="908">
        <f t="shared" si="4"/>
        <v>0</v>
      </c>
      <c r="Z21" s="986">
        <f>tab!$D$62</f>
        <v>0.6</v>
      </c>
      <c r="AA21" s="944">
        <f t="shared" si="5"/>
        <v>0</v>
      </c>
      <c r="AB21" s="944">
        <f t="shared" si="6"/>
        <v>0</v>
      </c>
      <c r="AC21" s="944">
        <f t="shared" si="7"/>
        <v>0</v>
      </c>
      <c r="AD21" s="943" t="e">
        <f t="shared" si="8"/>
        <v>#VALUE!</v>
      </c>
      <c r="AE21" s="943">
        <f t="shared" si="9"/>
        <v>0</v>
      </c>
      <c r="AF21" s="916">
        <f>IF(H21&gt;8,tab!$D$63,tab!$D$65)</f>
        <v>0.4</v>
      </c>
      <c r="AG21" s="925">
        <f t="shared" si="10"/>
        <v>0</v>
      </c>
      <c r="AH21" s="940">
        <f t="shared" si="11"/>
        <v>0</v>
      </c>
      <c r="AM21" s="315"/>
    </row>
    <row r="22" spans="2:39" x14ac:dyDescent="0.2">
      <c r="B22" s="49"/>
      <c r="C22" s="69"/>
      <c r="D22" s="75"/>
      <c r="E22" s="75"/>
      <c r="F22" s="88"/>
      <c r="G22" s="290"/>
      <c r="H22" s="88"/>
      <c r="I22" s="99"/>
      <c r="J22" s="291"/>
      <c r="K22" s="304"/>
      <c r="L22" s="868"/>
      <c r="M22" s="868"/>
      <c r="N22" s="867" t="str">
        <f t="shared" si="0"/>
        <v/>
      </c>
      <c r="O22" s="867"/>
      <c r="P22" s="953" t="str">
        <f t="shared" si="1"/>
        <v/>
      </c>
      <c r="Q22" s="70"/>
      <c r="R22" s="739" t="str">
        <f t="shared" si="12"/>
        <v/>
      </c>
      <c r="S22" s="739" t="str">
        <f t="shared" si="2"/>
        <v/>
      </c>
      <c r="T22" s="740" t="str">
        <f t="shared" si="3"/>
        <v/>
      </c>
      <c r="U22" s="275"/>
      <c r="V22" s="293"/>
      <c r="W22" s="288"/>
      <c r="X22" s="288"/>
      <c r="Y22" s="908">
        <f t="shared" si="4"/>
        <v>0</v>
      </c>
      <c r="Z22" s="986">
        <f>tab!$D$62</f>
        <v>0.6</v>
      </c>
      <c r="AA22" s="944">
        <f t="shared" si="5"/>
        <v>0</v>
      </c>
      <c r="AB22" s="944">
        <f t="shared" si="6"/>
        <v>0</v>
      </c>
      <c r="AC22" s="944">
        <f t="shared" si="7"/>
        <v>0</v>
      </c>
      <c r="AD22" s="943" t="e">
        <f t="shared" si="8"/>
        <v>#VALUE!</v>
      </c>
      <c r="AE22" s="943">
        <f t="shared" si="9"/>
        <v>0</v>
      </c>
      <c r="AF22" s="916">
        <f>IF(H22&gt;8,tab!$D$63,tab!$D$65)</f>
        <v>0.4</v>
      </c>
      <c r="AG22" s="925">
        <f t="shared" si="10"/>
        <v>0</v>
      </c>
      <c r="AH22" s="940">
        <f t="shared" si="11"/>
        <v>0</v>
      </c>
      <c r="AM22" s="315"/>
    </row>
    <row r="23" spans="2:39" x14ac:dyDescent="0.2">
      <c r="B23" s="49"/>
      <c r="C23" s="69"/>
      <c r="D23" s="75"/>
      <c r="E23" s="75"/>
      <c r="F23" s="88"/>
      <c r="G23" s="290"/>
      <c r="H23" s="88"/>
      <c r="I23" s="99"/>
      <c r="J23" s="291"/>
      <c r="K23" s="304"/>
      <c r="L23" s="868"/>
      <c r="M23" s="868"/>
      <c r="N23" s="867" t="str">
        <f t="shared" si="0"/>
        <v/>
      </c>
      <c r="O23" s="867"/>
      <c r="P23" s="953" t="str">
        <f t="shared" si="1"/>
        <v/>
      </c>
      <c r="Q23" s="70"/>
      <c r="R23" s="739" t="str">
        <f t="shared" si="12"/>
        <v/>
      </c>
      <c r="S23" s="739" t="str">
        <f t="shared" si="2"/>
        <v/>
      </c>
      <c r="T23" s="740" t="str">
        <f t="shared" si="3"/>
        <v/>
      </c>
      <c r="U23" s="275"/>
      <c r="V23" s="293"/>
      <c r="W23" s="288"/>
      <c r="X23" s="288"/>
      <c r="Y23" s="908">
        <f t="shared" si="4"/>
        <v>0</v>
      </c>
      <c r="Z23" s="986">
        <f>tab!$D$62</f>
        <v>0.6</v>
      </c>
      <c r="AA23" s="944">
        <f t="shared" si="5"/>
        <v>0</v>
      </c>
      <c r="AB23" s="944">
        <f t="shared" si="6"/>
        <v>0</v>
      </c>
      <c r="AC23" s="944">
        <f t="shared" si="7"/>
        <v>0</v>
      </c>
      <c r="AD23" s="943" t="e">
        <f t="shared" si="8"/>
        <v>#VALUE!</v>
      </c>
      <c r="AE23" s="943">
        <f t="shared" si="9"/>
        <v>0</v>
      </c>
      <c r="AF23" s="916">
        <f>IF(H23&gt;8,tab!$D$63,tab!$D$65)</f>
        <v>0.4</v>
      </c>
      <c r="AG23" s="925">
        <f t="shared" si="10"/>
        <v>0</v>
      </c>
      <c r="AH23" s="940">
        <f t="shared" si="11"/>
        <v>0</v>
      </c>
      <c r="AM23" s="315"/>
    </row>
    <row r="24" spans="2:39" x14ac:dyDescent="0.2">
      <c r="B24" s="49"/>
      <c r="C24" s="69"/>
      <c r="D24" s="75"/>
      <c r="E24" s="75"/>
      <c r="F24" s="88"/>
      <c r="G24" s="290"/>
      <c r="H24" s="88"/>
      <c r="I24" s="99"/>
      <c r="J24" s="291"/>
      <c r="K24" s="304"/>
      <c r="L24" s="868"/>
      <c r="M24" s="868"/>
      <c r="N24" s="867" t="str">
        <f t="shared" si="0"/>
        <v/>
      </c>
      <c r="O24" s="867"/>
      <c r="P24" s="953" t="str">
        <f t="shared" si="1"/>
        <v/>
      </c>
      <c r="Q24" s="70"/>
      <c r="R24" s="739" t="str">
        <f t="shared" si="12"/>
        <v/>
      </c>
      <c r="S24" s="739" t="str">
        <f t="shared" si="2"/>
        <v/>
      </c>
      <c r="T24" s="740" t="str">
        <f t="shared" si="3"/>
        <v/>
      </c>
      <c r="U24" s="275"/>
      <c r="V24" s="293"/>
      <c r="W24" s="288"/>
      <c r="X24" s="288"/>
      <c r="Y24" s="908">
        <f t="shared" si="4"/>
        <v>0</v>
      </c>
      <c r="Z24" s="986">
        <f>tab!$D$62</f>
        <v>0.6</v>
      </c>
      <c r="AA24" s="944">
        <f t="shared" si="5"/>
        <v>0</v>
      </c>
      <c r="AB24" s="944">
        <f t="shared" si="6"/>
        <v>0</v>
      </c>
      <c r="AC24" s="944">
        <f t="shared" si="7"/>
        <v>0</v>
      </c>
      <c r="AD24" s="943" t="e">
        <f t="shared" si="8"/>
        <v>#VALUE!</v>
      </c>
      <c r="AE24" s="943">
        <f t="shared" si="9"/>
        <v>0</v>
      </c>
      <c r="AF24" s="916">
        <f>IF(H24&gt;8,tab!$D$63,tab!$D$65)</f>
        <v>0.4</v>
      </c>
      <c r="AG24" s="925">
        <f t="shared" si="10"/>
        <v>0</v>
      </c>
      <c r="AH24" s="940">
        <f t="shared" si="11"/>
        <v>0</v>
      </c>
      <c r="AM24" s="315"/>
    </row>
    <row r="25" spans="2:39" x14ac:dyDescent="0.2">
      <c r="B25" s="49"/>
      <c r="C25" s="69"/>
      <c r="D25" s="75"/>
      <c r="E25" s="75"/>
      <c r="F25" s="88"/>
      <c r="G25" s="290"/>
      <c r="H25" s="88"/>
      <c r="I25" s="99"/>
      <c r="J25" s="291"/>
      <c r="K25" s="304"/>
      <c r="L25" s="868"/>
      <c r="M25" s="868"/>
      <c r="N25" s="867" t="str">
        <f t="shared" si="0"/>
        <v/>
      </c>
      <c r="O25" s="867"/>
      <c r="P25" s="953" t="str">
        <f t="shared" si="1"/>
        <v/>
      </c>
      <c r="Q25" s="70"/>
      <c r="R25" s="739" t="str">
        <f t="shared" si="12"/>
        <v/>
      </c>
      <c r="S25" s="739" t="str">
        <f t="shared" si="2"/>
        <v/>
      </c>
      <c r="T25" s="740" t="str">
        <f t="shared" si="3"/>
        <v/>
      </c>
      <c r="U25" s="275"/>
      <c r="V25" s="293"/>
      <c r="W25" s="288"/>
      <c r="X25" s="288"/>
      <c r="Y25" s="908">
        <f t="shared" si="4"/>
        <v>0</v>
      </c>
      <c r="Z25" s="986">
        <f>tab!$D$62</f>
        <v>0.6</v>
      </c>
      <c r="AA25" s="944">
        <f t="shared" si="5"/>
        <v>0</v>
      </c>
      <c r="AB25" s="944">
        <f t="shared" si="6"/>
        <v>0</v>
      </c>
      <c r="AC25" s="944">
        <f t="shared" si="7"/>
        <v>0</v>
      </c>
      <c r="AD25" s="943" t="e">
        <f t="shared" si="8"/>
        <v>#VALUE!</v>
      </c>
      <c r="AE25" s="943">
        <f t="shared" si="9"/>
        <v>0</v>
      </c>
      <c r="AF25" s="916">
        <f>IF(H25&gt;8,tab!$D$63,tab!$D$65)</f>
        <v>0.4</v>
      </c>
      <c r="AG25" s="925">
        <f t="shared" si="10"/>
        <v>0</v>
      </c>
      <c r="AH25" s="940">
        <f t="shared" si="11"/>
        <v>0</v>
      </c>
      <c r="AM25" s="315"/>
    </row>
    <row r="26" spans="2:39" x14ac:dyDescent="0.2">
      <c r="B26" s="49"/>
      <c r="C26" s="69"/>
      <c r="D26" s="75"/>
      <c r="E26" s="75"/>
      <c r="F26" s="88"/>
      <c r="G26" s="290"/>
      <c r="H26" s="88"/>
      <c r="I26" s="99"/>
      <c r="J26" s="291"/>
      <c r="K26" s="304"/>
      <c r="L26" s="868"/>
      <c r="M26" s="868"/>
      <c r="N26" s="867" t="str">
        <f t="shared" si="0"/>
        <v/>
      </c>
      <c r="O26" s="867"/>
      <c r="P26" s="953" t="str">
        <f t="shared" si="1"/>
        <v/>
      </c>
      <c r="Q26" s="70"/>
      <c r="R26" s="739" t="str">
        <f t="shared" si="12"/>
        <v/>
      </c>
      <c r="S26" s="739" t="str">
        <f t="shared" si="2"/>
        <v/>
      </c>
      <c r="T26" s="740" t="str">
        <f t="shared" si="3"/>
        <v/>
      </c>
      <c r="U26" s="275"/>
      <c r="V26" s="293"/>
      <c r="W26" s="288"/>
      <c r="X26" s="288"/>
      <c r="Y26" s="908">
        <f t="shared" si="4"/>
        <v>0</v>
      </c>
      <c r="Z26" s="986">
        <f>tab!$D$62</f>
        <v>0.6</v>
      </c>
      <c r="AA26" s="944">
        <f t="shared" si="5"/>
        <v>0</v>
      </c>
      <c r="AB26" s="944">
        <f t="shared" si="6"/>
        <v>0</v>
      </c>
      <c r="AC26" s="944">
        <f t="shared" si="7"/>
        <v>0</v>
      </c>
      <c r="AD26" s="943" t="e">
        <f t="shared" si="8"/>
        <v>#VALUE!</v>
      </c>
      <c r="AE26" s="943">
        <f t="shared" si="9"/>
        <v>0</v>
      </c>
      <c r="AF26" s="916">
        <f>IF(H26&gt;8,tab!$D$63,tab!$D$65)</f>
        <v>0.4</v>
      </c>
      <c r="AG26" s="925">
        <f t="shared" si="10"/>
        <v>0</v>
      </c>
      <c r="AH26" s="940">
        <f t="shared" si="11"/>
        <v>0</v>
      </c>
      <c r="AM26" s="315"/>
    </row>
    <row r="27" spans="2:39" x14ac:dyDescent="0.2">
      <c r="B27" s="49"/>
      <c r="C27" s="69"/>
      <c r="D27" s="75"/>
      <c r="E27" s="75"/>
      <c r="F27" s="88"/>
      <c r="G27" s="290"/>
      <c r="H27" s="88"/>
      <c r="I27" s="99"/>
      <c r="J27" s="291"/>
      <c r="K27" s="304"/>
      <c r="L27" s="868"/>
      <c r="M27" s="868"/>
      <c r="N27" s="867" t="str">
        <f t="shared" si="0"/>
        <v/>
      </c>
      <c r="O27" s="867"/>
      <c r="P27" s="953" t="str">
        <f t="shared" si="1"/>
        <v/>
      </c>
      <c r="Q27" s="70"/>
      <c r="R27" s="739" t="str">
        <f t="shared" si="12"/>
        <v/>
      </c>
      <c r="S27" s="739" t="str">
        <f t="shared" si="2"/>
        <v/>
      </c>
      <c r="T27" s="740" t="str">
        <f t="shared" si="3"/>
        <v/>
      </c>
      <c r="U27" s="275"/>
      <c r="V27" s="293"/>
      <c r="W27" s="288"/>
      <c r="X27" s="288"/>
      <c r="Y27" s="908">
        <f t="shared" si="4"/>
        <v>0</v>
      </c>
      <c r="Z27" s="986">
        <f>tab!$D$62</f>
        <v>0.6</v>
      </c>
      <c r="AA27" s="944">
        <f t="shared" si="5"/>
        <v>0</v>
      </c>
      <c r="AB27" s="944">
        <f t="shared" si="6"/>
        <v>0</v>
      </c>
      <c r="AC27" s="944">
        <f t="shared" si="7"/>
        <v>0</v>
      </c>
      <c r="AD27" s="943" t="e">
        <f t="shared" si="8"/>
        <v>#VALUE!</v>
      </c>
      <c r="AE27" s="943">
        <f t="shared" si="9"/>
        <v>0</v>
      </c>
      <c r="AF27" s="916">
        <f>IF(H27&gt;8,tab!$D$63,tab!$D$65)</f>
        <v>0.4</v>
      </c>
      <c r="AG27" s="925">
        <f t="shared" si="10"/>
        <v>0</v>
      </c>
      <c r="AH27" s="940">
        <f t="shared" si="11"/>
        <v>0</v>
      </c>
      <c r="AM27" s="315"/>
    </row>
    <row r="28" spans="2:39" x14ac:dyDescent="0.2">
      <c r="B28" s="49"/>
      <c r="C28" s="69"/>
      <c r="D28" s="75"/>
      <c r="E28" s="75"/>
      <c r="F28" s="88"/>
      <c r="G28" s="290"/>
      <c r="H28" s="88"/>
      <c r="I28" s="99"/>
      <c r="J28" s="291"/>
      <c r="K28" s="304"/>
      <c r="L28" s="868"/>
      <c r="M28" s="868"/>
      <c r="N28" s="867" t="str">
        <f t="shared" si="0"/>
        <v/>
      </c>
      <c r="O28" s="867"/>
      <c r="P28" s="953" t="str">
        <f t="shared" si="1"/>
        <v/>
      </c>
      <c r="Q28" s="70"/>
      <c r="R28" s="739" t="str">
        <f t="shared" si="12"/>
        <v/>
      </c>
      <c r="S28" s="739" t="str">
        <f t="shared" si="2"/>
        <v/>
      </c>
      <c r="T28" s="740" t="str">
        <f t="shared" si="3"/>
        <v/>
      </c>
      <c r="U28" s="275"/>
      <c r="V28" s="293"/>
      <c r="W28" s="288"/>
      <c r="X28" s="288"/>
      <c r="Y28" s="908">
        <f t="shared" si="4"/>
        <v>0</v>
      </c>
      <c r="Z28" s="986">
        <f>tab!$D$62</f>
        <v>0.6</v>
      </c>
      <c r="AA28" s="944">
        <f t="shared" si="5"/>
        <v>0</v>
      </c>
      <c r="AB28" s="944">
        <f t="shared" si="6"/>
        <v>0</v>
      </c>
      <c r="AC28" s="944">
        <f t="shared" si="7"/>
        <v>0</v>
      </c>
      <c r="AD28" s="943" t="e">
        <f t="shared" si="8"/>
        <v>#VALUE!</v>
      </c>
      <c r="AE28" s="943">
        <f t="shared" si="9"/>
        <v>0</v>
      </c>
      <c r="AF28" s="916">
        <f>IF(H28&gt;8,tab!$D$63,tab!$D$65)</f>
        <v>0.4</v>
      </c>
      <c r="AG28" s="925">
        <f t="shared" si="10"/>
        <v>0</v>
      </c>
      <c r="AH28" s="940">
        <f t="shared" si="11"/>
        <v>0</v>
      </c>
      <c r="AM28" s="315"/>
    </row>
    <row r="29" spans="2:39" x14ac:dyDescent="0.2">
      <c r="B29" s="49"/>
      <c r="C29" s="69"/>
      <c r="D29" s="75"/>
      <c r="E29" s="75"/>
      <c r="F29" s="88"/>
      <c r="G29" s="290"/>
      <c r="H29" s="88"/>
      <c r="I29" s="99"/>
      <c r="J29" s="291"/>
      <c r="K29" s="304"/>
      <c r="L29" s="868"/>
      <c r="M29" s="868"/>
      <c r="N29" s="867" t="str">
        <f t="shared" si="0"/>
        <v/>
      </c>
      <c r="O29" s="867"/>
      <c r="P29" s="953" t="str">
        <f t="shared" si="1"/>
        <v/>
      </c>
      <c r="Q29" s="70"/>
      <c r="R29" s="739" t="str">
        <f t="shared" si="12"/>
        <v/>
      </c>
      <c r="S29" s="739" t="str">
        <f t="shared" si="2"/>
        <v/>
      </c>
      <c r="T29" s="740" t="str">
        <f t="shared" si="3"/>
        <v/>
      </c>
      <c r="U29" s="275"/>
      <c r="V29" s="293"/>
      <c r="W29" s="288"/>
      <c r="X29" s="288"/>
      <c r="Y29" s="908">
        <f t="shared" si="4"/>
        <v>0</v>
      </c>
      <c r="Z29" s="986">
        <f>tab!$D$62</f>
        <v>0.6</v>
      </c>
      <c r="AA29" s="944">
        <f t="shared" si="5"/>
        <v>0</v>
      </c>
      <c r="AB29" s="944">
        <f t="shared" si="6"/>
        <v>0</v>
      </c>
      <c r="AC29" s="944">
        <f t="shared" si="7"/>
        <v>0</v>
      </c>
      <c r="AD29" s="943" t="e">
        <f t="shared" si="8"/>
        <v>#VALUE!</v>
      </c>
      <c r="AE29" s="943">
        <f t="shared" si="9"/>
        <v>0</v>
      </c>
      <c r="AF29" s="916">
        <f>IF(H29&gt;8,tab!$D$63,tab!$D$65)</f>
        <v>0.4</v>
      </c>
      <c r="AG29" s="925">
        <f t="shared" si="10"/>
        <v>0</v>
      </c>
      <c r="AH29" s="940">
        <f t="shared" si="11"/>
        <v>0</v>
      </c>
      <c r="AM29" s="315"/>
    </row>
    <row r="30" spans="2:39" x14ac:dyDescent="0.2">
      <c r="B30" s="49"/>
      <c r="C30" s="69"/>
      <c r="D30" s="75"/>
      <c r="E30" s="75"/>
      <c r="F30" s="88"/>
      <c r="G30" s="290"/>
      <c r="H30" s="88"/>
      <c r="I30" s="99"/>
      <c r="J30" s="291"/>
      <c r="K30" s="304"/>
      <c r="L30" s="868"/>
      <c r="M30" s="868"/>
      <c r="N30" s="867" t="str">
        <f t="shared" si="0"/>
        <v/>
      </c>
      <c r="O30" s="867"/>
      <c r="P30" s="953" t="str">
        <f t="shared" si="1"/>
        <v/>
      </c>
      <c r="Q30" s="70"/>
      <c r="R30" s="739" t="str">
        <f t="shared" si="12"/>
        <v/>
      </c>
      <c r="S30" s="739" t="str">
        <f t="shared" si="2"/>
        <v/>
      </c>
      <c r="T30" s="740" t="str">
        <f t="shared" si="3"/>
        <v/>
      </c>
      <c r="U30" s="275"/>
      <c r="V30" s="293"/>
      <c r="W30" s="288"/>
      <c r="X30" s="288"/>
      <c r="Y30" s="908">
        <f t="shared" si="4"/>
        <v>0</v>
      </c>
      <c r="Z30" s="986">
        <f>tab!$D$62</f>
        <v>0.6</v>
      </c>
      <c r="AA30" s="944">
        <f t="shared" si="5"/>
        <v>0</v>
      </c>
      <c r="AB30" s="944">
        <f t="shared" si="6"/>
        <v>0</v>
      </c>
      <c r="AC30" s="944">
        <f t="shared" si="7"/>
        <v>0</v>
      </c>
      <c r="AD30" s="943" t="e">
        <f t="shared" si="8"/>
        <v>#VALUE!</v>
      </c>
      <c r="AE30" s="943">
        <f t="shared" si="9"/>
        <v>0</v>
      </c>
      <c r="AF30" s="916">
        <f>IF(H30&gt;8,tab!$D$63,tab!$D$65)</f>
        <v>0.4</v>
      </c>
      <c r="AG30" s="925">
        <f t="shared" si="10"/>
        <v>0</v>
      </c>
      <c r="AH30" s="940">
        <f t="shared" si="11"/>
        <v>0</v>
      </c>
      <c r="AM30" s="315"/>
    </row>
    <row r="31" spans="2:39" x14ac:dyDescent="0.2">
      <c r="B31" s="49"/>
      <c r="C31" s="69"/>
      <c r="D31" s="75"/>
      <c r="E31" s="75"/>
      <c r="F31" s="88"/>
      <c r="G31" s="290"/>
      <c r="H31" s="88"/>
      <c r="I31" s="99"/>
      <c r="J31" s="291"/>
      <c r="K31" s="304"/>
      <c r="L31" s="868"/>
      <c r="M31" s="868"/>
      <c r="N31" s="867" t="str">
        <f t="shared" si="0"/>
        <v/>
      </c>
      <c r="O31" s="867"/>
      <c r="P31" s="953" t="str">
        <f t="shared" si="1"/>
        <v/>
      </c>
      <c r="Q31" s="70"/>
      <c r="R31" s="739" t="str">
        <f t="shared" si="12"/>
        <v/>
      </c>
      <c r="S31" s="739" t="str">
        <f t="shared" si="2"/>
        <v/>
      </c>
      <c r="T31" s="740" t="str">
        <f t="shared" si="3"/>
        <v/>
      </c>
      <c r="U31" s="275"/>
      <c r="V31" s="293"/>
      <c r="W31" s="288"/>
      <c r="X31" s="288"/>
      <c r="Y31" s="908">
        <f t="shared" si="4"/>
        <v>0</v>
      </c>
      <c r="Z31" s="986">
        <f>tab!$D$62</f>
        <v>0.6</v>
      </c>
      <c r="AA31" s="944">
        <f t="shared" si="5"/>
        <v>0</v>
      </c>
      <c r="AB31" s="944">
        <f t="shared" si="6"/>
        <v>0</v>
      </c>
      <c r="AC31" s="944">
        <f t="shared" si="7"/>
        <v>0</v>
      </c>
      <c r="AD31" s="943" t="e">
        <f t="shared" si="8"/>
        <v>#VALUE!</v>
      </c>
      <c r="AE31" s="943">
        <f t="shared" si="9"/>
        <v>0</v>
      </c>
      <c r="AF31" s="916">
        <f>IF(H31&gt;8,tab!$D$63,tab!$D$65)</f>
        <v>0.4</v>
      </c>
      <c r="AG31" s="925">
        <f t="shared" si="10"/>
        <v>0</v>
      </c>
      <c r="AH31" s="940">
        <f t="shared" si="11"/>
        <v>0</v>
      </c>
      <c r="AM31" s="315"/>
    </row>
    <row r="32" spans="2:39" x14ac:dyDescent="0.2">
      <c r="B32" s="49"/>
      <c r="C32" s="69"/>
      <c r="D32" s="75"/>
      <c r="E32" s="75"/>
      <c r="F32" s="88"/>
      <c r="G32" s="290"/>
      <c r="H32" s="88"/>
      <c r="I32" s="99"/>
      <c r="J32" s="291"/>
      <c r="K32" s="304"/>
      <c r="L32" s="868"/>
      <c r="M32" s="868"/>
      <c r="N32" s="867" t="str">
        <f t="shared" si="0"/>
        <v/>
      </c>
      <c r="O32" s="867"/>
      <c r="P32" s="953" t="str">
        <f t="shared" si="1"/>
        <v/>
      </c>
      <c r="Q32" s="70"/>
      <c r="R32" s="739" t="str">
        <f t="shared" si="12"/>
        <v/>
      </c>
      <c r="S32" s="739" t="str">
        <f t="shared" si="2"/>
        <v/>
      </c>
      <c r="T32" s="740" t="str">
        <f t="shared" si="3"/>
        <v/>
      </c>
      <c r="U32" s="275"/>
      <c r="V32" s="293"/>
      <c r="W32" s="288"/>
      <c r="X32" s="288"/>
      <c r="Y32" s="908">
        <f t="shared" si="4"/>
        <v>0</v>
      </c>
      <c r="Z32" s="986">
        <f>tab!$D$62</f>
        <v>0.6</v>
      </c>
      <c r="AA32" s="944">
        <f t="shared" si="5"/>
        <v>0</v>
      </c>
      <c r="AB32" s="944">
        <f t="shared" si="6"/>
        <v>0</v>
      </c>
      <c r="AC32" s="944">
        <f t="shared" si="7"/>
        <v>0</v>
      </c>
      <c r="AD32" s="943" t="e">
        <f t="shared" si="8"/>
        <v>#VALUE!</v>
      </c>
      <c r="AE32" s="943">
        <f t="shared" si="9"/>
        <v>0</v>
      </c>
      <c r="AF32" s="916">
        <f>IF(H32&gt;8,tab!$D$63,tab!$D$65)</f>
        <v>0.4</v>
      </c>
      <c r="AG32" s="925">
        <f t="shared" si="10"/>
        <v>0</v>
      </c>
      <c r="AH32" s="940">
        <f t="shared" si="11"/>
        <v>0</v>
      </c>
      <c r="AM32" s="315"/>
    </row>
    <row r="33" spans="2:44" x14ac:dyDescent="0.2">
      <c r="B33" s="49"/>
      <c r="C33" s="69"/>
      <c r="D33" s="75"/>
      <c r="E33" s="75"/>
      <c r="F33" s="88"/>
      <c r="G33" s="290"/>
      <c r="H33" s="88"/>
      <c r="I33" s="99"/>
      <c r="J33" s="291"/>
      <c r="K33" s="304"/>
      <c r="L33" s="868"/>
      <c r="M33" s="868"/>
      <c r="N33" s="867" t="str">
        <f t="shared" si="0"/>
        <v/>
      </c>
      <c r="O33" s="867"/>
      <c r="P33" s="953" t="str">
        <f t="shared" si="1"/>
        <v/>
      </c>
      <c r="Q33" s="70"/>
      <c r="R33" s="739" t="str">
        <f t="shared" si="12"/>
        <v/>
      </c>
      <c r="S33" s="739" t="str">
        <f t="shared" si="2"/>
        <v/>
      </c>
      <c r="T33" s="740" t="str">
        <f t="shared" si="3"/>
        <v/>
      </c>
      <c r="U33" s="275"/>
      <c r="V33" s="293"/>
      <c r="W33" s="288"/>
      <c r="X33" s="288"/>
      <c r="Y33" s="908">
        <f t="shared" si="4"/>
        <v>0</v>
      </c>
      <c r="Z33" s="986">
        <f>tab!$D$62</f>
        <v>0.6</v>
      </c>
      <c r="AA33" s="944">
        <f t="shared" si="5"/>
        <v>0</v>
      </c>
      <c r="AB33" s="944">
        <f t="shared" si="6"/>
        <v>0</v>
      </c>
      <c r="AC33" s="944">
        <f t="shared" si="7"/>
        <v>0</v>
      </c>
      <c r="AD33" s="943" t="e">
        <f t="shared" si="8"/>
        <v>#VALUE!</v>
      </c>
      <c r="AE33" s="943">
        <f t="shared" si="9"/>
        <v>0</v>
      </c>
      <c r="AF33" s="916">
        <f>IF(H33&gt;8,tab!$D$63,tab!$D$65)</f>
        <v>0.4</v>
      </c>
      <c r="AG33" s="925">
        <f t="shared" si="10"/>
        <v>0</v>
      </c>
      <c r="AH33" s="940">
        <f t="shared" si="11"/>
        <v>0</v>
      </c>
      <c r="AM33" s="315"/>
    </row>
    <row r="34" spans="2:44" x14ac:dyDescent="0.2">
      <c r="B34" s="49"/>
      <c r="C34" s="69"/>
      <c r="D34" s="75"/>
      <c r="E34" s="75"/>
      <c r="F34" s="88"/>
      <c r="G34" s="290"/>
      <c r="H34" s="88"/>
      <c r="I34" s="99"/>
      <c r="J34" s="291"/>
      <c r="K34" s="304"/>
      <c r="L34" s="868"/>
      <c r="M34" s="868"/>
      <c r="N34" s="867" t="str">
        <f t="shared" si="0"/>
        <v/>
      </c>
      <c r="O34" s="867"/>
      <c r="P34" s="953" t="str">
        <f t="shared" si="1"/>
        <v/>
      </c>
      <c r="Q34" s="70"/>
      <c r="R34" s="739" t="str">
        <f t="shared" si="12"/>
        <v/>
      </c>
      <c r="S34" s="739" t="str">
        <f t="shared" si="2"/>
        <v/>
      </c>
      <c r="T34" s="740" t="str">
        <f t="shared" si="3"/>
        <v/>
      </c>
      <c r="U34" s="275"/>
      <c r="V34" s="293"/>
      <c r="W34" s="288"/>
      <c r="X34" s="288"/>
      <c r="Y34" s="908">
        <f t="shared" si="4"/>
        <v>0</v>
      </c>
      <c r="Z34" s="986">
        <f>tab!$D$62</f>
        <v>0.6</v>
      </c>
      <c r="AA34" s="944">
        <f t="shared" si="5"/>
        <v>0</v>
      </c>
      <c r="AB34" s="944">
        <f t="shared" si="6"/>
        <v>0</v>
      </c>
      <c r="AC34" s="944">
        <f t="shared" si="7"/>
        <v>0</v>
      </c>
      <c r="AD34" s="943" t="e">
        <f t="shared" si="8"/>
        <v>#VALUE!</v>
      </c>
      <c r="AE34" s="943">
        <f t="shared" si="9"/>
        <v>0</v>
      </c>
      <c r="AF34" s="916">
        <f>IF(H34&gt;8,tab!$D$63,tab!$D$65)</f>
        <v>0.4</v>
      </c>
      <c r="AG34" s="925">
        <f t="shared" si="10"/>
        <v>0</v>
      </c>
      <c r="AH34" s="940">
        <f t="shared" si="11"/>
        <v>0</v>
      </c>
      <c r="AM34" s="315"/>
    </row>
    <row r="35" spans="2:44" x14ac:dyDescent="0.2">
      <c r="B35" s="49"/>
      <c r="C35" s="69"/>
      <c r="D35" s="75"/>
      <c r="E35" s="75"/>
      <c r="F35" s="88"/>
      <c r="G35" s="290"/>
      <c r="H35" s="88"/>
      <c r="I35" s="99"/>
      <c r="J35" s="291"/>
      <c r="K35" s="304"/>
      <c r="L35" s="868"/>
      <c r="M35" s="868"/>
      <c r="N35" s="867" t="str">
        <f t="shared" si="0"/>
        <v/>
      </c>
      <c r="O35" s="867"/>
      <c r="P35" s="953" t="str">
        <f t="shared" si="1"/>
        <v/>
      </c>
      <c r="Q35" s="70"/>
      <c r="R35" s="739" t="str">
        <f t="shared" si="12"/>
        <v/>
      </c>
      <c r="S35" s="739" t="str">
        <f t="shared" si="2"/>
        <v/>
      </c>
      <c r="T35" s="740" t="str">
        <f t="shared" si="3"/>
        <v/>
      </c>
      <c r="U35" s="275"/>
      <c r="V35" s="293"/>
      <c r="W35" s="288"/>
      <c r="X35" s="288"/>
      <c r="Y35" s="908">
        <f t="shared" si="4"/>
        <v>0</v>
      </c>
      <c r="Z35" s="986">
        <f>tab!$D$62</f>
        <v>0.6</v>
      </c>
      <c r="AA35" s="944">
        <f t="shared" si="5"/>
        <v>0</v>
      </c>
      <c r="AB35" s="944">
        <f t="shared" si="6"/>
        <v>0</v>
      </c>
      <c r="AC35" s="944">
        <f t="shared" si="7"/>
        <v>0</v>
      </c>
      <c r="AD35" s="943" t="e">
        <f t="shared" si="8"/>
        <v>#VALUE!</v>
      </c>
      <c r="AE35" s="943">
        <f t="shared" si="9"/>
        <v>0</v>
      </c>
      <c r="AF35" s="916">
        <f>IF(H35&gt;8,tab!$D$63,tab!$D$65)</f>
        <v>0.4</v>
      </c>
      <c r="AG35" s="925">
        <f t="shared" si="10"/>
        <v>0</v>
      </c>
      <c r="AH35" s="940">
        <f t="shared" si="11"/>
        <v>0</v>
      </c>
      <c r="AM35" s="315"/>
    </row>
    <row r="36" spans="2:44" x14ac:dyDescent="0.2">
      <c r="B36" s="49"/>
      <c r="C36" s="69"/>
      <c r="D36" s="89"/>
      <c r="E36" s="89"/>
      <c r="F36" s="98"/>
      <c r="G36" s="299"/>
      <c r="H36" s="98"/>
      <c r="I36" s="362"/>
      <c r="J36" s="742">
        <f>SUM(J16:J35)</f>
        <v>0</v>
      </c>
      <c r="K36" s="292"/>
      <c r="L36" s="869">
        <f>SUM(L16:L35)</f>
        <v>0</v>
      </c>
      <c r="M36" s="869">
        <f>SUM(M16:M35)</f>
        <v>0</v>
      </c>
      <c r="N36" s="869">
        <f>SUM(N16:N35)</f>
        <v>0</v>
      </c>
      <c r="O36" s="869"/>
      <c r="P36" s="869">
        <f>SUM(P16:P35)</f>
        <v>0</v>
      </c>
      <c r="Q36" s="292"/>
      <c r="R36" s="743">
        <f>SUM(R16:R35)</f>
        <v>0</v>
      </c>
      <c r="S36" s="743">
        <f>SUM(S16:S35)</f>
        <v>0</v>
      </c>
      <c r="T36" s="743">
        <f>SUM(T16:T35)</f>
        <v>0</v>
      </c>
      <c r="U36" s="106"/>
      <c r="V36" s="53"/>
      <c r="Y36" s="909">
        <f>SUM(Y16:Y35)</f>
        <v>2475</v>
      </c>
      <c r="Z36" s="983"/>
      <c r="AA36" s="983">
        <f t="shared" si="5"/>
        <v>17.902350813743219</v>
      </c>
      <c r="AB36" s="983"/>
      <c r="AC36" s="983"/>
      <c r="AD36" s="917" t="e">
        <f>SUM(AD16:AD35)</f>
        <v>#VALUE!</v>
      </c>
      <c r="AE36" s="930">
        <f>SUM(AE16:AE35)</f>
        <v>0</v>
      </c>
      <c r="AF36" s="909"/>
      <c r="AG36" s="928">
        <f>SUM(AG16:AG35)</f>
        <v>40</v>
      </c>
      <c r="AH36" s="937">
        <f>SUM(AH16:AH35)</f>
        <v>0</v>
      </c>
    </row>
    <row r="37" spans="2:44" x14ac:dyDescent="0.2">
      <c r="B37" s="49"/>
      <c r="C37" s="76"/>
      <c r="D37" s="107"/>
      <c r="E37" s="107"/>
      <c r="F37" s="143"/>
      <c r="G37" s="303"/>
      <c r="H37" s="143"/>
      <c r="I37" s="304"/>
      <c r="J37" s="305"/>
      <c r="K37" s="304"/>
      <c r="L37" s="304"/>
      <c r="M37" s="304"/>
      <c r="N37" s="304"/>
      <c r="O37" s="304"/>
      <c r="P37" s="304"/>
      <c r="Q37" s="304"/>
      <c r="R37" s="364"/>
      <c r="S37" s="300"/>
      <c r="T37" s="300"/>
      <c r="U37" s="365"/>
      <c r="V37" s="53"/>
      <c r="Y37" s="881"/>
      <c r="Z37" s="983"/>
      <c r="AA37" s="983"/>
      <c r="AB37" s="983"/>
      <c r="AC37" s="983"/>
      <c r="AE37" s="911"/>
      <c r="AF37" s="909"/>
      <c r="AG37" s="928"/>
      <c r="AH37" s="937"/>
    </row>
    <row r="38" spans="2:44" ht="12.75" customHeight="1" x14ac:dyDescent="0.2">
      <c r="B38" s="124"/>
      <c r="C38" s="125"/>
      <c r="D38" s="317"/>
      <c r="E38" s="317"/>
      <c r="F38" s="318"/>
      <c r="G38" s="319"/>
      <c r="H38" s="318"/>
      <c r="I38" s="320"/>
      <c r="J38" s="321"/>
      <c r="K38" s="125"/>
      <c r="L38" s="322"/>
      <c r="M38" s="322"/>
      <c r="N38" s="322"/>
      <c r="O38" s="322"/>
      <c r="P38" s="322"/>
      <c r="Q38" s="125"/>
      <c r="R38" s="370"/>
      <c r="S38" s="323"/>
      <c r="T38" s="627"/>
      <c r="U38" s="125"/>
      <c r="V38" s="126"/>
      <c r="Y38" s="908"/>
      <c r="Z38" s="371"/>
      <c r="AA38" s="371"/>
      <c r="AB38" s="371"/>
      <c r="AC38" s="371"/>
      <c r="AD38" s="892"/>
      <c r="AE38" s="911"/>
      <c r="AF38" s="905"/>
      <c r="AG38" s="925"/>
      <c r="AH38" s="940"/>
    </row>
    <row r="39" spans="2:44" ht="12.75" customHeight="1" x14ac:dyDescent="0.2">
      <c r="B39" s="43"/>
      <c r="C39" s="44"/>
      <c r="D39" s="218"/>
      <c r="E39" s="218"/>
      <c r="F39" s="128"/>
      <c r="G39" s="219"/>
      <c r="H39" s="128"/>
      <c r="I39" s="220"/>
      <c r="J39" s="1056"/>
      <c r="K39" s="44"/>
      <c r="L39" s="221"/>
      <c r="M39" s="221"/>
      <c r="N39" s="221"/>
      <c r="O39" s="221"/>
      <c r="P39" s="221"/>
      <c r="Q39" s="44"/>
      <c r="R39" s="1057"/>
      <c r="S39" s="349"/>
      <c r="T39" s="1058"/>
      <c r="U39" s="44"/>
      <c r="V39" s="47"/>
      <c r="Y39" s="908"/>
      <c r="Z39" s="371"/>
      <c r="AA39" s="371"/>
      <c r="AB39" s="371"/>
      <c r="AC39" s="371"/>
      <c r="AD39" s="892"/>
      <c r="AE39" s="911"/>
      <c r="AF39" s="905"/>
      <c r="AG39" s="925"/>
      <c r="AH39" s="940"/>
    </row>
    <row r="40" spans="2:44" ht="12.75" customHeight="1" x14ac:dyDescent="0.2">
      <c r="B40" s="49"/>
      <c r="C40" s="50"/>
      <c r="D40" s="176"/>
      <c r="E40" s="176"/>
      <c r="F40" s="129"/>
      <c r="G40" s="224"/>
      <c r="H40" s="129"/>
      <c r="I40" s="225"/>
      <c r="J40" s="351"/>
      <c r="K40" s="50"/>
      <c r="L40" s="226"/>
      <c r="M40" s="226"/>
      <c r="N40" s="226"/>
      <c r="O40" s="226"/>
      <c r="P40" s="226"/>
      <c r="Q40" s="50"/>
      <c r="R40" s="366"/>
      <c r="S40" s="352"/>
      <c r="T40" s="629"/>
      <c r="U40" s="50"/>
      <c r="V40" s="53"/>
      <c r="Y40" s="908"/>
      <c r="Z40" s="371"/>
      <c r="AA40" s="371"/>
      <c r="AB40" s="371"/>
      <c r="AC40" s="371"/>
      <c r="AD40" s="892"/>
      <c r="AE40" s="911"/>
      <c r="AF40" s="905"/>
      <c r="AG40" s="925"/>
      <c r="AH40" s="940"/>
    </row>
    <row r="41" spans="2:44" ht="12.75" customHeight="1" x14ac:dyDescent="0.2">
      <c r="B41" s="49"/>
      <c r="C41" s="50" t="s">
        <v>165</v>
      </c>
      <c r="D41" s="176"/>
      <c r="E41" s="270" t="str">
        <f>dir!E34</f>
        <v>2020/21</v>
      </c>
      <c r="F41" s="129"/>
      <c r="G41" s="224"/>
      <c r="H41" s="129"/>
      <c r="I41" s="225"/>
      <c r="J41" s="351"/>
      <c r="K41" s="50"/>
      <c r="L41" s="226"/>
      <c r="M41" s="226"/>
      <c r="N41" s="226"/>
      <c r="O41" s="226"/>
      <c r="P41" s="226"/>
      <c r="Q41" s="50"/>
      <c r="R41" s="366"/>
      <c r="S41" s="352"/>
      <c r="T41" s="629"/>
      <c r="U41" s="50"/>
      <c r="V41" s="53"/>
      <c r="Y41" s="908"/>
      <c r="Z41" s="371"/>
      <c r="AA41" s="371"/>
      <c r="AB41" s="371"/>
      <c r="AC41" s="371"/>
      <c r="AD41" s="892"/>
      <c r="AE41" s="911"/>
      <c r="AF41" s="905"/>
      <c r="AG41" s="925"/>
      <c r="AH41" s="940"/>
    </row>
    <row r="42" spans="2:44" ht="12.75" customHeight="1" x14ac:dyDescent="0.2">
      <c r="B42" s="49"/>
      <c r="C42" s="50" t="s">
        <v>187</v>
      </c>
      <c r="D42" s="176"/>
      <c r="E42" s="270">
        <f>dir!E35</f>
        <v>44105</v>
      </c>
      <c r="F42" s="129"/>
      <c r="G42" s="224"/>
      <c r="H42" s="129"/>
      <c r="I42" s="225"/>
      <c r="J42" s="351"/>
      <c r="K42" s="50"/>
      <c r="L42" s="226"/>
      <c r="M42" s="226"/>
      <c r="N42" s="226"/>
      <c r="O42" s="226"/>
      <c r="P42" s="226"/>
      <c r="Q42" s="50"/>
      <c r="R42" s="366"/>
      <c r="S42" s="352"/>
      <c r="T42" s="629"/>
      <c r="U42" s="50"/>
      <c r="V42" s="53"/>
      <c r="Y42" s="908"/>
      <c r="Z42" s="371"/>
      <c r="AA42" s="371"/>
      <c r="AB42" s="371"/>
      <c r="AC42" s="371"/>
      <c r="AD42" s="892"/>
      <c r="AE42" s="911"/>
      <c r="AF42" s="905"/>
      <c r="AG42" s="925"/>
      <c r="AH42" s="940"/>
    </row>
    <row r="43" spans="2:44" ht="12.75" customHeight="1" x14ac:dyDescent="0.2">
      <c r="B43" s="49"/>
      <c r="C43" s="50"/>
      <c r="D43" s="176"/>
      <c r="E43" s="176"/>
      <c r="F43" s="129"/>
      <c r="G43" s="224"/>
      <c r="H43" s="129"/>
      <c r="I43" s="225"/>
      <c r="J43" s="351"/>
      <c r="K43" s="50"/>
      <c r="L43" s="226"/>
      <c r="M43" s="226"/>
      <c r="N43" s="226"/>
      <c r="O43" s="226"/>
      <c r="P43" s="226"/>
      <c r="Q43" s="50"/>
      <c r="R43" s="366"/>
      <c r="S43" s="352"/>
      <c r="T43" s="629"/>
      <c r="U43" s="50"/>
      <c r="V43" s="53"/>
      <c r="Y43" s="908"/>
      <c r="Z43" s="371"/>
      <c r="AA43" s="371"/>
      <c r="AB43" s="371"/>
      <c r="AC43" s="371"/>
      <c r="AD43" s="892"/>
      <c r="AE43" s="911"/>
      <c r="AF43" s="905"/>
      <c r="AG43" s="925"/>
      <c r="AH43" s="940"/>
    </row>
    <row r="44" spans="2:44" ht="12.75" customHeight="1" x14ac:dyDescent="0.2">
      <c r="B44" s="49"/>
      <c r="C44" s="757"/>
      <c r="D44" s="724"/>
      <c r="E44" s="723"/>
      <c r="F44" s="704"/>
      <c r="G44" s="725"/>
      <c r="H44" s="726"/>
      <c r="I44" s="726"/>
      <c r="J44" s="727"/>
      <c r="K44" s="728"/>
      <c r="L44" s="726"/>
      <c r="M44" s="726"/>
      <c r="N44" s="726"/>
      <c r="O44" s="726"/>
      <c r="P44" s="726"/>
      <c r="Q44" s="728"/>
      <c r="R44" s="728"/>
      <c r="S44" s="728"/>
      <c r="T44" s="626"/>
      <c r="U44" s="119"/>
      <c r="V44" s="53"/>
      <c r="Z44" s="709"/>
      <c r="AA44" s="709"/>
      <c r="AB44" s="709"/>
      <c r="AC44" s="709"/>
      <c r="AE44" s="911"/>
      <c r="AI44" s="260"/>
      <c r="AJ44" s="260"/>
      <c r="AK44" s="260"/>
      <c r="AL44" s="212"/>
      <c r="AM44" s="211"/>
      <c r="AN44" s="213"/>
      <c r="AO44" s="261"/>
      <c r="AP44" s="212"/>
    </row>
    <row r="45" spans="2:44" ht="12.75" customHeight="1" x14ac:dyDescent="0.2">
      <c r="B45" s="49"/>
      <c r="C45" s="758"/>
      <c r="D45" s="864" t="s">
        <v>298</v>
      </c>
      <c r="E45" s="865"/>
      <c r="F45" s="865"/>
      <c r="G45" s="865"/>
      <c r="H45" s="866"/>
      <c r="I45" s="866"/>
      <c r="J45" s="866"/>
      <c r="K45" s="968"/>
      <c r="L45" s="864" t="s">
        <v>492</v>
      </c>
      <c r="M45" s="858"/>
      <c r="N45" s="864"/>
      <c r="O45" s="864"/>
      <c r="P45" s="951"/>
      <c r="Q45" s="730"/>
      <c r="R45" s="864" t="s">
        <v>494</v>
      </c>
      <c r="S45" s="866"/>
      <c r="T45" s="935"/>
      <c r="U45" s="746"/>
      <c r="V45" s="278"/>
      <c r="W45" s="279"/>
      <c r="X45" s="279"/>
      <c r="Y45" s="882"/>
      <c r="Z45" s="913"/>
      <c r="AA45" s="882"/>
      <c r="AB45" s="882"/>
      <c r="AC45" s="882"/>
      <c r="AD45" s="912"/>
      <c r="AE45" s="912"/>
      <c r="AF45" s="913"/>
      <c r="AG45" s="933"/>
      <c r="AH45" s="941"/>
      <c r="AI45" s="923"/>
      <c r="AJ45" s="923"/>
      <c r="AK45" s="923"/>
      <c r="AL45" s="923"/>
      <c r="AM45" s="923"/>
      <c r="AO45" s="48"/>
      <c r="AP45" s="48"/>
      <c r="AQ45" s="367"/>
      <c r="AR45" s="367"/>
    </row>
    <row r="46" spans="2:44" ht="12.75" customHeight="1" x14ac:dyDescent="0.2">
      <c r="B46" s="49"/>
      <c r="C46" s="758"/>
      <c r="D46" s="693" t="s">
        <v>480</v>
      </c>
      <c r="E46" s="693" t="s">
        <v>171</v>
      </c>
      <c r="F46" s="732" t="s">
        <v>119</v>
      </c>
      <c r="G46" s="733" t="s">
        <v>289</v>
      </c>
      <c r="H46" s="732" t="s">
        <v>201</v>
      </c>
      <c r="I46" s="732" t="s">
        <v>229</v>
      </c>
      <c r="J46" s="734" t="s">
        <v>122</v>
      </c>
      <c r="K46" s="969"/>
      <c r="L46" s="735" t="s">
        <v>475</v>
      </c>
      <c r="M46" s="735" t="s">
        <v>468</v>
      </c>
      <c r="N46" s="735" t="s">
        <v>482</v>
      </c>
      <c r="O46" s="735" t="s">
        <v>475</v>
      </c>
      <c r="P46" s="952" t="s">
        <v>487</v>
      </c>
      <c r="Q46" s="702"/>
      <c r="R46" s="863" t="s">
        <v>186</v>
      </c>
      <c r="S46" s="737" t="s">
        <v>493</v>
      </c>
      <c r="T46" s="738" t="s">
        <v>186</v>
      </c>
      <c r="U46" s="747"/>
      <c r="V46" s="281"/>
      <c r="W46" s="282"/>
      <c r="X46" s="282"/>
      <c r="Y46" s="914" t="s">
        <v>322</v>
      </c>
      <c r="Z46" s="960" t="s">
        <v>479</v>
      </c>
      <c r="AA46" s="903" t="s">
        <v>488</v>
      </c>
      <c r="AB46" s="903" t="s">
        <v>488</v>
      </c>
      <c r="AC46" s="903" t="s">
        <v>491</v>
      </c>
      <c r="AD46" s="915" t="s">
        <v>473</v>
      </c>
      <c r="AE46" s="915" t="s">
        <v>474</v>
      </c>
      <c r="AF46" s="902" t="s">
        <v>470</v>
      </c>
      <c r="AG46" s="934" t="s">
        <v>306</v>
      </c>
      <c r="AH46" s="941" t="s">
        <v>415</v>
      </c>
      <c r="AI46" s="902" t="s">
        <v>292</v>
      </c>
      <c r="AJ46" s="902" t="s">
        <v>293</v>
      </c>
      <c r="AK46" s="902" t="s">
        <v>121</v>
      </c>
      <c r="AL46" s="902" t="s">
        <v>198</v>
      </c>
      <c r="AM46" s="915" t="s">
        <v>173</v>
      </c>
      <c r="AO46" s="48"/>
      <c r="AP46" s="48"/>
      <c r="AQ46" s="367"/>
      <c r="AR46" s="369"/>
    </row>
    <row r="47" spans="2:44" ht="12.75" customHeight="1" x14ac:dyDescent="0.2">
      <c r="B47" s="49"/>
      <c r="C47" s="758"/>
      <c r="D47" s="865"/>
      <c r="E47" s="693"/>
      <c r="F47" s="732" t="s">
        <v>120</v>
      </c>
      <c r="G47" s="733" t="s">
        <v>290</v>
      </c>
      <c r="H47" s="732"/>
      <c r="I47" s="732"/>
      <c r="J47" s="734"/>
      <c r="K47" s="969"/>
      <c r="L47" s="735" t="s">
        <v>476</v>
      </c>
      <c r="M47" s="735" t="s">
        <v>478</v>
      </c>
      <c r="N47" s="735" t="s">
        <v>483</v>
      </c>
      <c r="O47" s="735" t="s">
        <v>477</v>
      </c>
      <c r="P47" s="952" t="s">
        <v>284</v>
      </c>
      <c r="Q47" s="702"/>
      <c r="R47" s="706" t="s">
        <v>485</v>
      </c>
      <c r="S47" s="737" t="s">
        <v>469</v>
      </c>
      <c r="T47" s="738" t="s">
        <v>284</v>
      </c>
      <c r="U47" s="710"/>
      <c r="V47" s="58"/>
      <c r="W47" s="81"/>
      <c r="X47" s="81"/>
      <c r="Y47" s="914" t="s">
        <v>193</v>
      </c>
      <c r="Z47" s="961">
        <f>tab!$D$62</f>
        <v>0.6</v>
      </c>
      <c r="AA47" s="903" t="s">
        <v>489</v>
      </c>
      <c r="AB47" s="903" t="s">
        <v>490</v>
      </c>
      <c r="AC47" s="903" t="s">
        <v>486</v>
      </c>
      <c r="AD47" s="915" t="s">
        <v>472</v>
      </c>
      <c r="AE47" s="915" t="s">
        <v>472</v>
      </c>
      <c r="AF47" s="902" t="s">
        <v>471</v>
      </c>
      <c r="AG47" s="934"/>
      <c r="AH47" s="940" t="s">
        <v>228</v>
      </c>
      <c r="AI47" s="915" t="s">
        <v>291</v>
      </c>
      <c r="AJ47" s="915" t="s">
        <v>291</v>
      </c>
      <c r="AK47" s="902"/>
      <c r="AL47" s="902" t="s">
        <v>173</v>
      </c>
      <c r="AM47" s="915"/>
      <c r="AO47" s="48"/>
      <c r="AP47" s="48"/>
      <c r="AR47" s="288"/>
    </row>
    <row r="48" spans="2:44" ht="12.75" customHeight="1" x14ac:dyDescent="0.2">
      <c r="B48" s="49"/>
      <c r="C48" s="758"/>
      <c r="D48" s="865"/>
      <c r="E48" s="865"/>
      <c r="F48" s="703"/>
      <c r="G48" s="748"/>
      <c r="H48" s="732"/>
      <c r="I48" s="732"/>
      <c r="J48" s="734"/>
      <c r="K48" s="736"/>
      <c r="L48" s="735"/>
      <c r="M48" s="735"/>
      <c r="N48" s="735"/>
      <c r="O48" s="735"/>
      <c r="P48" s="735"/>
      <c r="Q48" s="736"/>
      <c r="R48" s="749"/>
      <c r="S48" s="749"/>
      <c r="T48" s="363"/>
      <c r="U48" s="344"/>
      <c r="V48" s="53"/>
      <c r="Y48" s="914"/>
      <c r="Z48" s="982"/>
      <c r="AA48" s="982"/>
      <c r="AB48" s="982"/>
      <c r="AC48" s="982"/>
      <c r="AD48" s="915"/>
      <c r="AE48" s="915"/>
      <c r="AF48" s="901"/>
      <c r="AG48" s="934"/>
      <c r="AH48" s="940"/>
      <c r="AO48" s="48"/>
      <c r="AP48" s="48"/>
      <c r="AR48" s="288"/>
    </row>
    <row r="49" spans="2:39" ht="12.75" customHeight="1" x14ac:dyDescent="0.2">
      <c r="B49" s="49"/>
      <c r="C49" s="69"/>
      <c r="D49" s="75" t="str">
        <f>IF(obp!D16="","",obp!D16)</f>
        <v/>
      </c>
      <c r="E49" s="75" t="str">
        <f>IF(obp!E16=0,"",obp!E16)</f>
        <v>piet</v>
      </c>
      <c r="F49" s="88">
        <f>IF(obp!F16="","",obp!F16+1)</f>
        <v>41</v>
      </c>
      <c r="G49" s="290" t="str">
        <f>IF(obp!G16="","",obp!G16)</f>
        <v/>
      </c>
      <c r="H49" s="88">
        <f>IF(obp!H16=0,"",obp!H16)</f>
        <v>8</v>
      </c>
      <c r="I49" s="99">
        <f>IF(J49="","",(IF(obp!I16+1&gt;LOOKUP(H49,schaal2019,regels2019),obp!I16,obp!I16+1)))</f>
        <v>5</v>
      </c>
      <c r="J49" s="291">
        <f>IF(obp!J16="","",obp!J16)</f>
        <v>0</v>
      </c>
      <c r="K49" s="304"/>
      <c r="L49" s="868">
        <f>IF(obp!L16="",0,obp!L16)</f>
        <v>0</v>
      </c>
      <c r="M49" s="868">
        <f>IF(obp!M16="",0,obp!M16)</f>
        <v>0</v>
      </c>
      <c r="N49" s="867">
        <f t="shared" ref="N49:N68" si="13">IF(J49="","",IF((J49*40)&gt;40,40,((J49*40))))</f>
        <v>0</v>
      </c>
      <c r="O49" s="867"/>
      <c r="P49" s="953">
        <f t="shared" ref="P49:P68" si="14">IF(J49="","",(SUM(L49:O49)))</f>
        <v>0</v>
      </c>
      <c r="Q49" s="70"/>
      <c r="R49" s="739">
        <f>IF(J49="","",(((1659*J49)-P49)*AB49))</f>
        <v>0</v>
      </c>
      <c r="S49" s="739">
        <f t="shared" ref="S49:S68" si="15">IF(J49="","",(P49*AC49)+(AA49*AD49)+((AE49*AA49*(1-AF49))))</f>
        <v>0</v>
      </c>
      <c r="T49" s="740">
        <f t="shared" ref="T49:T68" si="16">IF(J49="","",(R49+S49))</f>
        <v>0</v>
      </c>
      <c r="U49" s="275"/>
      <c r="V49" s="293"/>
      <c r="W49" s="288"/>
      <c r="X49" s="288"/>
      <c r="Y49" s="908">
        <f t="shared" ref="Y49:Y68" si="17">IF(H49="",0,5/12*VLOOKUP(H49,salaris2020,I49+1,FALSE)+7/12*VLOOKUP(H49,salaris2020,I49+1,FALSE))</f>
        <v>2590</v>
      </c>
      <c r="Z49" s="986">
        <f>tab!$D$62</f>
        <v>0.6</v>
      </c>
      <c r="AA49" s="944">
        <f t="shared" ref="AA49:AA68" si="18">(Y49*12/1659)</f>
        <v>18.734177215189874</v>
      </c>
      <c r="AB49" s="944">
        <f t="shared" ref="AB49:AB68" si="19">(Y49*12*(1+Z49))/1659</f>
        <v>29.974683544303797</v>
      </c>
      <c r="AC49" s="944">
        <f t="shared" ref="AC49:AC68" si="20">AB49-AA49</f>
        <v>11.240506329113924</v>
      </c>
      <c r="AD49" s="943">
        <f t="shared" ref="AD49:AD68" si="21">(N49+O49)</f>
        <v>0</v>
      </c>
      <c r="AE49" s="943">
        <f t="shared" ref="AE49:AE68" si="22">(L49+M49)</f>
        <v>0</v>
      </c>
      <c r="AF49" s="916">
        <f>IF(H49&gt;8,tab!$D$63,tab!$D$65)</f>
        <v>0.4</v>
      </c>
      <c r="AG49" s="925">
        <f t="shared" ref="AG49:AG68" si="23">IF(F49&lt;25,0,IF(F49=25,25,IF(F49&lt;40,0,IF(F49=40,40,IF(F49&gt;=40,0)))))</f>
        <v>0</v>
      </c>
      <c r="AH49" s="940">
        <f t="shared" ref="AH49:AH68" si="24">IF(AG49=25,(Y49*1.08*(J49)/2),IF(AG49=40,(Y49*1.08*(J49)),IF(AG49=0,0)))</f>
        <v>0</v>
      </c>
      <c r="AM49" s="315"/>
    </row>
    <row r="50" spans="2:39" ht="12.75" customHeight="1" x14ac:dyDescent="0.2">
      <c r="B50" s="49"/>
      <c r="C50" s="69"/>
      <c r="D50" s="75" t="str">
        <f>IF(obp!D17="","",obp!D17)</f>
        <v/>
      </c>
      <c r="E50" s="75" t="str">
        <f>IF(obp!E17=0,"",obp!E17)</f>
        <v/>
      </c>
      <c r="F50" s="88" t="str">
        <f>IF(obp!F17="","",obp!F17+1)</f>
        <v/>
      </c>
      <c r="G50" s="290" t="str">
        <f>IF(obp!G17="","",obp!G17)</f>
        <v/>
      </c>
      <c r="H50" s="88" t="str">
        <f>IF(obp!H17=0,"",obp!H17)</f>
        <v/>
      </c>
      <c r="I50" s="99" t="str">
        <f>IF(J50="","",(IF(obp!I17+1&gt;LOOKUP(H50,schaal2019,regels2019),obp!I17,obp!I17+1)))</f>
        <v/>
      </c>
      <c r="J50" s="291" t="str">
        <f>IF(obp!J17="","",obp!J17)</f>
        <v/>
      </c>
      <c r="K50" s="304"/>
      <c r="L50" s="868">
        <f>IF(obp!L17="",0,obp!L17)</f>
        <v>0</v>
      </c>
      <c r="M50" s="868">
        <f>IF(obp!M17="",0,obp!M17)</f>
        <v>0</v>
      </c>
      <c r="N50" s="867" t="str">
        <f t="shared" si="13"/>
        <v/>
      </c>
      <c r="O50" s="867"/>
      <c r="P50" s="953" t="str">
        <f t="shared" si="14"/>
        <v/>
      </c>
      <c r="Q50" s="70"/>
      <c r="R50" s="739" t="str">
        <f t="shared" ref="R50:R68" si="25">IF(J50="","",(((1659*J50)-P50)*AB50))</f>
        <v/>
      </c>
      <c r="S50" s="739" t="str">
        <f t="shared" si="15"/>
        <v/>
      </c>
      <c r="T50" s="740" t="str">
        <f t="shared" si="16"/>
        <v/>
      </c>
      <c r="U50" s="275"/>
      <c r="V50" s="293"/>
      <c r="W50" s="288"/>
      <c r="X50" s="288"/>
      <c r="Y50" s="908">
        <f t="shared" si="17"/>
        <v>0</v>
      </c>
      <c r="Z50" s="986">
        <f>tab!$D$62</f>
        <v>0.6</v>
      </c>
      <c r="AA50" s="944">
        <f t="shared" si="18"/>
        <v>0</v>
      </c>
      <c r="AB50" s="944">
        <f t="shared" si="19"/>
        <v>0</v>
      </c>
      <c r="AC50" s="944">
        <f t="shared" si="20"/>
        <v>0</v>
      </c>
      <c r="AD50" s="943" t="e">
        <f t="shared" si="21"/>
        <v>#VALUE!</v>
      </c>
      <c r="AE50" s="943">
        <f t="shared" si="22"/>
        <v>0</v>
      </c>
      <c r="AF50" s="916">
        <f>IF(H50&gt;8,tab!$D$63,tab!$D$65)</f>
        <v>0.5</v>
      </c>
      <c r="AG50" s="925">
        <f t="shared" si="23"/>
        <v>0</v>
      </c>
      <c r="AH50" s="940">
        <f t="shared" si="24"/>
        <v>0</v>
      </c>
      <c r="AM50" s="315"/>
    </row>
    <row r="51" spans="2:39" ht="12.75" customHeight="1" x14ac:dyDescent="0.2">
      <c r="B51" s="49"/>
      <c r="C51" s="69"/>
      <c r="D51" s="75" t="str">
        <f>IF(obp!D18="","",obp!D18)</f>
        <v/>
      </c>
      <c r="E51" s="75" t="str">
        <f>IF(obp!E18=0,"",obp!E18)</f>
        <v/>
      </c>
      <c r="F51" s="88" t="str">
        <f>IF(obp!F18="","",obp!F18+1)</f>
        <v/>
      </c>
      <c r="G51" s="290" t="str">
        <f>IF(obp!G18="","",obp!G18)</f>
        <v/>
      </c>
      <c r="H51" s="88" t="str">
        <f>IF(obp!H18=0,"",obp!H18)</f>
        <v/>
      </c>
      <c r="I51" s="99" t="str">
        <f>IF(J51="","",(IF(obp!I18+1&gt;LOOKUP(H51,schaal2019,regels2019),obp!I18,obp!I18+1)))</f>
        <v/>
      </c>
      <c r="J51" s="291" t="str">
        <f>IF(obp!J18="","",obp!J18)</f>
        <v/>
      </c>
      <c r="K51" s="304"/>
      <c r="L51" s="868">
        <f>IF(obp!L18="",0,obp!L18)</f>
        <v>0</v>
      </c>
      <c r="M51" s="868">
        <f>IF(obp!M18="",0,obp!M18)</f>
        <v>0</v>
      </c>
      <c r="N51" s="867" t="str">
        <f t="shared" si="13"/>
        <v/>
      </c>
      <c r="O51" s="867"/>
      <c r="P51" s="953" t="str">
        <f t="shared" si="14"/>
        <v/>
      </c>
      <c r="Q51" s="70"/>
      <c r="R51" s="739" t="str">
        <f t="shared" si="25"/>
        <v/>
      </c>
      <c r="S51" s="739" t="str">
        <f t="shared" si="15"/>
        <v/>
      </c>
      <c r="T51" s="740" t="str">
        <f t="shared" si="16"/>
        <v/>
      </c>
      <c r="U51" s="275"/>
      <c r="V51" s="293"/>
      <c r="W51" s="288"/>
      <c r="X51" s="288"/>
      <c r="Y51" s="908">
        <f t="shared" si="17"/>
        <v>0</v>
      </c>
      <c r="Z51" s="986">
        <f>tab!$D$62</f>
        <v>0.6</v>
      </c>
      <c r="AA51" s="944">
        <f t="shared" si="18"/>
        <v>0</v>
      </c>
      <c r="AB51" s="944">
        <f t="shared" si="19"/>
        <v>0</v>
      </c>
      <c r="AC51" s="944">
        <f t="shared" si="20"/>
        <v>0</v>
      </c>
      <c r="AD51" s="943" t="e">
        <f t="shared" si="21"/>
        <v>#VALUE!</v>
      </c>
      <c r="AE51" s="943">
        <f t="shared" si="22"/>
        <v>0</v>
      </c>
      <c r="AF51" s="916">
        <f>IF(H51&gt;8,tab!$D$63,tab!$D$65)</f>
        <v>0.5</v>
      </c>
      <c r="AG51" s="925">
        <f t="shared" si="23"/>
        <v>0</v>
      </c>
      <c r="AH51" s="940">
        <f t="shared" si="24"/>
        <v>0</v>
      </c>
      <c r="AM51" s="315"/>
    </row>
    <row r="52" spans="2:39" ht="12.75" customHeight="1" x14ac:dyDescent="0.2">
      <c r="B52" s="49"/>
      <c r="C52" s="69"/>
      <c r="D52" s="75" t="str">
        <f>IF(obp!D19="","",obp!D19)</f>
        <v/>
      </c>
      <c r="E52" s="75" t="str">
        <f>IF(obp!E19=0,"",obp!E19)</f>
        <v/>
      </c>
      <c r="F52" s="88" t="str">
        <f>IF(obp!F19="","",obp!F19+1)</f>
        <v/>
      </c>
      <c r="G52" s="290" t="str">
        <f>IF(obp!G19="","",obp!G19)</f>
        <v/>
      </c>
      <c r="H52" s="88" t="str">
        <f>IF(obp!H19=0,"",obp!H19)</f>
        <v/>
      </c>
      <c r="I52" s="99" t="str">
        <f>IF(J52="","",(IF(obp!I19+1&gt;LOOKUP(H52,schaal2019,regels2019),obp!I19,obp!I19+1)))</f>
        <v/>
      </c>
      <c r="J52" s="291" t="str">
        <f>IF(obp!J19="","",obp!J19)</f>
        <v/>
      </c>
      <c r="K52" s="304"/>
      <c r="L52" s="868">
        <f>IF(obp!L19="",0,obp!L19)</f>
        <v>0</v>
      </c>
      <c r="M52" s="868">
        <f>IF(obp!M19="",0,obp!M19)</f>
        <v>0</v>
      </c>
      <c r="N52" s="867" t="str">
        <f t="shared" si="13"/>
        <v/>
      </c>
      <c r="O52" s="867"/>
      <c r="P52" s="953" t="str">
        <f t="shared" si="14"/>
        <v/>
      </c>
      <c r="Q52" s="70"/>
      <c r="R52" s="739" t="str">
        <f t="shared" si="25"/>
        <v/>
      </c>
      <c r="S52" s="739" t="str">
        <f t="shared" si="15"/>
        <v/>
      </c>
      <c r="T52" s="740" t="str">
        <f t="shared" si="16"/>
        <v/>
      </c>
      <c r="U52" s="275"/>
      <c r="V52" s="293"/>
      <c r="W52" s="288"/>
      <c r="X52" s="288"/>
      <c r="Y52" s="908">
        <f t="shared" si="17"/>
        <v>0</v>
      </c>
      <c r="Z52" s="986">
        <f>tab!$D$62</f>
        <v>0.6</v>
      </c>
      <c r="AA52" s="944">
        <f t="shared" si="18"/>
        <v>0</v>
      </c>
      <c r="AB52" s="944">
        <f t="shared" si="19"/>
        <v>0</v>
      </c>
      <c r="AC52" s="944">
        <f t="shared" si="20"/>
        <v>0</v>
      </c>
      <c r="AD52" s="943" t="e">
        <f t="shared" si="21"/>
        <v>#VALUE!</v>
      </c>
      <c r="AE52" s="943">
        <f t="shared" si="22"/>
        <v>0</v>
      </c>
      <c r="AF52" s="916">
        <f>IF(H52&gt;8,tab!$D$63,tab!$D$65)</f>
        <v>0.5</v>
      </c>
      <c r="AG52" s="925">
        <f t="shared" si="23"/>
        <v>0</v>
      </c>
      <c r="AH52" s="940">
        <f t="shared" si="24"/>
        <v>0</v>
      </c>
      <c r="AM52" s="315"/>
    </row>
    <row r="53" spans="2:39" ht="12.75" customHeight="1" x14ac:dyDescent="0.2">
      <c r="B53" s="49"/>
      <c r="C53" s="69"/>
      <c r="D53" s="75" t="str">
        <f>IF(obp!D20="","",obp!D20)</f>
        <v/>
      </c>
      <c r="E53" s="75" t="str">
        <f>IF(obp!E20=0,"",obp!E20)</f>
        <v/>
      </c>
      <c r="F53" s="88" t="str">
        <f>IF(obp!F20="","",obp!F20+1)</f>
        <v/>
      </c>
      <c r="G53" s="290" t="str">
        <f>IF(obp!G20="","",obp!G20)</f>
        <v/>
      </c>
      <c r="H53" s="88" t="str">
        <f>IF(obp!H20=0,"",obp!H20)</f>
        <v/>
      </c>
      <c r="I53" s="99" t="str">
        <f>IF(J53="","",(IF(obp!I20+1&gt;LOOKUP(H53,schaal2019,regels2019),obp!I20,obp!I20+1)))</f>
        <v/>
      </c>
      <c r="J53" s="291" t="str">
        <f>IF(obp!J20="","",obp!J20)</f>
        <v/>
      </c>
      <c r="K53" s="304"/>
      <c r="L53" s="868">
        <f>IF(obp!L20="",0,obp!L20)</f>
        <v>0</v>
      </c>
      <c r="M53" s="868">
        <f>IF(obp!M20="",0,obp!M20)</f>
        <v>0</v>
      </c>
      <c r="N53" s="867" t="str">
        <f t="shared" si="13"/>
        <v/>
      </c>
      <c r="O53" s="867"/>
      <c r="P53" s="953" t="str">
        <f t="shared" si="14"/>
        <v/>
      </c>
      <c r="Q53" s="70"/>
      <c r="R53" s="739" t="str">
        <f t="shared" si="25"/>
        <v/>
      </c>
      <c r="S53" s="739" t="str">
        <f t="shared" si="15"/>
        <v/>
      </c>
      <c r="T53" s="740" t="str">
        <f t="shared" si="16"/>
        <v/>
      </c>
      <c r="U53" s="275"/>
      <c r="V53" s="293"/>
      <c r="W53" s="288"/>
      <c r="X53" s="288"/>
      <c r="Y53" s="908">
        <f t="shared" si="17"/>
        <v>0</v>
      </c>
      <c r="Z53" s="986">
        <f>tab!$D$62</f>
        <v>0.6</v>
      </c>
      <c r="AA53" s="944">
        <f t="shared" si="18"/>
        <v>0</v>
      </c>
      <c r="AB53" s="944">
        <f t="shared" si="19"/>
        <v>0</v>
      </c>
      <c r="AC53" s="944">
        <f t="shared" si="20"/>
        <v>0</v>
      </c>
      <c r="AD53" s="943" t="e">
        <f t="shared" si="21"/>
        <v>#VALUE!</v>
      </c>
      <c r="AE53" s="943">
        <f t="shared" si="22"/>
        <v>0</v>
      </c>
      <c r="AF53" s="916">
        <f>IF(H53&gt;8,tab!$D$63,tab!$D$65)</f>
        <v>0.5</v>
      </c>
      <c r="AG53" s="925">
        <f t="shared" si="23"/>
        <v>0</v>
      </c>
      <c r="AH53" s="940">
        <f t="shared" si="24"/>
        <v>0</v>
      </c>
      <c r="AM53" s="315"/>
    </row>
    <row r="54" spans="2:39" ht="12.75" customHeight="1" x14ac:dyDescent="0.2">
      <c r="B54" s="49"/>
      <c r="C54" s="69"/>
      <c r="D54" s="75" t="str">
        <f>IF(obp!D21="","",obp!D21)</f>
        <v/>
      </c>
      <c r="E54" s="75" t="str">
        <f>IF(obp!E21=0,"",obp!E21)</f>
        <v/>
      </c>
      <c r="F54" s="88" t="str">
        <f>IF(obp!F21="","",obp!F21+1)</f>
        <v/>
      </c>
      <c r="G54" s="290" t="str">
        <f>IF(obp!G21="","",obp!G21)</f>
        <v/>
      </c>
      <c r="H54" s="88" t="str">
        <f>IF(obp!H21=0,"",obp!H21)</f>
        <v/>
      </c>
      <c r="I54" s="99" t="str">
        <f>IF(J54="","",(IF(obp!I21+1&gt;LOOKUP(H54,schaal2019,regels2019),obp!I21,obp!I21+1)))</f>
        <v/>
      </c>
      <c r="J54" s="291" t="str">
        <f>IF(obp!J21="","",obp!J21)</f>
        <v/>
      </c>
      <c r="K54" s="304"/>
      <c r="L54" s="868">
        <f>IF(obp!L21="",0,obp!L21)</f>
        <v>0</v>
      </c>
      <c r="M54" s="868">
        <f>IF(obp!M21="",0,obp!M21)</f>
        <v>0</v>
      </c>
      <c r="N54" s="867" t="str">
        <f t="shared" si="13"/>
        <v/>
      </c>
      <c r="O54" s="867"/>
      <c r="P54" s="953" t="str">
        <f t="shared" si="14"/>
        <v/>
      </c>
      <c r="Q54" s="70"/>
      <c r="R54" s="739" t="str">
        <f t="shared" si="25"/>
        <v/>
      </c>
      <c r="S54" s="739" t="str">
        <f t="shared" si="15"/>
        <v/>
      </c>
      <c r="T54" s="740" t="str">
        <f t="shared" si="16"/>
        <v/>
      </c>
      <c r="U54" s="275"/>
      <c r="V54" s="293"/>
      <c r="W54" s="288"/>
      <c r="X54" s="288"/>
      <c r="Y54" s="908">
        <f t="shared" si="17"/>
        <v>0</v>
      </c>
      <c r="Z54" s="986">
        <f>tab!$D$62</f>
        <v>0.6</v>
      </c>
      <c r="AA54" s="944">
        <f t="shared" si="18"/>
        <v>0</v>
      </c>
      <c r="AB54" s="944">
        <f t="shared" si="19"/>
        <v>0</v>
      </c>
      <c r="AC54" s="944">
        <f t="shared" si="20"/>
        <v>0</v>
      </c>
      <c r="AD54" s="943" t="e">
        <f t="shared" si="21"/>
        <v>#VALUE!</v>
      </c>
      <c r="AE54" s="943">
        <f t="shared" si="22"/>
        <v>0</v>
      </c>
      <c r="AF54" s="916">
        <f>IF(H54&gt;8,tab!$D$63,tab!$D$65)</f>
        <v>0.5</v>
      </c>
      <c r="AG54" s="925">
        <f t="shared" si="23"/>
        <v>0</v>
      </c>
      <c r="AH54" s="940">
        <f t="shared" si="24"/>
        <v>0</v>
      </c>
      <c r="AM54" s="315"/>
    </row>
    <row r="55" spans="2:39" ht="12.75" customHeight="1" x14ac:dyDescent="0.2">
      <c r="B55" s="49"/>
      <c r="C55" s="69"/>
      <c r="D55" s="75" t="str">
        <f>IF(obp!D22="","",obp!D22)</f>
        <v/>
      </c>
      <c r="E55" s="75" t="str">
        <f>IF(obp!E22=0,"",obp!E22)</f>
        <v/>
      </c>
      <c r="F55" s="88" t="str">
        <f>IF(obp!F22="","",obp!F22+1)</f>
        <v/>
      </c>
      <c r="G55" s="290" t="str">
        <f>IF(obp!G22="","",obp!G22)</f>
        <v/>
      </c>
      <c r="H55" s="88" t="str">
        <f>IF(obp!H22=0,"",obp!H22)</f>
        <v/>
      </c>
      <c r="I55" s="99" t="str">
        <f>IF(J55="","",(IF(obp!I22+1&gt;LOOKUP(H55,schaal2019,regels2019),obp!I22,obp!I22+1)))</f>
        <v/>
      </c>
      <c r="J55" s="291" t="str">
        <f>IF(obp!J22="","",obp!J22)</f>
        <v/>
      </c>
      <c r="K55" s="304"/>
      <c r="L55" s="868">
        <f>IF(obp!L22="",0,obp!L22)</f>
        <v>0</v>
      </c>
      <c r="M55" s="868">
        <f>IF(obp!M22="",0,obp!M22)</f>
        <v>0</v>
      </c>
      <c r="N55" s="867" t="str">
        <f t="shared" si="13"/>
        <v/>
      </c>
      <c r="O55" s="867"/>
      <c r="P55" s="953" t="str">
        <f t="shared" si="14"/>
        <v/>
      </c>
      <c r="Q55" s="70"/>
      <c r="R55" s="739" t="str">
        <f t="shared" si="25"/>
        <v/>
      </c>
      <c r="S55" s="739" t="str">
        <f t="shared" si="15"/>
        <v/>
      </c>
      <c r="T55" s="740" t="str">
        <f t="shared" si="16"/>
        <v/>
      </c>
      <c r="U55" s="275"/>
      <c r="V55" s="293"/>
      <c r="W55" s="288"/>
      <c r="X55" s="288"/>
      <c r="Y55" s="908">
        <f t="shared" si="17"/>
        <v>0</v>
      </c>
      <c r="Z55" s="986">
        <f>tab!$D$62</f>
        <v>0.6</v>
      </c>
      <c r="AA55" s="944">
        <f t="shared" si="18"/>
        <v>0</v>
      </c>
      <c r="AB55" s="944">
        <f t="shared" si="19"/>
        <v>0</v>
      </c>
      <c r="AC55" s="944">
        <f t="shared" si="20"/>
        <v>0</v>
      </c>
      <c r="AD55" s="943" t="e">
        <f t="shared" si="21"/>
        <v>#VALUE!</v>
      </c>
      <c r="AE55" s="943">
        <f t="shared" si="22"/>
        <v>0</v>
      </c>
      <c r="AF55" s="916">
        <f>IF(H55&gt;8,tab!$D$63,tab!$D$65)</f>
        <v>0.5</v>
      </c>
      <c r="AG55" s="925">
        <f t="shared" si="23"/>
        <v>0</v>
      </c>
      <c r="AH55" s="940">
        <f t="shared" si="24"/>
        <v>0</v>
      </c>
      <c r="AM55" s="315"/>
    </row>
    <row r="56" spans="2:39" ht="12.75" customHeight="1" x14ac:dyDescent="0.2">
      <c r="B56" s="49"/>
      <c r="C56" s="69"/>
      <c r="D56" s="75" t="str">
        <f>IF(obp!D23="","",obp!D23)</f>
        <v/>
      </c>
      <c r="E56" s="75" t="str">
        <f>IF(obp!E23=0,"",obp!E23)</f>
        <v/>
      </c>
      <c r="F56" s="88" t="str">
        <f>IF(obp!F23="","",obp!F23+1)</f>
        <v/>
      </c>
      <c r="G56" s="290" t="str">
        <f>IF(obp!G23="","",obp!G23)</f>
        <v/>
      </c>
      <c r="H56" s="88" t="str">
        <f>IF(obp!H23=0,"",obp!H23)</f>
        <v/>
      </c>
      <c r="I56" s="99" t="str">
        <f>IF(J56="","",(IF(obp!I23+1&gt;LOOKUP(H56,schaal2019,regels2019),obp!I23,obp!I23+1)))</f>
        <v/>
      </c>
      <c r="J56" s="291" t="str">
        <f>IF(obp!J23="","",obp!J23)</f>
        <v/>
      </c>
      <c r="K56" s="304"/>
      <c r="L56" s="868">
        <f>IF(obp!L23="",0,obp!L23)</f>
        <v>0</v>
      </c>
      <c r="M56" s="868">
        <f>IF(obp!M23="",0,obp!M23)</f>
        <v>0</v>
      </c>
      <c r="N56" s="867" t="str">
        <f t="shared" si="13"/>
        <v/>
      </c>
      <c r="O56" s="867"/>
      <c r="P56" s="953" t="str">
        <f t="shared" si="14"/>
        <v/>
      </c>
      <c r="Q56" s="70"/>
      <c r="R56" s="739" t="str">
        <f t="shared" si="25"/>
        <v/>
      </c>
      <c r="S56" s="739" t="str">
        <f t="shared" si="15"/>
        <v/>
      </c>
      <c r="T56" s="740" t="str">
        <f t="shared" si="16"/>
        <v/>
      </c>
      <c r="U56" s="275"/>
      <c r="V56" s="293"/>
      <c r="W56" s="288"/>
      <c r="X56" s="288"/>
      <c r="Y56" s="908">
        <f t="shared" si="17"/>
        <v>0</v>
      </c>
      <c r="Z56" s="986">
        <f>tab!$D$62</f>
        <v>0.6</v>
      </c>
      <c r="AA56" s="944">
        <f t="shared" si="18"/>
        <v>0</v>
      </c>
      <c r="AB56" s="944">
        <f t="shared" si="19"/>
        <v>0</v>
      </c>
      <c r="AC56" s="944">
        <f t="shared" si="20"/>
        <v>0</v>
      </c>
      <c r="AD56" s="943" t="e">
        <f t="shared" si="21"/>
        <v>#VALUE!</v>
      </c>
      <c r="AE56" s="943">
        <f t="shared" si="22"/>
        <v>0</v>
      </c>
      <c r="AF56" s="916">
        <f>IF(H56&gt;8,tab!$D$63,tab!$D$65)</f>
        <v>0.5</v>
      </c>
      <c r="AG56" s="925">
        <f t="shared" si="23"/>
        <v>0</v>
      </c>
      <c r="AH56" s="940">
        <f t="shared" si="24"/>
        <v>0</v>
      </c>
      <c r="AM56" s="315"/>
    </row>
    <row r="57" spans="2:39" ht="12.75" customHeight="1" x14ac:dyDescent="0.2">
      <c r="B57" s="49"/>
      <c r="C57" s="69"/>
      <c r="D57" s="75" t="str">
        <f>IF(obp!D24="","",obp!D24)</f>
        <v/>
      </c>
      <c r="E57" s="75" t="str">
        <f>IF(obp!E24=0,"",obp!E24)</f>
        <v/>
      </c>
      <c r="F57" s="88" t="str">
        <f>IF(obp!F24="","",obp!F24+1)</f>
        <v/>
      </c>
      <c r="G57" s="290" t="str">
        <f>IF(obp!G24="","",obp!G24)</f>
        <v/>
      </c>
      <c r="H57" s="88" t="str">
        <f>IF(obp!H24=0,"",obp!H24)</f>
        <v/>
      </c>
      <c r="I57" s="99" t="str">
        <f>IF(J57="","",(IF(obp!I24+1&gt;LOOKUP(H57,schaal2019,regels2019),obp!I24,obp!I24+1)))</f>
        <v/>
      </c>
      <c r="J57" s="291" t="str">
        <f>IF(obp!J24="","",obp!J24)</f>
        <v/>
      </c>
      <c r="K57" s="304"/>
      <c r="L57" s="868">
        <f>IF(obp!L24="",0,obp!L24)</f>
        <v>0</v>
      </c>
      <c r="M57" s="868">
        <f>IF(obp!M24="",0,obp!M24)</f>
        <v>0</v>
      </c>
      <c r="N57" s="867" t="str">
        <f t="shared" si="13"/>
        <v/>
      </c>
      <c r="O57" s="867"/>
      <c r="P57" s="953" t="str">
        <f t="shared" si="14"/>
        <v/>
      </c>
      <c r="Q57" s="70"/>
      <c r="R57" s="739" t="str">
        <f t="shared" si="25"/>
        <v/>
      </c>
      <c r="S57" s="739" t="str">
        <f t="shared" si="15"/>
        <v/>
      </c>
      <c r="T57" s="740" t="str">
        <f t="shared" si="16"/>
        <v/>
      </c>
      <c r="U57" s="275"/>
      <c r="V57" s="293"/>
      <c r="W57" s="288"/>
      <c r="X57" s="288"/>
      <c r="Y57" s="908">
        <f t="shared" si="17"/>
        <v>0</v>
      </c>
      <c r="Z57" s="986">
        <f>tab!$D$62</f>
        <v>0.6</v>
      </c>
      <c r="AA57" s="944">
        <f t="shared" si="18"/>
        <v>0</v>
      </c>
      <c r="AB57" s="944">
        <f t="shared" si="19"/>
        <v>0</v>
      </c>
      <c r="AC57" s="944">
        <f t="shared" si="20"/>
        <v>0</v>
      </c>
      <c r="AD57" s="943" t="e">
        <f t="shared" si="21"/>
        <v>#VALUE!</v>
      </c>
      <c r="AE57" s="943">
        <f t="shared" si="22"/>
        <v>0</v>
      </c>
      <c r="AF57" s="916">
        <f>IF(H57&gt;8,tab!$D$63,tab!$D$65)</f>
        <v>0.5</v>
      </c>
      <c r="AG57" s="925">
        <f t="shared" si="23"/>
        <v>0</v>
      </c>
      <c r="AH57" s="940">
        <f t="shared" si="24"/>
        <v>0</v>
      </c>
      <c r="AM57" s="315"/>
    </row>
    <row r="58" spans="2:39" ht="12.75" customHeight="1" x14ac:dyDescent="0.2">
      <c r="B58" s="49"/>
      <c r="C58" s="69"/>
      <c r="D58" s="75" t="str">
        <f>IF(obp!D25="","",obp!D25)</f>
        <v/>
      </c>
      <c r="E58" s="75" t="str">
        <f>IF(obp!E25=0,"",obp!E25)</f>
        <v/>
      </c>
      <c r="F58" s="88" t="str">
        <f>IF(obp!F25="","",obp!F25+1)</f>
        <v/>
      </c>
      <c r="G58" s="290" t="str">
        <f>IF(obp!G25="","",obp!G25)</f>
        <v/>
      </c>
      <c r="H58" s="88" t="str">
        <f>IF(obp!H25=0,"",obp!H25)</f>
        <v/>
      </c>
      <c r="I58" s="99" t="str">
        <f>IF(J58="","",(IF(obp!I25+1&gt;LOOKUP(H58,schaal2019,regels2019),obp!I25,obp!I25+1)))</f>
        <v/>
      </c>
      <c r="J58" s="291" t="str">
        <f>IF(obp!J25="","",obp!J25)</f>
        <v/>
      </c>
      <c r="K58" s="304"/>
      <c r="L58" s="868">
        <f>IF(obp!L25="",0,obp!L25)</f>
        <v>0</v>
      </c>
      <c r="M58" s="868">
        <f>IF(obp!M25="",0,obp!M25)</f>
        <v>0</v>
      </c>
      <c r="N58" s="867" t="str">
        <f t="shared" si="13"/>
        <v/>
      </c>
      <c r="O58" s="867"/>
      <c r="P58" s="953" t="str">
        <f t="shared" si="14"/>
        <v/>
      </c>
      <c r="Q58" s="70"/>
      <c r="R58" s="739" t="str">
        <f t="shared" si="25"/>
        <v/>
      </c>
      <c r="S58" s="739" t="str">
        <f t="shared" si="15"/>
        <v/>
      </c>
      <c r="T58" s="740" t="str">
        <f t="shared" si="16"/>
        <v/>
      </c>
      <c r="U58" s="275"/>
      <c r="V58" s="293"/>
      <c r="W58" s="288"/>
      <c r="X58" s="288"/>
      <c r="Y58" s="908">
        <f t="shared" si="17"/>
        <v>0</v>
      </c>
      <c r="Z58" s="986">
        <f>tab!$D$62</f>
        <v>0.6</v>
      </c>
      <c r="AA58" s="944">
        <f t="shared" si="18"/>
        <v>0</v>
      </c>
      <c r="AB58" s="944">
        <f t="shared" si="19"/>
        <v>0</v>
      </c>
      <c r="AC58" s="944">
        <f t="shared" si="20"/>
        <v>0</v>
      </c>
      <c r="AD58" s="943" t="e">
        <f t="shared" si="21"/>
        <v>#VALUE!</v>
      </c>
      <c r="AE58" s="943">
        <f t="shared" si="22"/>
        <v>0</v>
      </c>
      <c r="AF58" s="916">
        <f>IF(H58&gt;8,tab!$D$63,tab!$D$65)</f>
        <v>0.5</v>
      </c>
      <c r="AG58" s="925">
        <f t="shared" si="23"/>
        <v>0</v>
      </c>
      <c r="AH58" s="940">
        <f t="shared" si="24"/>
        <v>0</v>
      </c>
      <c r="AM58" s="315"/>
    </row>
    <row r="59" spans="2:39" ht="12.75" customHeight="1" x14ac:dyDescent="0.2">
      <c r="B59" s="49"/>
      <c r="C59" s="69"/>
      <c r="D59" s="75" t="str">
        <f>IF(obp!D26="","",obp!D26)</f>
        <v/>
      </c>
      <c r="E59" s="75" t="str">
        <f>IF(obp!E26=0,"",obp!E26)</f>
        <v/>
      </c>
      <c r="F59" s="88" t="str">
        <f>IF(obp!F26="","",obp!F26+1)</f>
        <v/>
      </c>
      <c r="G59" s="290" t="str">
        <f>IF(obp!G26="","",obp!G26)</f>
        <v/>
      </c>
      <c r="H59" s="88" t="str">
        <f>IF(obp!H26=0,"",obp!H26)</f>
        <v/>
      </c>
      <c r="I59" s="99" t="str">
        <f>IF(J59="","",(IF(obp!I26+1&gt;LOOKUP(H59,schaal2019,regels2019),obp!I26,obp!I26+1)))</f>
        <v/>
      </c>
      <c r="J59" s="291" t="str">
        <f>IF(obp!J26="","",obp!J26)</f>
        <v/>
      </c>
      <c r="K59" s="304"/>
      <c r="L59" s="868">
        <f>IF(obp!L26="",0,obp!L26)</f>
        <v>0</v>
      </c>
      <c r="M59" s="868">
        <f>IF(obp!M26="",0,obp!M26)</f>
        <v>0</v>
      </c>
      <c r="N59" s="867" t="str">
        <f t="shared" si="13"/>
        <v/>
      </c>
      <c r="O59" s="867"/>
      <c r="P59" s="953" t="str">
        <f t="shared" si="14"/>
        <v/>
      </c>
      <c r="Q59" s="70"/>
      <c r="R59" s="739" t="str">
        <f t="shared" si="25"/>
        <v/>
      </c>
      <c r="S59" s="739" t="str">
        <f t="shared" si="15"/>
        <v/>
      </c>
      <c r="T59" s="740" t="str">
        <f t="shared" si="16"/>
        <v/>
      </c>
      <c r="U59" s="275"/>
      <c r="V59" s="293"/>
      <c r="W59" s="288"/>
      <c r="X59" s="288"/>
      <c r="Y59" s="908">
        <f t="shared" si="17"/>
        <v>0</v>
      </c>
      <c r="Z59" s="986">
        <f>tab!$D$62</f>
        <v>0.6</v>
      </c>
      <c r="AA59" s="944">
        <f t="shared" si="18"/>
        <v>0</v>
      </c>
      <c r="AB59" s="944">
        <f t="shared" si="19"/>
        <v>0</v>
      </c>
      <c r="AC59" s="944">
        <f t="shared" si="20"/>
        <v>0</v>
      </c>
      <c r="AD59" s="943" t="e">
        <f t="shared" si="21"/>
        <v>#VALUE!</v>
      </c>
      <c r="AE59" s="943">
        <f t="shared" si="22"/>
        <v>0</v>
      </c>
      <c r="AF59" s="916">
        <f>IF(H59&gt;8,tab!$D$63,tab!$D$65)</f>
        <v>0.5</v>
      </c>
      <c r="AG59" s="925">
        <f t="shared" si="23"/>
        <v>0</v>
      </c>
      <c r="AH59" s="940">
        <f t="shared" si="24"/>
        <v>0</v>
      </c>
      <c r="AM59" s="315"/>
    </row>
    <row r="60" spans="2:39" ht="12.75" customHeight="1" x14ac:dyDescent="0.2">
      <c r="B60" s="49"/>
      <c r="C60" s="69"/>
      <c r="D60" s="75" t="str">
        <f>IF(obp!D27="","",obp!D27)</f>
        <v/>
      </c>
      <c r="E60" s="75" t="str">
        <f>IF(obp!E27=0,"",obp!E27)</f>
        <v/>
      </c>
      <c r="F60" s="88" t="str">
        <f>IF(obp!F27="","",obp!F27+1)</f>
        <v/>
      </c>
      <c r="G60" s="290" t="str">
        <f>IF(obp!G27="","",obp!G27)</f>
        <v/>
      </c>
      <c r="H60" s="88" t="str">
        <f>IF(obp!H27=0,"",obp!H27)</f>
        <v/>
      </c>
      <c r="I60" s="99" t="str">
        <f>IF(J60="","",(IF(obp!I27+1&gt;LOOKUP(H60,schaal2019,regels2019),obp!I27,obp!I27+1)))</f>
        <v/>
      </c>
      <c r="J60" s="291" t="str">
        <f>IF(obp!J27="","",obp!J27)</f>
        <v/>
      </c>
      <c r="K60" s="304"/>
      <c r="L60" s="868">
        <f>IF(obp!L27="",0,obp!L27)</f>
        <v>0</v>
      </c>
      <c r="M60" s="868">
        <f>IF(obp!M27="",0,obp!M27)</f>
        <v>0</v>
      </c>
      <c r="N60" s="867" t="str">
        <f t="shared" si="13"/>
        <v/>
      </c>
      <c r="O60" s="867"/>
      <c r="P60" s="953" t="str">
        <f t="shared" si="14"/>
        <v/>
      </c>
      <c r="Q60" s="70"/>
      <c r="R60" s="739" t="str">
        <f t="shared" si="25"/>
        <v/>
      </c>
      <c r="S60" s="739" t="str">
        <f t="shared" si="15"/>
        <v/>
      </c>
      <c r="T60" s="740" t="str">
        <f t="shared" si="16"/>
        <v/>
      </c>
      <c r="U60" s="275"/>
      <c r="V60" s="293"/>
      <c r="W60" s="288"/>
      <c r="X60" s="288"/>
      <c r="Y60" s="908">
        <f t="shared" si="17"/>
        <v>0</v>
      </c>
      <c r="Z60" s="986">
        <f>tab!$D$62</f>
        <v>0.6</v>
      </c>
      <c r="AA60" s="944">
        <f t="shared" si="18"/>
        <v>0</v>
      </c>
      <c r="AB60" s="944">
        <f t="shared" si="19"/>
        <v>0</v>
      </c>
      <c r="AC60" s="944">
        <f t="shared" si="20"/>
        <v>0</v>
      </c>
      <c r="AD60" s="943" t="e">
        <f t="shared" si="21"/>
        <v>#VALUE!</v>
      </c>
      <c r="AE60" s="943">
        <f t="shared" si="22"/>
        <v>0</v>
      </c>
      <c r="AF60" s="916">
        <f>IF(H60&gt;8,tab!$D$63,tab!$D$65)</f>
        <v>0.5</v>
      </c>
      <c r="AG60" s="925">
        <f t="shared" si="23"/>
        <v>0</v>
      </c>
      <c r="AH60" s="940">
        <f t="shared" si="24"/>
        <v>0</v>
      </c>
      <c r="AM60" s="315"/>
    </row>
    <row r="61" spans="2:39" ht="12.75" customHeight="1" x14ac:dyDescent="0.2">
      <c r="B61" s="49"/>
      <c r="C61" s="69"/>
      <c r="D61" s="75" t="str">
        <f>IF(obp!D28="","",obp!D28)</f>
        <v/>
      </c>
      <c r="E61" s="75" t="str">
        <f>IF(obp!E28=0,"",obp!E28)</f>
        <v/>
      </c>
      <c r="F61" s="88" t="str">
        <f>IF(obp!F28="","",obp!F28+1)</f>
        <v/>
      </c>
      <c r="G61" s="290" t="str">
        <f>IF(obp!G28="","",obp!G28)</f>
        <v/>
      </c>
      <c r="H61" s="88" t="str">
        <f>IF(obp!H28=0,"",obp!H28)</f>
        <v/>
      </c>
      <c r="I61" s="99" t="str">
        <f>IF(J61="","",(IF(obp!I28+1&gt;LOOKUP(H61,schaal2019,regels2019),obp!I28,obp!I28+1)))</f>
        <v/>
      </c>
      <c r="J61" s="291" t="str">
        <f>IF(obp!J28="","",obp!J28)</f>
        <v/>
      </c>
      <c r="K61" s="304"/>
      <c r="L61" s="868">
        <f>IF(obp!L28="",0,obp!L28)</f>
        <v>0</v>
      </c>
      <c r="M61" s="868">
        <f>IF(obp!M28="",0,obp!M28)</f>
        <v>0</v>
      </c>
      <c r="N61" s="867" t="str">
        <f t="shared" si="13"/>
        <v/>
      </c>
      <c r="O61" s="867"/>
      <c r="P61" s="953" t="str">
        <f t="shared" si="14"/>
        <v/>
      </c>
      <c r="Q61" s="70"/>
      <c r="R61" s="739" t="str">
        <f t="shared" si="25"/>
        <v/>
      </c>
      <c r="S61" s="739" t="str">
        <f t="shared" si="15"/>
        <v/>
      </c>
      <c r="T61" s="740" t="str">
        <f t="shared" si="16"/>
        <v/>
      </c>
      <c r="U61" s="275"/>
      <c r="V61" s="293"/>
      <c r="W61" s="288"/>
      <c r="X61" s="288"/>
      <c r="Y61" s="908">
        <f t="shared" si="17"/>
        <v>0</v>
      </c>
      <c r="Z61" s="986">
        <f>tab!$D$62</f>
        <v>0.6</v>
      </c>
      <c r="AA61" s="944">
        <f t="shared" si="18"/>
        <v>0</v>
      </c>
      <c r="AB61" s="944">
        <f t="shared" si="19"/>
        <v>0</v>
      </c>
      <c r="AC61" s="944">
        <f t="shared" si="20"/>
        <v>0</v>
      </c>
      <c r="AD61" s="943" t="e">
        <f t="shared" si="21"/>
        <v>#VALUE!</v>
      </c>
      <c r="AE61" s="943">
        <f t="shared" si="22"/>
        <v>0</v>
      </c>
      <c r="AF61" s="916">
        <f>IF(H61&gt;8,tab!$D$63,tab!$D$65)</f>
        <v>0.5</v>
      </c>
      <c r="AG61" s="925">
        <f t="shared" si="23"/>
        <v>0</v>
      </c>
      <c r="AH61" s="940">
        <f t="shared" si="24"/>
        <v>0</v>
      </c>
      <c r="AM61" s="315"/>
    </row>
    <row r="62" spans="2:39" ht="12.75" customHeight="1" x14ac:dyDescent="0.2">
      <c r="B62" s="49"/>
      <c r="C62" s="69"/>
      <c r="D62" s="75" t="str">
        <f>IF(obp!D29="","",obp!D29)</f>
        <v/>
      </c>
      <c r="E62" s="75" t="str">
        <f>IF(obp!E29=0,"",obp!E29)</f>
        <v/>
      </c>
      <c r="F62" s="88" t="str">
        <f>IF(obp!F29="","",obp!F29+1)</f>
        <v/>
      </c>
      <c r="G62" s="290" t="str">
        <f>IF(obp!G29="","",obp!G29)</f>
        <v/>
      </c>
      <c r="H62" s="88" t="str">
        <f>IF(obp!H29=0,"",obp!H29)</f>
        <v/>
      </c>
      <c r="I62" s="99" t="str">
        <f>IF(J62="","",(IF(obp!I29+1&gt;LOOKUP(H62,schaal2019,regels2019),obp!I29,obp!I29+1)))</f>
        <v/>
      </c>
      <c r="J62" s="291" t="str">
        <f>IF(obp!J29="","",obp!J29)</f>
        <v/>
      </c>
      <c r="K62" s="304"/>
      <c r="L62" s="868">
        <f>IF(obp!L29="",0,obp!L29)</f>
        <v>0</v>
      </c>
      <c r="M62" s="868">
        <f>IF(obp!M29="",0,obp!M29)</f>
        <v>0</v>
      </c>
      <c r="N62" s="867" t="str">
        <f t="shared" si="13"/>
        <v/>
      </c>
      <c r="O62" s="867"/>
      <c r="P62" s="953" t="str">
        <f t="shared" si="14"/>
        <v/>
      </c>
      <c r="Q62" s="70"/>
      <c r="R62" s="739" t="str">
        <f t="shared" si="25"/>
        <v/>
      </c>
      <c r="S62" s="739" t="str">
        <f t="shared" si="15"/>
        <v/>
      </c>
      <c r="T62" s="740" t="str">
        <f t="shared" si="16"/>
        <v/>
      </c>
      <c r="U62" s="275"/>
      <c r="V62" s="293"/>
      <c r="W62" s="288"/>
      <c r="X62" s="288"/>
      <c r="Y62" s="908">
        <f t="shared" si="17"/>
        <v>0</v>
      </c>
      <c r="Z62" s="986">
        <f>tab!$D$62</f>
        <v>0.6</v>
      </c>
      <c r="AA62" s="944">
        <f t="shared" si="18"/>
        <v>0</v>
      </c>
      <c r="AB62" s="944">
        <f t="shared" si="19"/>
        <v>0</v>
      </c>
      <c r="AC62" s="944">
        <f t="shared" si="20"/>
        <v>0</v>
      </c>
      <c r="AD62" s="943" t="e">
        <f t="shared" si="21"/>
        <v>#VALUE!</v>
      </c>
      <c r="AE62" s="943">
        <f t="shared" si="22"/>
        <v>0</v>
      </c>
      <c r="AF62" s="916">
        <f>IF(H62&gt;8,tab!$D$63,tab!$D$65)</f>
        <v>0.5</v>
      </c>
      <c r="AG62" s="925">
        <f t="shared" si="23"/>
        <v>0</v>
      </c>
      <c r="AH62" s="940">
        <f t="shared" si="24"/>
        <v>0</v>
      </c>
      <c r="AM62" s="315"/>
    </row>
    <row r="63" spans="2:39" ht="12.75" customHeight="1" x14ac:dyDescent="0.2">
      <c r="B63" s="49"/>
      <c r="C63" s="69"/>
      <c r="D63" s="75" t="str">
        <f>IF(obp!D30="","",obp!D30)</f>
        <v/>
      </c>
      <c r="E63" s="75" t="str">
        <f>IF(obp!E30=0,"",obp!E30)</f>
        <v/>
      </c>
      <c r="F63" s="88" t="str">
        <f>IF(obp!F30="","",obp!F30+1)</f>
        <v/>
      </c>
      <c r="G63" s="290" t="str">
        <f>IF(obp!G30="","",obp!G30)</f>
        <v/>
      </c>
      <c r="H63" s="88" t="str">
        <f>IF(obp!H30=0,"",obp!H30)</f>
        <v/>
      </c>
      <c r="I63" s="99" t="str">
        <f>IF(J63="","",(IF(obp!I30+1&gt;LOOKUP(H63,schaal2019,regels2019),obp!I30,obp!I30+1)))</f>
        <v/>
      </c>
      <c r="J63" s="291" t="str">
        <f>IF(obp!J30="","",obp!J30)</f>
        <v/>
      </c>
      <c r="K63" s="304"/>
      <c r="L63" s="868">
        <f>IF(obp!L30="",0,obp!L30)</f>
        <v>0</v>
      </c>
      <c r="M63" s="868">
        <f>IF(obp!M30="",0,obp!M30)</f>
        <v>0</v>
      </c>
      <c r="N63" s="867" t="str">
        <f t="shared" si="13"/>
        <v/>
      </c>
      <c r="O63" s="867"/>
      <c r="P63" s="953" t="str">
        <f t="shared" si="14"/>
        <v/>
      </c>
      <c r="Q63" s="70"/>
      <c r="R63" s="739" t="str">
        <f t="shared" si="25"/>
        <v/>
      </c>
      <c r="S63" s="739" t="str">
        <f t="shared" si="15"/>
        <v/>
      </c>
      <c r="T63" s="740" t="str">
        <f t="shared" si="16"/>
        <v/>
      </c>
      <c r="U63" s="275"/>
      <c r="V63" s="293"/>
      <c r="W63" s="288"/>
      <c r="X63" s="288"/>
      <c r="Y63" s="908">
        <f t="shared" si="17"/>
        <v>0</v>
      </c>
      <c r="Z63" s="986">
        <f>tab!$D$62</f>
        <v>0.6</v>
      </c>
      <c r="AA63" s="944">
        <f t="shared" si="18"/>
        <v>0</v>
      </c>
      <c r="AB63" s="944">
        <f t="shared" si="19"/>
        <v>0</v>
      </c>
      <c r="AC63" s="944">
        <f t="shared" si="20"/>
        <v>0</v>
      </c>
      <c r="AD63" s="943" t="e">
        <f t="shared" si="21"/>
        <v>#VALUE!</v>
      </c>
      <c r="AE63" s="943">
        <f t="shared" si="22"/>
        <v>0</v>
      </c>
      <c r="AF63" s="916">
        <f>IF(H63&gt;8,tab!$D$63,tab!$D$65)</f>
        <v>0.5</v>
      </c>
      <c r="AG63" s="925">
        <f t="shared" si="23"/>
        <v>0</v>
      </c>
      <c r="AH63" s="940">
        <f t="shared" si="24"/>
        <v>0</v>
      </c>
      <c r="AM63" s="315"/>
    </row>
    <row r="64" spans="2:39" ht="12.75" customHeight="1" x14ac:dyDescent="0.2">
      <c r="B64" s="49"/>
      <c r="C64" s="69"/>
      <c r="D64" s="75" t="str">
        <f>IF(obp!D31="","",obp!D31)</f>
        <v/>
      </c>
      <c r="E64" s="75" t="str">
        <f>IF(obp!E31=0,"",obp!E31)</f>
        <v/>
      </c>
      <c r="F64" s="88" t="str">
        <f>IF(obp!F31="","",obp!F31+1)</f>
        <v/>
      </c>
      <c r="G64" s="290" t="str">
        <f>IF(obp!G31="","",obp!G31)</f>
        <v/>
      </c>
      <c r="H64" s="88" t="str">
        <f>IF(obp!H31=0,"",obp!H31)</f>
        <v/>
      </c>
      <c r="I64" s="99" t="str">
        <f>IF(J64="","",(IF(obp!I31+1&gt;LOOKUP(H64,schaal2019,regels2019),obp!I31,obp!I31+1)))</f>
        <v/>
      </c>
      <c r="J64" s="291" t="str">
        <f>IF(obp!J31="","",obp!J31)</f>
        <v/>
      </c>
      <c r="K64" s="304"/>
      <c r="L64" s="868">
        <f>IF(obp!L31="",0,obp!L31)</f>
        <v>0</v>
      </c>
      <c r="M64" s="868">
        <f>IF(obp!M31="",0,obp!M31)</f>
        <v>0</v>
      </c>
      <c r="N64" s="867" t="str">
        <f t="shared" si="13"/>
        <v/>
      </c>
      <c r="O64" s="867"/>
      <c r="P64" s="953" t="str">
        <f t="shared" si="14"/>
        <v/>
      </c>
      <c r="Q64" s="70"/>
      <c r="R64" s="739" t="str">
        <f t="shared" si="25"/>
        <v/>
      </c>
      <c r="S64" s="739" t="str">
        <f t="shared" si="15"/>
        <v/>
      </c>
      <c r="T64" s="740" t="str">
        <f t="shared" si="16"/>
        <v/>
      </c>
      <c r="U64" s="275"/>
      <c r="V64" s="293"/>
      <c r="W64" s="288"/>
      <c r="X64" s="288"/>
      <c r="Y64" s="908">
        <f t="shared" si="17"/>
        <v>0</v>
      </c>
      <c r="Z64" s="986">
        <f>tab!$D$62</f>
        <v>0.6</v>
      </c>
      <c r="AA64" s="944">
        <f t="shared" si="18"/>
        <v>0</v>
      </c>
      <c r="AB64" s="944">
        <f t="shared" si="19"/>
        <v>0</v>
      </c>
      <c r="AC64" s="944">
        <f t="shared" si="20"/>
        <v>0</v>
      </c>
      <c r="AD64" s="943" t="e">
        <f t="shared" si="21"/>
        <v>#VALUE!</v>
      </c>
      <c r="AE64" s="943">
        <f t="shared" si="22"/>
        <v>0</v>
      </c>
      <c r="AF64" s="916">
        <f>IF(H64&gt;8,tab!$D$63,tab!$D$65)</f>
        <v>0.5</v>
      </c>
      <c r="AG64" s="925">
        <f t="shared" si="23"/>
        <v>0</v>
      </c>
      <c r="AH64" s="940">
        <f t="shared" si="24"/>
        <v>0</v>
      </c>
      <c r="AM64" s="315"/>
    </row>
    <row r="65" spans="2:44" ht="12.75" customHeight="1" x14ac:dyDescent="0.2">
      <c r="B65" s="49"/>
      <c r="C65" s="69"/>
      <c r="D65" s="75" t="str">
        <f>IF(obp!D32="","",obp!D32)</f>
        <v/>
      </c>
      <c r="E65" s="75" t="str">
        <f>IF(obp!E32=0,"",obp!E32)</f>
        <v/>
      </c>
      <c r="F65" s="88" t="str">
        <f>IF(obp!F32="","",obp!F32+1)</f>
        <v/>
      </c>
      <c r="G65" s="290" t="str">
        <f>IF(obp!G32="","",obp!G32)</f>
        <v/>
      </c>
      <c r="H65" s="88" t="str">
        <f>IF(obp!H32=0,"",obp!H32)</f>
        <v/>
      </c>
      <c r="I65" s="99" t="str">
        <f>IF(J65="","",(IF(obp!I32+1&gt;LOOKUP(H65,schaal2019,regels2019),obp!I32,obp!I32+1)))</f>
        <v/>
      </c>
      <c r="J65" s="291" t="str">
        <f>IF(obp!J32="","",obp!J32)</f>
        <v/>
      </c>
      <c r="K65" s="304"/>
      <c r="L65" s="868">
        <f>IF(obp!L32="",0,obp!L32)</f>
        <v>0</v>
      </c>
      <c r="M65" s="868">
        <f>IF(obp!M32="",0,obp!M32)</f>
        <v>0</v>
      </c>
      <c r="N65" s="867" t="str">
        <f t="shared" si="13"/>
        <v/>
      </c>
      <c r="O65" s="867"/>
      <c r="P65" s="953" t="str">
        <f t="shared" si="14"/>
        <v/>
      </c>
      <c r="Q65" s="70"/>
      <c r="R65" s="739" t="str">
        <f t="shared" si="25"/>
        <v/>
      </c>
      <c r="S65" s="739" t="str">
        <f t="shared" si="15"/>
        <v/>
      </c>
      <c r="T65" s="740" t="str">
        <f t="shared" si="16"/>
        <v/>
      </c>
      <c r="U65" s="275"/>
      <c r="V65" s="293"/>
      <c r="W65" s="288"/>
      <c r="X65" s="288"/>
      <c r="Y65" s="908">
        <f t="shared" si="17"/>
        <v>0</v>
      </c>
      <c r="Z65" s="986">
        <f>tab!$D$62</f>
        <v>0.6</v>
      </c>
      <c r="AA65" s="944">
        <f t="shared" si="18"/>
        <v>0</v>
      </c>
      <c r="AB65" s="944">
        <f t="shared" si="19"/>
        <v>0</v>
      </c>
      <c r="AC65" s="944">
        <f t="shared" si="20"/>
        <v>0</v>
      </c>
      <c r="AD65" s="943" t="e">
        <f t="shared" si="21"/>
        <v>#VALUE!</v>
      </c>
      <c r="AE65" s="943">
        <f t="shared" si="22"/>
        <v>0</v>
      </c>
      <c r="AF65" s="916">
        <f>IF(H65&gt;8,tab!$D$63,tab!$D$65)</f>
        <v>0.5</v>
      </c>
      <c r="AG65" s="925">
        <f t="shared" si="23"/>
        <v>0</v>
      </c>
      <c r="AH65" s="940">
        <f t="shared" si="24"/>
        <v>0</v>
      </c>
      <c r="AM65" s="315"/>
    </row>
    <row r="66" spans="2:44" ht="12.75" customHeight="1" x14ac:dyDescent="0.2">
      <c r="B66" s="49"/>
      <c r="C66" s="69"/>
      <c r="D66" s="75" t="str">
        <f>IF(obp!D33="","",obp!D33)</f>
        <v/>
      </c>
      <c r="E66" s="75" t="str">
        <f>IF(obp!E33=0,"",obp!E33)</f>
        <v/>
      </c>
      <c r="F66" s="88" t="str">
        <f>IF(obp!F33="","",obp!F33+1)</f>
        <v/>
      </c>
      <c r="G66" s="290" t="str">
        <f>IF(obp!G33="","",obp!G33)</f>
        <v/>
      </c>
      <c r="H66" s="88" t="str">
        <f>IF(obp!H33=0,"",obp!H33)</f>
        <v/>
      </c>
      <c r="I66" s="99" t="str">
        <f>IF(J66="","",(IF(obp!I33+1&gt;LOOKUP(H66,schaal2019,regels2019),obp!I33,obp!I33+1)))</f>
        <v/>
      </c>
      <c r="J66" s="291" t="str">
        <f>IF(obp!J33="","",obp!J33)</f>
        <v/>
      </c>
      <c r="K66" s="304"/>
      <c r="L66" s="868">
        <f>IF(obp!L33="",0,obp!L33)</f>
        <v>0</v>
      </c>
      <c r="M66" s="868">
        <f>IF(obp!M33="",0,obp!M33)</f>
        <v>0</v>
      </c>
      <c r="N66" s="867" t="str">
        <f t="shared" si="13"/>
        <v/>
      </c>
      <c r="O66" s="867"/>
      <c r="P66" s="953" t="str">
        <f t="shared" si="14"/>
        <v/>
      </c>
      <c r="Q66" s="70"/>
      <c r="R66" s="739" t="str">
        <f t="shared" si="25"/>
        <v/>
      </c>
      <c r="S66" s="739" t="str">
        <f t="shared" si="15"/>
        <v/>
      </c>
      <c r="T66" s="740" t="str">
        <f t="shared" si="16"/>
        <v/>
      </c>
      <c r="U66" s="275"/>
      <c r="V66" s="293"/>
      <c r="W66" s="288"/>
      <c r="X66" s="288"/>
      <c r="Y66" s="908">
        <f t="shared" si="17"/>
        <v>0</v>
      </c>
      <c r="Z66" s="986">
        <f>tab!$D$62</f>
        <v>0.6</v>
      </c>
      <c r="AA66" s="944">
        <f t="shared" si="18"/>
        <v>0</v>
      </c>
      <c r="AB66" s="944">
        <f t="shared" si="19"/>
        <v>0</v>
      </c>
      <c r="AC66" s="944">
        <f t="shared" si="20"/>
        <v>0</v>
      </c>
      <c r="AD66" s="943" t="e">
        <f t="shared" si="21"/>
        <v>#VALUE!</v>
      </c>
      <c r="AE66" s="943">
        <f t="shared" si="22"/>
        <v>0</v>
      </c>
      <c r="AF66" s="916">
        <f>IF(H66&gt;8,tab!$D$63,tab!$D$65)</f>
        <v>0.5</v>
      </c>
      <c r="AG66" s="925">
        <f t="shared" si="23"/>
        <v>0</v>
      </c>
      <c r="AH66" s="940">
        <f t="shared" si="24"/>
        <v>0</v>
      </c>
      <c r="AM66" s="315"/>
    </row>
    <row r="67" spans="2:44" ht="12.75" customHeight="1" x14ac:dyDescent="0.2">
      <c r="B67" s="49"/>
      <c r="C67" s="69"/>
      <c r="D67" s="75" t="str">
        <f>IF(obp!D34="","",obp!D34)</f>
        <v/>
      </c>
      <c r="E67" s="75" t="str">
        <f>IF(obp!E34=0,"",obp!E34)</f>
        <v/>
      </c>
      <c r="F67" s="88" t="str">
        <f>IF(obp!F34="","",obp!F34+1)</f>
        <v/>
      </c>
      <c r="G67" s="290" t="str">
        <f>IF(obp!G34="","",obp!G34)</f>
        <v/>
      </c>
      <c r="H67" s="88" t="str">
        <f>IF(obp!H34=0,"",obp!H34)</f>
        <v/>
      </c>
      <c r="I67" s="99" t="str">
        <f>IF(J67="","",(IF(obp!I34+1&gt;LOOKUP(H67,schaal2019,regels2019),obp!I34,obp!I34+1)))</f>
        <v/>
      </c>
      <c r="J67" s="291" t="str">
        <f>IF(obp!J34="","",obp!J34)</f>
        <v/>
      </c>
      <c r="K67" s="304"/>
      <c r="L67" s="868">
        <f>IF(obp!L34="",0,obp!L34)</f>
        <v>0</v>
      </c>
      <c r="M67" s="868">
        <f>IF(obp!M34="",0,obp!M34)</f>
        <v>0</v>
      </c>
      <c r="N67" s="867" t="str">
        <f t="shared" si="13"/>
        <v/>
      </c>
      <c r="O67" s="867"/>
      <c r="P67" s="953" t="str">
        <f t="shared" si="14"/>
        <v/>
      </c>
      <c r="Q67" s="70"/>
      <c r="R67" s="739" t="str">
        <f t="shared" si="25"/>
        <v/>
      </c>
      <c r="S67" s="739" t="str">
        <f t="shared" si="15"/>
        <v/>
      </c>
      <c r="T67" s="740" t="str">
        <f t="shared" si="16"/>
        <v/>
      </c>
      <c r="U67" s="275"/>
      <c r="V67" s="293"/>
      <c r="W67" s="288"/>
      <c r="X67" s="288"/>
      <c r="Y67" s="908">
        <f t="shared" si="17"/>
        <v>0</v>
      </c>
      <c r="Z67" s="986">
        <f>tab!$D$62</f>
        <v>0.6</v>
      </c>
      <c r="AA67" s="944">
        <f t="shared" si="18"/>
        <v>0</v>
      </c>
      <c r="AB67" s="944">
        <f t="shared" si="19"/>
        <v>0</v>
      </c>
      <c r="AC67" s="944">
        <f t="shared" si="20"/>
        <v>0</v>
      </c>
      <c r="AD67" s="943" t="e">
        <f t="shared" si="21"/>
        <v>#VALUE!</v>
      </c>
      <c r="AE67" s="943">
        <f t="shared" si="22"/>
        <v>0</v>
      </c>
      <c r="AF67" s="916">
        <f>IF(H67&gt;8,tab!$D$63,tab!$D$65)</f>
        <v>0.5</v>
      </c>
      <c r="AG67" s="925">
        <f t="shared" si="23"/>
        <v>0</v>
      </c>
      <c r="AH67" s="940">
        <f t="shared" si="24"/>
        <v>0</v>
      </c>
      <c r="AM67" s="315"/>
    </row>
    <row r="68" spans="2:44" ht="12.75" customHeight="1" x14ac:dyDescent="0.2">
      <c r="B68" s="49"/>
      <c r="C68" s="69"/>
      <c r="D68" s="75" t="str">
        <f>IF(obp!D35="","",obp!D35)</f>
        <v/>
      </c>
      <c r="E68" s="75" t="str">
        <f>IF(obp!E35=0,"",obp!E35)</f>
        <v/>
      </c>
      <c r="F68" s="88" t="str">
        <f>IF(obp!F35="","",obp!F35+1)</f>
        <v/>
      </c>
      <c r="G68" s="290" t="str">
        <f>IF(obp!G35="","",obp!G35)</f>
        <v/>
      </c>
      <c r="H68" s="88" t="str">
        <f>IF(obp!H35=0,"",obp!H35)</f>
        <v/>
      </c>
      <c r="I68" s="99" t="str">
        <f>IF(J68="","",(IF(obp!I35+1&gt;LOOKUP(H68,schaal2019,regels2019),obp!I35,obp!I35+1)))</f>
        <v/>
      </c>
      <c r="J68" s="291" t="str">
        <f>IF(obp!J35="","",obp!J35)</f>
        <v/>
      </c>
      <c r="K68" s="304"/>
      <c r="L68" s="868">
        <f>IF(obp!L35="",0,obp!L35)</f>
        <v>0</v>
      </c>
      <c r="M68" s="868">
        <f>IF(obp!M35="",0,obp!M35)</f>
        <v>0</v>
      </c>
      <c r="N68" s="867" t="str">
        <f t="shared" si="13"/>
        <v/>
      </c>
      <c r="O68" s="867"/>
      <c r="P68" s="953" t="str">
        <f t="shared" si="14"/>
        <v/>
      </c>
      <c r="Q68" s="70"/>
      <c r="R68" s="739" t="str">
        <f t="shared" si="25"/>
        <v/>
      </c>
      <c r="S68" s="739" t="str">
        <f t="shared" si="15"/>
        <v/>
      </c>
      <c r="T68" s="740" t="str">
        <f t="shared" si="16"/>
        <v/>
      </c>
      <c r="U68" s="275"/>
      <c r="V68" s="293"/>
      <c r="W68" s="288"/>
      <c r="X68" s="288"/>
      <c r="Y68" s="908">
        <f t="shared" si="17"/>
        <v>0</v>
      </c>
      <c r="Z68" s="986">
        <f>tab!$D$62</f>
        <v>0.6</v>
      </c>
      <c r="AA68" s="944">
        <f t="shared" si="18"/>
        <v>0</v>
      </c>
      <c r="AB68" s="944">
        <f t="shared" si="19"/>
        <v>0</v>
      </c>
      <c r="AC68" s="944">
        <f t="shared" si="20"/>
        <v>0</v>
      </c>
      <c r="AD68" s="943" t="e">
        <f t="shared" si="21"/>
        <v>#VALUE!</v>
      </c>
      <c r="AE68" s="943">
        <f t="shared" si="22"/>
        <v>0</v>
      </c>
      <c r="AF68" s="916">
        <f>IF(H68&gt;8,tab!$D$63,tab!$D$65)</f>
        <v>0.5</v>
      </c>
      <c r="AG68" s="925">
        <f t="shared" si="23"/>
        <v>0</v>
      </c>
      <c r="AH68" s="940">
        <f t="shared" si="24"/>
        <v>0</v>
      </c>
      <c r="AM68" s="315"/>
    </row>
    <row r="69" spans="2:44" x14ac:dyDescent="0.2">
      <c r="B69" s="49"/>
      <c r="C69" s="69"/>
      <c r="D69" s="89"/>
      <c r="E69" s="89"/>
      <c r="F69" s="98"/>
      <c r="G69" s="299"/>
      <c r="H69" s="98"/>
      <c r="I69" s="362"/>
      <c r="J69" s="742">
        <f>SUM(J49:J68)</f>
        <v>0</v>
      </c>
      <c r="K69" s="292"/>
      <c r="L69" s="869">
        <f>SUM(L49:L68)</f>
        <v>0</v>
      </c>
      <c r="M69" s="869">
        <f>SUM(M49:M68)</f>
        <v>0</v>
      </c>
      <c r="N69" s="869">
        <f>SUM(N49:N68)</f>
        <v>0</v>
      </c>
      <c r="O69" s="869"/>
      <c r="P69" s="869">
        <f>SUM(P49:P68)</f>
        <v>0</v>
      </c>
      <c r="Q69" s="292"/>
      <c r="R69" s="743">
        <f>SUM(R49:R68)</f>
        <v>0</v>
      </c>
      <c r="S69" s="743">
        <f>SUM(S49:S68)</f>
        <v>0</v>
      </c>
      <c r="T69" s="743">
        <f>SUM(T49:T68)</f>
        <v>0</v>
      </c>
      <c r="U69" s="106"/>
      <c r="V69" s="53"/>
      <c r="Y69" s="909">
        <f>SUM(Y49:Y68)</f>
        <v>2590</v>
      </c>
      <c r="Z69" s="983"/>
      <c r="AA69" s="983"/>
      <c r="AB69" s="983"/>
      <c r="AC69" s="983"/>
      <c r="AD69" s="917" t="e">
        <f>SUM(AD49:AD68)</f>
        <v>#VALUE!</v>
      </c>
      <c r="AE69" s="930">
        <f>SUM(AE49:AE68)</f>
        <v>0</v>
      </c>
      <c r="AF69" s="909"/>
      <c r="AG69" s="928">
        <f>SUM(AG49:AG68)</f>
        <v>0</v>
      </c>
      <c r="AH69" s="937">
        <f>SUM(AH49:AH68)</f>
        <v>0</v>
      </c>
    </row>
    <row r="70" spans="2:44" x14ac:dyDescent="0.2">
      <c r="B70" s="124"/>
      <c r="C70" s="1059"/>
      <c r="D70" s="1060"/>
      <c r="E70" s="1060"/>
      <c r="F70" s="1061"/>
      <c r="G70" s="1062"/>
      <c r="H70" s="1061"/>
      <c r="I70" s="1063"/>
      <c r="J70" s="1064"/>
      <c r="K70" s="1063"/>
      <c r="L70" s="1063"/>
      <c r="M70" s="1063"/>
      <c r="N70" s="1063"/>
      <c r="O70" s="1063"/>
      <c r="P70" s="1063"/>
      <c r="Q70" s="1063"/>
      <c r="R70" s="1065"/>
      <c r="S70" s="1066"/>
      <c r="T70" s="1066"/>
      <c r="U70" s="1067"/>
      <c r="V70" s="126"/>
      <c r="Y70" s="881"/>
      <c r="Z70" s="983"/>
      <c r="AA70" s="983"/>
      <c r="AB70" s="983"/>
      <c r="AC70" s="983"/>
      <c r="AE70" s="911"/>
      <c r="AF70" s="909"/>
      <c r="AG70" s="928"/>
      <c r="AH70" s="937"/>
    </row>
    <row r="71" spans="2:44" ht="12.75" customHeight="1" x14ac:dyDescent="0.2">
      <c r="B71" s="43"/>
      <c r="C71" s="44"/>
      <c r="D71" s="218"/>
      <c r="E71" s="218"/>
      <c r="F71" s="128"/>
      <c r="G71" s="219"/>
      <c r="H71" s="128"/>
      <c r="I71" s="220"/>
      <c r="J71" s="1056"/>
      <c r="K71" s="44"/>
      <c r="L71" s="220"/>
      <c r="M71" s="220"/>
      <c r="N71" s="220"/>
      <c r="O71" s="220"/>
      <c r="P71" s="220"/>
      <c r="Q71" s="44"/>
      <c r="R71" s="1057"/>
      <c r="S71" s="349"/>
      <c r="T71" s="1058"/>
      <c r="U71" s="44"/>
      <c r="V71" s="47"/>
      <c r="Y71" s="908"/>
      <c r="Z71" s="371"/>
      <c r="AA71" s="371"/>
      <c r="AB71" s="371"/>
      <c r="AC71" s="371"/>
      <c r="AE71" s="911"/>
      <c r="AF71" s="905"/>
      <c r="AG71" s="925"/>
      <c r="AH71" s="940"/>
    </row>
    <row r="72" spans="2:44" ht="12.75" customHeight="1" x14ac:dyDescent="0.2">
      <c r="B72" s="49"/>
      <c r="C72" s="50"/>
      <c r="D72" s="176"/>
      <c r="E72" s="176"/>
      <c r="F72" s="129"/>
      <c r="G72" s="224"/>
      <c r="H72" s="129"/>
      <c r="I72" s="225"/>
      <c r="J72" s="351"/>
      <c r="K72" s="50"/>
      <c r="L72" s="225"/>
      <c r="M72" s="225"/>
      <c r="N72" s="225"/>
      <c r="O72" s="225"/>
      <c r="P72" s="225"/>
      <c r="Q72" s="50"/>
      <c r="R72" s="366"/>
      <c r="S72" s="352"/>
      <c r="T72" s="629"/>
      <c r="U72" s="50"/>
      <c r="V72" s="53"/>
      <c r="Y72" s="908"/>
      <c r="Z72" s="371"/>
      <c r="AA72" s="371"/>
      <c r="AB72" s="371"/>
      <c r="AC72" s="371"/>
      <c r="AE72" s="911"/>
      <c r="AF72" s="905"/>
      <c r="AG72" s="925"/>
      <c r="AH72" s="940"/>
    </row>
    <row r="73" spans="2:44" ht="12.75" customHeight="1" x14ac:dyDescent="0.2">
      <c r="B73" s="49"/>
      <c r="C73" s="50" t="s">
        <v>165</v>
      </c>
      <c r="D73" s="176"/>
      <c r="E73" s="270" t="str">
        <f>dir!E57</f>
        <v>2021/22</v>
      </c>
      <c r="F73" s="129"/>
      <c r="G73" s="224"/>
      <c r="H73" s="129"/>
      <c r="I73" s="225"/>
      <c r="J73" s="351"/>
      <c r="K73" s="50"/>
      <c r="L73" s="225"/>
      <c r="M73" s="225"/>
      <c r="N73" s="225"/>
      <c r="O73" s="225"/>
      <c r="P73" s="225"/>
      <c r="Q73" s="50"/>
      <c r="R73" s="366"/>
      <c r="S73" s="352"/>
      <c r="T73" s="629"/>
      <c r="U73" s="50"/>
      <c r="V73" s="53"/>
      <c r="Y73" s="908"/>
      <c r="Z73" s="371"/>
      <c r="AA73" s="371"/>
      <c r="AB73" s="371"/>
      <c r="AC73" s="371"/>
      <c r="AE73" s="911"/>
      <c r="AF73" s="905"/>
      <c r="AG73" s="925"/>
      <c r="AH73" s="940"/>
    </row>
    <row r="74" spans="2:44" ht="12.75" customHeight="1" x14ac:dyDescent="0.2">
      <c r="B74" s="49"/>
      <c r="C74" s="50" t="s">
        <v>187</v>
      </c>
      <c r="D74" s="176"/>
      <c r="E74" s="270">
        <f>dir!E58</f>
        <v>44470</v>
      </c>
      <c r="F74" s="129"/>
      <c r="G74" s="224"/>
      <c r="H74" s="129"/>
      <c r="I74" s="225"/>
      <c r="J74" s="351"/>
      <c r="K74" s="50"/>
      <c r="L74" s="225"/>
      <c r="M74" s="225"/>
      <c r="N74" s="225"/>
      <c r="O74" s="225"/>
      <c r="P74" s="225"/>
      <c r="Q74" s="50"/>
      <c r="R74" s="366"/>
      <c r="S74" s="352"/>
      <c r="T74" s="629"/>
      <c r="U74" s="50"/>
      <c r="V74" s="53"/>
      <c r="Y74" s="908"/>
      <c r="Z74" s="371"/>
      <c r="AA74" s="371"/>
      <c r="AB74" s="371"/>
      <c r="AC74" s="371"/>
      <c r="AE74" s="911"/>
      <c r="AF74" s="905"/>
      <c r="AG74" s="925"/>
      <c r="AH74" s="940"/>
    </row>
    <row r="75" spans="2:44" ht="12.75" customHeight="1" x14ac:dyDescent="0.2">
      <c r="B75" s="49"/>
      <c r="C75" s="50"/>
      <c r="D75" s="176"/>
      <c r="E75" s="176"/>
      <c r="F75" s="129"/>
      <c r="G75" s="224"/>
      <c r="H75" s="129"/>
      <c r="I75" s="225"/>
      <c r="J75" s="351"/>
      <c r="K75" s="50"/>
      <c r="L75" s="225"/>
      <c r="M75" s="225"/>
      <c r="N75" s="225"/>
      <c r="O75" s="225"/>
      <c r="P75" s="225"/>
      <c r="Q75" s="50"/>
      <c r="R75" s="366"/>
      <c r="S75" s="352"/>
      <c r="T75" s="629"/>
      <c r="U75" s="50"/>
      <c r="V75" s="53"/>
      <c r="Y75" s="908"/>
      <c r="Z75" s="371"/>
      <c r="AA75" s="371"/>
      <c r="AB75" s="371"/>
      <c r="AC75" s="371"/>
      <c r="AE75" s="911"/>
      <c r="AF75" s="905"/>
      <c r="AG75" s="925"/>
      <c r="AH75" s="940"/>
    </row>
    <row r="76" spans="2:44" ht="12.75" customHeight="1" x14ac:dyDescent="0.2">
      <c r="B76" s="49"/>
      <c r="C76" s="757"/>
      <c r="D76" s="724"/>
      <c r="E76" s="723"/>
      <c r="F76" s="704"/>
      <c r="G76" s="725"/>
      <c r="H76" s="726"/>
      <c r="I76" s="726"/>
      <c r="J76" s="727"/>
      <c r="K76" s="728"/>
      <c r="L76" s="726"/>
      <c r="M76" s="726"/>
      <c r="N76" s="726"/>
      <c r="O76" s="726"/>
      <c r="P76" s="726"/>
      <c r="Q76" s="728"/>
      <c r="R76" s="728"/>
      <c r="S76" s="728"/>
      <c r="T76" s="626"/>
      <c r="U76" s="119"/>
      <c r="V76" s="53"/>
      <c r="Z76" s="709"/>
      <c r="AA76" s="709"/>
      <c r="AB76" s="709"/>
      <c r="AC76" s="709"/>
      <c r="AE76" s="911"/>
      <c r="AI76" s="260"/>
      <c r="AJ76" s="260"/>
      <c r="AK76" s="260"/>
      <c r="AL76" s="212"/>
      <c r="AM76" s="211"/>
      <c r="AN76" s="213"/>
      <c r="AO76" s="261"/>
      <c r="AP76" s="212"/>
    </row>
    <row r="77" spans="2:44" ht="12.75" customHeight="1" x14ac:dyDescent="0.2">
      <c r="B77" s="49"/>
      <c r="C77" s="758"/>
      <c r="D77" s="864" t="s">
        <v>298</v>
      </c>
      <c r="E77" s="865"/>
      <c r="F77" s="865"/>
      <c r="G77" s="865"/>
      <c r="H77" s="866"/>
      <c r="I77" s="866"/>
      <c r="J77" s="866"/>
      <c r="K77" s="968"/>
      <c r="L77" s="864" t="s">
        <v>492</v>
      </c>
      <c r="M77" s="858"/>
      <c r="N77" s="864"/>
      <c r="O77" s="864"/>
      <c r="P77" s="951"/>
      <c r="Q77" s="730"/>
      <c r="R77" s="864" t="s">
        <v>494</v>
      </c>
      <c r="S77" s="866"/>
      <c r="T77" s="935"/>
      <c r="U77" s="746"/>
      <c r="V77" s="278"/>
      <c r="W77" s="279"/>
      <c r="X77" s="279"/>
      <c r="Y77" s="882"/>
      <c r="Z77" s="913"/>
      <c r="AA77" s="882"/>
      <c r="AB77" s="882"/>
      <c r="AC77" s="882"/>
      <c r="AD77" s="912"/>
      <c r="AE77" s="912"/>
      <c r="AF77" s="913"/>
      <c r="AG77" s="933"/>
      <c r="AH77" s="941"/>
      <c r="AI77" s="923"/>
      <c r="AJ77" s="923"/>
      <c r="AK77" s="923"/>
      <c r="AL77" s="923"/>
      <c r="AM77" s="923"/>
      <c r="AO77" s="48"/>
      <c r="AP77" s="48"/>
      <c r="AQ77" s="367"/>
      <c r="AR77" s="367"/>
    </row>
    <row r="78" spans="2:44" ht="12.75" customHeight="1" x14ac:dyDescent="0.2">
      <c r="B78" s="49"/>
      <c r="C78" s="758"/>
      <c r="D78" s="693" t="s">
        <v>480</v>
      </c>
      <c r="E78" s="693" t="s">
        <v>171</v>
      </c>
      <c r="F78" s="732" t="s">
        <v>119</v>
      </c>
      <c r="G78" s="733" t="s">
        <v>289</v>
      </c>
      <c r="H78" s="732" t="s">
        <v>201</v>
      </c>
      <c r="I78" s="732" t="s">
        <v>229</v>
      </c>
      <c r="J78" s="734" t="s">
        <v>122</v>
      </c>
      <c r="K78" s="969"/>
      <c r="L78" s="735" t="s">
        <v>475</v>
      </c>
      <c r="M78" s="735" t="s">
        <v>468</v>
      </c>
      <c r="N78" s="735" t="s">
        <v>482</v>
      </c>
      <c r="O78" s="735" t="s">
        <v>475</v>
      </c>
      <c r="P78" s="952" t="s">
        <v>487</v>
      </c>
      <c r="Q78" s="702"/>
      <c r="R78" s="863" t="s">
        <v>186</v>
      </c>
      <c r="S78" s="737" t="s">
        <v>493</v>
      </c>
      <c r="T78" s="738" t="s">
        <v>186</v>
      </c>
      <c r="U78" s="747"/>
      <c r="V78" s="281"/>
      <c r="W78" s="282"/>
      <c r="X78" s="282"/>
      <c r="Y78" s="914" t="s">
        <v>322</v>
      </c>
      <c r="Z78" s="960" t="s">
        <v>479</v>
      </c>
      <c r="AA78" s="903" t="s">
        <v>488</v>
      </c>
      <c r="AB78" s="903" t="s">
        <v>488</v>
      </c>
      <c r="AC78" s="903" t="s">
        <v>491</v>
      </c>
      <c r="AD78" s="915" t="s">
        <v>473</v>
      </c>
      <c r="AE78" s="915" t="s">
        <v>474</v>
      </c>
      <c r="AF78" s="902" t="s">
        <v>470</v>
      </c>
      <c r="AG78" s="934" t="s">
        <v>306</v>
      </c>
      <c r="AH78" s="941" t="s">
        <v>415</v>
      </c>
      <c r="AI78" s="902" t="s">
        <v>292</v>
      </c>
      <c r="AJ78" s="902" t="s">
        <v>293</v>
      </c>
      <c r="AK78" s="902" t="s">
        <v>121</v>
      </c>
      <c r="AL78" s="902" t="s">
        <v>198</v>
      </c>
      <c r="AM78" s="915" t="s">
        <v>173</v>
      </c>
      <c r="AO78" s="48"/>
      <c r="AP78" s="48"/>
      <c r="AQ78" s="367"/>
      <c r="AR78" s="369"/>
    </row>
    <row r="79" spans="2:44" ht="12.75" customHeight="1" x14ac:dyDescent="0.2">
      <c r="B79" s="49"/>
      <c r="C79" s="758"/>
      <c r="D79" s="865"/>
      <c r="E79" s="693"/>
      <c r="F79" s="732" t="s">
        <v>120</v>
      </c>
      <c r="G79" s="733" t="s">
        <v>290</v>
      </c>
      <c r="H79" s="732"/>
      <c r="I79" s="732"/>
      <c r="J79" s="734"/>
      <c r="K79" s="969"/>
      <c r="L79" s="735" t="s">
        <v>476</v>
      </c>
      <c r="M79" s="735" t="s">
        <v>478</v>
      </c>
      <c r="N79" s="735" t="s">
        <v>483</v>
      </c>
      <c r="O79" s="735" t="s">
        <v>477</v>
      </c>
      <c r="P79" s="952" t="s">
        <v>284</v>
      </c>
      <c r="Q79" s="702"/>
      <c r="R79" s="706" t="s">
        <v>485</v>
      </c>
      <c r="S79" s="737" t="s">
        <v>469</v>
      </c>
      <c r="T79" s="738" t="s">
        <v>284</v>
      </c>
      <c r="U79" s="710"/>
      <c r="V79" s="58"/>
      <c r="W79" s="81"/>
      <c r="X79" s="81"/>
      <c r="Y79" s="914" t="s">
        <v>193</v>
      </c>
      <c r="Z79" s="961">
        <f>tab!$D$62</f>
        <v>0.6</v>
      </c>
      <c r="AA79" s="903" t="s">
        <v>489</v>
      </c>
      <c r="AB79" s="903" t="s">
        <v>490</v>
      </c>
      <c r="AC79" s="903" t="s">
        <v>486</v>
      </c>
      <c r="AD79" s="915" t="s">
        <v>472</v>
      </c>
      <c r="AE79" s="915" t="s">
        <v>472</v>
      </c>
      <c r="AF79" s="902" t="s">
        <v>471</v>
      </c>
      <c r="AG79" s="934"/>
      <c r="AH79" s="940" t="s">
        <v>228</v>
      </c>
      <c r="AI79" s="915" t="s">
        <v>291</v>
      </c>
      <c r="AJ79" s="915" t="s">
        <v>291</v>
      </c>
      <c r="AK79" s="902"/>
      <c r="AL79" s="902" t="s">
        <v>173</v>
      </c>
      <c r="AM79" s="915"/>
      <c r="AO79" s="48"/>
      <c r="AP79" s="48"/>
      <c r="AR79" s="288"/>
    </row>
    <row r="80" spans="2:44" ht="12.75" customHeight="1" x14ac:dyDescent="0.2">
      <c r="B80" s="49"/>
      <c r="C80" s="758"/>
      <c r="D80" s="865"/>
      <c r="E80" s="865"/>
      <c r="F80" s="703"/>
      <c r="G80" s="748"/>
      <c r="H80" s="732"/>
      <c r="I80" s="732"/>
      <c r="J80" s="734"/>
      <c r="K80" s="736"/>
      <c r="L80" s="735"/>
      <c r="M80" s="735"/>
      <c r="N80" s="735"/>
      <c r="O80" s="735"/>
      <c r="P80" s="735"/>
      <c r="Q80" s="736"/>
      <c r="R80" s="749"/>
      <c r="S80" s="749"/>
      <c r="T80" s="363"/>
      <c r="U80" s="344"/>
      <c r="V80" s="53"/>
      <c r="Y80" s="914"/>
      <c r="Z80" s="982"/>
      <c r="AA80" s="982"/>
      <c r="AB80" s="982"/>
      <c r="AC80" s="982"/>
      <c r="AD80" s="915"/>
      <c r="AE80" s="915"/>
      <c r="AF80" s="901"/>
      <c r="AG80" s="934"/>
      <c r="AH80" s="940"/>
      <c r="AO80" s="48"/>
      <c r="AP80" s="48"/>
      <c r="AR80" s="288"/>
    </row>
    <row r="81" spans="2:39" ht="12.75" customHeight="1" x14ac:dyDescent="0.2">
      <c r="B81" s="49"/>
      <c r="C81" s="69"/>
      <c r="D81" s="75" t="str">
        <f>IF(obp!D49=0,"",obp!D49)</f>
        <v/>
      </c>
      <c r="E81" s="75" t="str">
        <f>IF(obp!E49=0,"",obp!E49)</f>
        <v>piet</v>
      </c>
      <c r="F81" s="88">
        <f>IF(obp!F49="","",obp!F49+1)</f>
        <v>42</v>
      </c>
      <c r="G81" s="290" t="str">
        <f>IF(obp!G49="","",obp!G49)</f>
        <v/>
      </c>
      <c r="H81" s="88">
        <f>IF(obp!H49=0,"",obp!H49)</f>
        <v>8</v>
      </c>
      <c r="I81" s="99">
        <f>IF(J81="","",(IF(obp!I49+1&gt;LOOKUP(H81,schaal2019,regels2019),obp!I49,obp!I49+1)))</f>
        <v>6</v>
      </c>
      <c r="J81" s="291">
        <f>IF(obp!J49="","",obp!J49)</f>
        <v>0</v>
      </c>
      <c r="K81" s="304"/>
      <c r="L81" s="868">
        <f>IF(obp!L49="","",obp!L49)</f>
        <v>0</v>
      </c>
      <c r="M81" s="868">
        <f>IF(obp!M49="","",obp!M49)</f>
        <v>0</v>
      </c>
      <c r="N81" s="867">
        <f t="shared" ref="N81:N100" si="26">IF(J81="","",IF((J81*40)&gt;40,40,((J81*40))))</f>
        <v>0</v>
      </c>
      <c r="O81" s="867"/>
      <c r="P81" s="953">
        <f t="shared" ref="P81:P100" si="27">IF(J81="","",(SUM(L81:O81)))</f>
        <v>0</v>
      </c>
      <c r="Q81" s="70"/>
      <c r="R81" s="739">
        <f>IF(J81="","",(((1659*J81)-P81)*AB81))</f>
        <v>0</v>
      </c>
      <c r="S81" s="739">
        <f t="shared" ref="S81:S100" si="28">IF(J81="","",(P81*AC81)+(AA81*AD81)+((AE81*AA81*(1-AF81))))</f>
        <v>0</v>
      </c>
      <c r="T81" s="740">
        <f t="shared" ref="T81:T100" si="29">IF(J81="","",(R81+S81))</f>
        <v>0</v>
      </c>
      <c r="U81" s="275"/>
      <c r="V81" s="293"/>
      <c r="W81" s="288"/>
      <c r="X81" s="288"/>
      <c r="Y81" s="908">
        <f t="shared" ref="Y81:Y100" si="30">IF(H81="",0,5/12*VLOOKUP(H81,salaris2020,I81+1,FALSE)+7/12*VLOOKUP(H81,salaris2020,I81+1,FALSE))</f>
        <v>2719</v>
      </c>
      <c r="Z81" s="986">
        <f>tab!$D$62</f>
        <v>0.6</v>
      </c>
      <c r="AA81" s="944">
        <f t="shared" ref="AA81:AA100" si="31">(Y81*12/1659)</f>
        <v>19.667269439421339</v>
      </c>
      <c r="AB81" s="944">
        <f t="shared" ref="AB81:AB100" si="32">(Y81*12*(1+Z81))/1659</f>
        <v>31.467631103074144</v>
      </c>
      <c r="AC81" s="944">
        <f t="shared" ref="AC81:AC100" si="33">AB81-AA81</f>
        <v>11.800361663652804</v>
      </c>
      <c r="AD81" s="943">
        <f t="shared" ref="AD81:AD100" si="34">(N81+O81)</f>
        <v>0</v>
      </c>
      <c r="AE81" s="943">
        <f t="shared" ref="AE81:AE100" si="35">(L81+M81)</f>
        <v>0</v>
      </c>
      <c r="AF81" s="916">
        <f>IF(H81&gt;8,tab!$D$63,tab!$D$65)</f>
        <v>0.4</v>
      </c>
      <c r="AG81" s="925">
        <f t="shared" ref="AG81:AG100" si="36">IF(F81&lt;25,0,IF(F81=25,25,IF(F81&lt;40,0,IF(F81=40,40,IF(F81&gt;=40,0)))))</f>
        <v>0</v>
      </c>
      <c r="AH81" s="940">
        <f t="shared" ref="AH81:AH100" si="37">IF(AG81=25,(Y81*1.08*(J81)/2),IF(AG81=40,(Y81*1.08*(J81)),IF(AG81=0,0)))</f>
        <v>0</v>
      </c>
      <c r="AM81" s="315"/>
    </row>
    <row r="82" spans="2:39" ht="12.75" customHeight="1" x14ac:dyDescent="0.2">
      <c r="B82" s="49"/>
      <c r="C82" s="69"/>
      <c r="D82" s="75" t="str">
        <f>IF(obp!D50=0,"",obp!D50)</f>
        <v/>
      </c>
      <c r="E82" s="75" t="str">
        <f>IF(obp!E50=0,"",obp!E50)</f>
        <v/>
      </c>
      <c r="F82" s="88" t="str">
        <f>IF(obp!F50="","",obp!F50+1)</f>
        <v/>
      </c>
      <c r="G82" s="290" t="str">
        <f>IF(obp!G50="","",obp!G50)</f>
        <v/>
      </c>
      <c r="H82" s="88" t="str">
        <f>IF(obp!H50=0,"",obp!H50)</f>
        <v/>
      </c>
      <c r="I82" s="99" t="str">
        <f>IF(J82="","",(IF(obp!I50+1&gt;LOOKUP(H82,schaal2019,regels2019),obp!I50,obp!I50+1)))</f>
        <v/>
      </c>
      <c r="J82" s="291" t="str">
        <f>IF(obp!J50="","",obp!J50)</f>
        <v/>
      </c>
      <c r="K82" s="304"/>
      <c r="L82" s="868">
        <f>IF(obp!L50="","",obp!L50)</f>
        <v>0</v>
      </c>
      <c r="M82" s="868">
        <f>IF(obp!M50="","",obp!M50)</f>
        <v>0</v>
      </c>
      <c r="N82" s="867" t="str">
        <f t="shared" si="26"/>
        <v/>
      </c>
      <c r="O82" s="867"/>
      <c r="P82" s="953" t="str">
        <f t="shared" si="27"/>
        <v/>
      </c>
      <c r="Q82" s="70"/>
      <c r="R82" s="739" t="str">
        <f t="shared" ref="R82:R100" si="38">IF(J82="","",(((1659*J82)-P82)*AB82))</f>
        <v/>
      </c>
      <c r="S82" s="739" t="str">
        <f t="shared" si="28"/>
        <v/>
      </c>
      <c r="T82" s="740" t="str">
        <f t="shared" si="29"/>
        <v/>
      </c>
      <c r="U82" s="275"/>
      <c r="V82" s="293"/>
      <c r="W82" s="288"/>
      <c r="X82" s="288"/>
      <c r="Y82" s="908">
        <f t="shared" si="30"/>
        <v>0</v>
      </c>
      <c r="Z82" s="986">
        <f>tab!$D$62</f>
        <v>0.6</v>
      </c>
      <c r="AA82" s="944">
        <f t="shared" si="31"/>
        <v>0</v>
      </c>
      <c r="AB82" s="944">
        <f t="shared" si="32"/>
        <v>0</v>
      </c>
      <c r="AC82" s="944">
        <f t="shared" si="33"/>
        <v>0</v>
      </c>
      <c r="AD82" s="943" t="e">
        <f t="shared" si="34"/>
        <v>#VALUE!</v>
      </c>
      <c r="AE82" s="943">
        <f t="shared" si="35"/>
        <v>0</v>
      </c>
      <c r="AF82" s="916">
        <f>IF(H82&gt;8,tab!$D$63,tab!$D$65)</f>
        <v>0.5</v>
      </c>
      <c r="AG82" s="925">
        <f t="shared" si="36"/>
        <v>0</v>
      </c>
      <c r="AH82" s="940">
        <f t="shared" si="37"/>
        <v>0</v>
      </c>
      <c r="AM82" s="315"/>
    </row>
    <row r="83" spans="2:39" ht="12.75" customHeight="1" x14ac:dyDescent="0.2">
      <c r="B83" s="49"/>
      <c r="C83" s="69"/>
      <c r="D83" s="75" t="str">
        <f>IF(obp!D51=0,"",obp!D51)</f>
        <v/>
      </c>
      <c r="E83" s="75" t="str">
        <f>IF(obp!E51=0,"",obp!E51)</f>
        <v/>
      </c>
      <c r="F83" s="88" t="str">
        <f>IF(obp!F51="","",obp!F51+1)</f>
        <v/>
      </c>
      <c r="G83" s="290" t="str">
        <f>IF(obp!G51="","",obp!G51)</f>
        <v/>
      </c>
      <c r="H83" s="88" t="str">
        <f>IF(obp!H51=0,"",obp!H51)</f>
        <v/>
      </c>
      <c r="I83" s="99" t="str">
        <f>IF(J83="","",(IF(obp!I51+1&gt;LOOKUP(H83,schaal2019,regels2019),obp!I51,obp!I51+1)))</f>
        <v/>
      </c>
      <c r="J83" s="291" t="str">
        <f>IF(obp!J51="","",obp!J51)</f>
        <v/>
      </c>
      <c r="K83" s="304"/>
      <c r="L83" s="868">
        <f>IF(obp!L51="","",obp!L51)</f>
        <v>0</v>
      </c>
      <c r="M83" s="868">
        <f>IF(obp!M51="","",obp!M51)</f>
        <v>0</v>
      </c>
      <c r="N83" s="867" t="str">
        <f t="shared" si="26"/>
        <v/>
      </c>
      <c r="O83" s="867"/>
      <c r="P83" s="953" t="str">
        <f t="shared" si="27"/>
        <v/>
      </c>
      <c r="Q83" s="70"/>
      <c r="R83" s="739" t="str">
        <f t="shared" si="38"/>
        <v/>
      </c>
      <c r="S83" s="739" t="str">
        <f t="shared" si="28"/>
        <v/>
      </c>
      <c r="T83" s="740" t="str">
        <f t="shared" si="29"/>
        <v/>
      </c>
      <c r="U83" s="275"/>
      <c r="V83" s="293"/>
      <c r="W83" s="288"/>
      <c r="X83" s="288"/>
      <c r="Y83" s="908">
        <f t="shared" si="30"/>
        <v>0</v>
      </c>
      <c r="Z83" s="986">
        <f>tab!$D$62</f>
        <v>0.6</v>
      </c>
      <c r="AA83" s="944">
        <f t="shared" si="31"/>
        <v>0</v>
      </c>
      <c r="AB83" s="944">
        <f t="shared" si="32"/>
        <v>0</v>
      </c>
      <c r="AC83" s="944">
        <f t="shared" si="33"/>
        <v>0</v>
      </c>
      <c r="AD83" s="943" t="e">
        <f t="shared" si="34"/>
        <v>#VALUE!</v>
      </c>
      <c r="AE83" s="943">
        <f t="shared" si="35"/>
        <v>0</v>
      </c>
      <c r="AF83" s="916">
        <f>IF(H83&gt;8,tab!$D$63,tab!$D$65)</f>
        <v>0.5</v>
      </c>
      <c r="AG83" s="925">
        <f t="shared" si="36"/>
        <v>0</v>
      </c>
      <c r="AH83" s="940">
        <f t="shared" si="37"/>
        <v>0</v>
      </c>
      <c r="AM83" s="315"/>
    </row>
    <row r="84" spans="2:39" ht="12.75" customHeight="1" x14ac:dyDescent="0.2">
      <c r="B84" s="49"/>
      <c r="C84" s="69"/>
      <c r="D84" s="75" t="str">
        <f>IF(obp!D52=0,"",obp!D52)</f>
        <v/>
      </c>
      <c r="E84" s="75" t="str">
        <f>IF(obp!E52=0,"",obp!E52)</f>
        <v/>
      </c>
      <c r="F84" s="88" t="str">
        <f>IF(obp!F52="","",obp!F52+1)</f>
        <v/>
      </c>
      <c r="G84" s="290" t="str">
        <f>IF(obp!G52="","",obp!G52)</f>
        <v/>
      </c>
      <c r="H84" s="88" t="str">
        <f>IF(obp!H52=0,"",obp!H52)</f>
        <v/>
      </c>
      <c r="I84" s="99" t="str">
        <f>IF(J84="","",(IF(obp!I52+1&gt;LOOKUP(H84,schaal2019,regels2019),obp!I52,obp!I52+1)))</f>
        <v/>
      </c>
      <c r="J84" s="291" t="str">
        <f>IF(obp!J52="","",obp!J52)</f>
        <v/>
      </c>
      <c r="K84" s="304"/>
      <c r="L84" s="868">
        <f>IF(obp!L52="","",obp!L52)</f>
        <v>0</v>
      </c>
      <c r="M84" s="868">
        <f>IF(obp!M52="","",obp!M52)</f>
        <v>0</v>
      </c>
      <c r="N84" s="867" t="str">
        <f t="shared" si="26"/>
        <v/>
      </c>
      <c r="O84" s="867"/>
      <c r="P84" s="953" t="str">
        <f t="shared" si="27"/>
        <v/>
      </c>
      <c r="Q84" s="70"/>
      <c r="R84" s="739" t="str">
        <f t="shared" si="38"/>
        <v/>
      </c>
      <c r="S84" s="739" t="str">
        <f t="shared" si="28"/>
        <v/>
      </c>
      <c r="T84" s="740" t="str">
        <f t="shared" si="29"/>
        <v/>
      </c>
      <c r="U84" s="275"/>
      <c r="V84" s="293"/>
      <c r="W84" s="288"/>
      <c r="X84" s="288"/>
      <c r="Y84" s="908">
        <f t="shared" si="30"/>
        <v>0</v>
      </c>
      <c r="Z84" s="986">
        <f>tab!$D$62</f>
        <v>0.6</v>
      </c>
      <c r="AA84" s="944">
        <f t="shared" si="31"/>
        <v>0</v>
      </c>
      <c r="AB84" s="944">
        <f t="shared" si="32"/>
        <v>0</v>
      </c>
      <c r="AC84" s="944">
        <f t="shared" si="33"/>
        <v>0</v>
      </c>
      <c r="AD84" s="943" t="e">
        <f t="shared" si="34"/>
        <v>#VALUE!</v>
      </c>
      <c r="AE84" s="943">
        <f t="shared" si="35"/>
        <v>0</v>
      </c>
      <c r="AF84" s="916">
        <f>IF(H84&gt;8,tab!$D$63,tab!$D$65)</f>
        <v>0.5</v>
      </c>
      <c r="AG84" s="925">
        <f t="shared" si="36"/>
        <v>0</v>
      </c>
      <c r="AH84" s="940">
        <f t="shared" si="37"/>
        <v>0</v>
      </c>
      <c r="AM84" s="315"/>
    </row>
    <row r="85" spans="2:39" ht="12.75" customHeight="1" x14ac:dyDescent="0.2">
      <c r="B85" s="49"/>
      <c r="C85" s="69"/>
      <c r="D85" s="75" t="str">
        <f>IF(obp!D53=0,"",obp!D53)</f>
        <v/>
      </c>
      <c r="E85" s="75" t="str">
        <f>IF(obp!E53=0,"",obp!E53)</f>
        <v/>
      </c>
      <c r="F85" s="88" t="str">
        <f>IF(obp!F53="","",obp!F53+1)</f>
        <v/>
      </c>
      <c r="G85" s="290" t="str">
        <f>IF(obp!G53="","",obp!G53)</f>
        <v/>
      </c>
      <c r="H85" s="88" t="str">
        <f>IF(obp!H53=0,"",obp!H53)</f>
        <v/>
      </c>
      <c r="I85" s="99" t="str">
        <f>IF(J85="","",(IF(obp!I53+1&gt;LOOKUP(H85,schaal2019,regels2019),obp!I53,obp!I53+1)))</f>
        <v/>
      </c>
      <c r="J85" s="291" t="str">
        <f>IF(obp!J53="","",obp!J53)</f>
        <v/>
      </c>
      <c r="K85" s="304"/>
      <c r="L85" s="868">
        <f>IF(obp!L53="","",obp!L53)</f>
        <v>0</v>
      </c>
      <c r="M85" s="868">
        <f>IF(obp!M53="","",obp!M53)</f>
        <v>0</v>
      </c>
      <c r="N85" s="867" t="str">
        <f t="shared" si="26"/>
        <v/>
      </c>
      <c r="O85" s="867"/>
      <c r="P85" s="953" t="str">
        <f t="shared" si="27"/>
        <v/>
      </c>
      <c r="Q85" s="70"/>
      <c r="R85" s="739" t="str">
        <f t="shared" si="38"/>
        <v/>
      </c>
      <c r="S85" s="739" t="str">
        <f t="shared" si="28"/>
        <v/>
      </c>
      <c r="T85" s="740" t="str">
        <f t="shared" si="29"/>
        <v/>
      </c>
      <c r="U85" s="275"/>
      <c r="V85" s="293"/>
      <c r="W85" s="288"/>
      <c r="X85" s="288"/>
      <c r="Y85" s="908">
        <f t="shared" si="30"/>
        <v>0</v>
      </c>
      <c r="Z85" s="986">
        <f>tab!$D$62</f>
        <v>0.6</v>
      </c>
      <c r="AA85" s="944">
        <f t="shared" si="31"/>
        <v>0</v>
      </c>
      <c r="AB85" s="944">
        <f t="shared" si="32"/>
        <v>0</v>
      </c>
      <c r="AC85" s="944">
        <f t="shared" si="33"/>
        <v>0</v>
      </c>
      <c r="AD85" s="943" t="e">
        <f t="shared" si="34"/>
        <v>#VALUE!</v>
      </c>
      <c r="AE85" s="943">
        <f t="shared" si="35"/>
        <v>0</v>
      </c>
      <c r="AF85" s="916">
        <f>IF(H85&gt;8,tab!$D$63,tab!$D$65)</f>
        <v>0.5</v>
      </c>
      <c r="AG85" s="925">
        <f t="shared" si="36"/>
        <v>0</v>
      </c>
      <c r="AH85" s="940">
        <f t="shared" si="37"/>
        <v>0</v>
      </c>
      <c r="AM85" s="315"/>
    </row>
    <row r="86" spans="2:39" ht="12.75" customHeight="1" x14ac:dyDescent="0.2">
      <c r="B86" s="49"/>
      <c r="C86" s="69"/>
      <c r="D86" s="75" t="str">
        <f>IF(obp!D54=0,"",obp!D54)</f>
        <v/>
      </c>
      <c r="E86" s="75" t="str">
        <f>IF(obp!E54=0,"",obp!E54)</f>
        <v/>
      </c>
      <c r="F86" s="88" t="str">
        <f>IF(obp!F54="","",obp!F54+1)</f>
        <v/>
      </c>
      <c r="G86" s="290" t="str">
        <f>IF(obp!G54="","",obp!G54)</f>
        <v/>
      </c>
      <c r="H86" s="88" t="str">
        <f>IF(obp!H54=0,"",obp!H54)</f>
        <v/>
      </c>
      <c r="I86" s="99" t="str">
        <f>IF(J86="","",(IF(obp!I54+1&gt;LOOKUP(H86,schaal2019,regels2019),obp!I54,obp!I54+1)))</f>
        <v/>
      </c>
      <c r="J86" s="291" t="str">
        <f>IF(obp!J54="","",obp!J54)</f>
        <v/>
      </c>
      <c r="K86" s="304"/>
      <c r="L86" s="868">
        <f>IF(obp!L54="","",obp!L54)</f>
        <v>0</v>
      </c>
      <c r="M86" s="868">
        <f>IF(obp!M54="","",obp!M54)</f>
        <v>0</v>
      </c>
      <c r="N86" s="867" t="str">
        <f t="shared" si="26"/>
        <v/>
      </c>
      <c r="O86" s="867"/>
      <c r="P86" s="953" t="str">
        <f t="shared" si="27"/>
        <v/>
      </c>
      <c r="Q86" s="70"/>
      <c r="R86" s="739" t="str">
        <f t="shared" si="38"/>
        <v/>
      </c>
      <c r="S86" s="739" t="str">
        <f t="shared" si="28"/>
        <v/>
      </c>
      <c r="T86" s="740" t="str">
        <f t="shared" si="29"/>
        <v/>
      </c>
      <c r="U86" s="275"/>
      <c r="V86" s="293"/>
      <c r="W86" s="288"/>
      <c r="X86" s="288"/>
      <c r="Y86" s="908">
        <f t="shared" si="30"/>
        <v>0</v>
      </c>
      <c r="Z86" s="986">
        <f>tab!$D$62</f>
        <v>0.6</v>
      </c>
      <c r="AA86" s="944">
        <f t="shared" si="31"/>
        <v>0</v>
      </c>
      <c r="AB86" s="944">
        <f t="shared" si="32"/>
        <v>0</v>
      </c>
      <c r="AC86" s="944">
        <f t="shared" si="33"/>
        <v>0</v>
      </c>
      <c r="AD86" s="943" t="e">
        <f t="shared" si="34"/>
        <v>#VALUE!</v>
      </c>
      <c r="AE86" s="943">
        <f t="shared" si="35"/>
        <v>0</v>
      </c>
      <c r="AF86" s="916">
        <f>IF(H86&gt;8,tab!$D$63,tab!$D$65)</f>
        <v>0.5</v>
      </c>
      <c r="AG86" s="925">
        <f t="shared" si="36"/>
        <v>0</v>
      </c>
      <c r="AH86" s="940">
        <f t="shared" si="37"/>
        <v>0</v>
      </c>
      <c r="AM86" s="315"/>
    </row>
    <row r="87" spans="2:39" ht="12.75" customHeight="1" x14ac:dyDescent="0.2">
      <c r="B87" s="49"/>
      <c r="C87" s="69"/>
      <c r="D87" s="75" t="str">
        <f>IF(obp!D55=0,"",obp!D55)</f>
        <v/>
      </c>
      <c r="E87" s="75" t="str">
        <f>IF(obp!E55=0,"",obp!E55)</f>
        <v/>
      </c>
      <c r="F87" s="88" t="str">
        <f>IF(obp!F55="","",obp!F55+1)</f>
        <v/>
      </c>
      <c r="G87" s="290" t="str">
        <f>IF(obp!G55="","",obp!G55)</f>
        <v/>
      </c>
      <c r="H87" s="88" t="str">
        <f>IF(obp!H55=0,"",obp!H55)</f>
        <v/>
      </c>
      <c r="I87" s="99" t="str">
        <f>IF(J87="","",(IF(obp!I55+1&gt;LOOKUP(H87,schaal2019,regels2019),obp!I55,obp!I55+1)))</f>
        <v/>
      </c>
      <c r="J87" s="291" t="str">
        <f>IF(obp!J55="","",obp!J55)</f>
        <v/>
      </c>
      <c r="K87" s="304"/>
      <c r="L87" s="868">
        <f>IF(obp!L55="","",obp!L55)</f>
        <v>0</v>
      </c>
      <c r="M87" s="868">
        <f>IF(obp!M55="","",obp!M55)</f>
        <v>0</v>
      </c>
      <c r="N87" s="867" t="str">
        <f t="shared" si="26"/>
        <v/>
      </c>
      <c r="O87" s="867"/>
      <c r="P87" s="953" t="str">
        <f t="shared" si="27"/>
        <v/>
      </c>
      <c r="Q87" s="70"/>
      <c r="R87" s="739" t="str">
        <f t="shared" si="38"/>
        <v/>
      </c>
      <c r="S87" s="739" t="str">
        <f t="shared" si="28"/>
        <v/>
      </c>
      <c r="T87" s="740" t="str">
        <f t="shared" si="29"/>
        <v/>
      </c>
      <c r="U87" s="275"/>
      <c r="V87" s="293"/>
      <c r="W87" s="288"/>
      <c r="X87" s="288"/>
      <c r="Y87" s="908">
        <f t="shared" si="30"/>
        <v>0</v>
      </c>
      <c r="Z87" s="986">
        <f>tab!$D$62</f>
        <v>0.6</v>
      </c>
      <c r="AA87" s="944">
        <f t="shared" si="31"/>
        <v>0</v>
      </c>
      <c r="AB87" s="944">
        <f t="shared" si="32"/>
        <v>0</v>
      </c>
      <c r="AC87" s="944">
        <f t="shared" si="33"/>
        <v>0</v>
      </c>
      <c r="AD87" s="943" t="e">
        <f t="shared" si="34"/>
        <v>#VALUE!</v>
      </c>
      <c r="AE87" s="943">
        <f t="shared" si="35"/>
        <v>0</v>
      </c>
      <c r="AF87" s="916">
        <f>IF(H87&gt;8,tab!$D$63,tab!$D$65)</f>
        <v>0.5</v>
      </c>
      <c r="AG87" s="925">
        <f t="shared" si="36"/>
        <v>0</v>
      </c>
      <c r="AH87" s="940">
        <f t="shared" si="37"/>
        <v>0</v>
      </c>
      <c r="AM87" s="315"/>
    </row>
    <row r="88" spans="2:39" ht="12.75" customHeight="1" x14ac:dyDescent="0.2">
      <c r="B88" s="49"/>
      <c r="C88" s="69"/>
      <c r="D88" s="75" t="str">
        <f>IF(obp!D56=0,"",obp!D56)</f>
        <v/>
      </c>
      <c r="E88" s="75" t="str">
        <f>IF(obp!E56=0,"",obp!E56)</f>
        <v/>
      </c>
      <c r="F88" s="88" t="str">
        <f>IF(obp!F56="","",obp!F56+1)</f>
        <v/>
      </c>
      <c r="G88" s="290" t="str">
        <f>IF(obp!G56="","",obp!G56)</f>
        <v/>
      </c>
      <c r="H88" s="88" t="str">
        <f>IF(obp!H56=0,"",obp!H56)</f>
        <v/>
      </c>
      <c r="I88" s="99" t="str">
        <f>IF(J88="","",(IF(obp!I56+1&gt;LOOKUP(H88,schaal2019,regels2019),obp!I56,obp!I56+1)))</f>
        <v/>
      </c>
      <c r="J88" s="291" t="str">
        <f>IF(obp!J56="","",obp!J56)</f>
        <v/>
      </c>
      <c r="K88" s="304"/>
      <c r="L88" s="868">
        <f>IF(obp!L56="","",obp!L56)</f>
        <v>0</v>
      </c>
      <c r="M88" s="868">
        <f>IF(obp!M56="","",obp!M56)</f>
        <v>0</v>
      </c>
      <c r="N88" s="867" t="str">
        <f t="shared" si="26"/>
        <v/>
      </c>
      <c r="O88" s="867"/>
      <c r="P88" s="953" t="str">
        <f t="shared" si="27"/>
        <v/>
      </c>
      <c r="Q88" s="70"/>
      <c r="R88" s="739" t="str">
        <f t="shared" si="38"/>
        <v/>
      </c>
      <c r="S88" s="739" t="str">
        <f t="shared" si="28"/>
        <v/>
      </c>
      <c r="T88" s="740" t="str">
        <f t="shared" si="29"/>
        <v/>
      </c>
      <c r="U88" s="275"/>
      <c r="V88" s="293"/>
      <c r="W88" s="288"/>
      <c r="X88" s="288"/>
      <c r="Y88" s="908">
        <f t="shared" si="30"/>
        <v>0</v>
      </c>
      <c r="Z88" s="986">
        <f>tab!$D$62</f>
        <v>0.6</v>
      </c>
      <c r="AA88" s="944">
        <f t="shared" si="31"/>
        <v>0</v>
      </c>
      <c r="AB88" s="944">
        <f t="shared" si="32"/>
        <v>0</v>
      </c>
      <c r="AC88" s="944">
        <f t="shared" si="33"/>
        <v>0</v>
      </c>
      <c r="AD88" s="943" t="e">
        <f t="shared" si="34"/>
        <v>#VALUE!</v>
      </c>
      <c r="AE88" s="943">
        <f t="shared" si="35"/>
        <v>0</v>
      </c>
      <c r="AF88" s="916">
        <f>IF(H88&gt;8,tab!$D$63,tab!$D$65)</f>
        <v>0.5</v>
      </c>
      <c r="AG88" s="925">
        <f t="shared" si="36"/>
        <v>0</v>
      </c>
      <c r="AH88" s="940">
        <f t="shared" si="37"/>
        <v>0</v>
      </c>
      <c r="AM88" s="315"/>
    </row>
    <row r="89" spans="2:39" ht="12.75" customHeight="1" x14ac:dyDescent="0.2">
      <c r="B89" s="49"/>
      <c r="C89" s="69"/>
      <c r="D89" s="75" t="str">
        <f>IF(obp!D57=0,"",obp!D57)</f>
        <v/>
      </c>
      <c r="E89" s="75" t="str">
        <f>IF(obp!E57=0,"",obp!E57)</f>
        <v/>
      </c>
      <c r="F89" s="88" t="str">
        <f>IF(obp!F57="","",obp!F57+1)</f>
        <v/>
      </c>
      <c r="G89" s="290" t="str">
        <f>IF(obp!G57="","",obp!G57)</f>
        <v/>
      </c>
      <c r="H89" s="88" t="str">
        <f>IF(obp!H57=0,"",obp!H57)</f>
        <v/>
      </c>
      <c r="I89" s="99" t="str">
        <f>IF(J89="","",(IF(obp!I57+1&gt;LOOKUP(H89,schaal2019,regels2019),obp!I57,obp!I57+1)))</f>
        <v/>
      </c>
      <c r="J89" s="291" t="str">
        <f>IF(obp!J57="","",obp!J57)</f>
        <v/>
      </c>
      <c r="K89" s="304"/>
      <c r="L89" s="868">
        <f>IF(obp!L57="","",obp!L57)</f>
        <v>0</v>
      </c>
      <c r="M89" s="868">
        <f>IF(obp!M57="","",obp!M57)</f>
        <v>0</v>
      </c>
      <c r="N89" s="867" t="str">
        <f t="shared" si="26"/>
        <v/>
      </c>
      <c r="O89" s="867"/>
      <c r="P89" s="953" t="str">
        <f t="shared" si="27"/>
        <v/>
      </c>
      <c r="Q89" s="70"/>
      <c r="R89" s="739" t="str">
        <f t="shared" si="38"/>
        <v/>
      </c>
      <c r="S89" s="739" t="str">
        <f t="shared" si="28"/>
        <v/>
      </c>
      <c r="T89" s="740" t="str">
        <f t="shared" si="29"/>
        <v/>
      </c>
      <c r="U89" s="275"/>
      <c r="V89" s="293"/>
      <c r="W89" s="288"/>
      <c r="X89" s="288"/>
      <c r="Y89" s="908">
        <f t="shared" si="30"/>
        <v>0</v>
      </c>
      <c r="Z89" s="986">
        <f>tab!$D$62</f>
        <v>0.6</v>
      </c>
      <c r="AA89" s="944">
        <f t="shared" si="31"/>
        <v>0</v>
      </c>
      <c r="AB89" s="944">
        <f t="shared" si="32"/>
        <v>0</v>
      </c>
      <c r="AC89" s="944">
        <f t="shared" si="33"/>
        <v>0</v>
      </c>
      <c r="AD89" s="943" t="e">
        <f t="shared" si="34"/>
        <v>#VALUE!</v>
      </c>
      <c r="AE89" s="943">
        <f t="shared" si="35"/>
        <v>0</v>
      </c>
      <c r="AF89" s="916">
        <f>IF(H89&gt;8,tab!$D$63,tab!$D$65)</f>
        <v>0.5</v>
      </c>
      <c r="AG89" s="925">
        <f t="shared" si="36"/>
        <v>0</v>
      </c>
      <c r="AH89" s="940">
        <f t="shared" si="37"/>
        <v>0</v>
      </c>
      <c r="AM89" s="315"/>
    </row>
    <row r="90" spans="2:39" ht="12.75" customHeight="1" x14ac:dyDescent="0.2">
      <c r="B90" s="49"/>
      <c r="C90" s="69"/>
      <c r="D90" s="75" t="str">
        <f>IF(obp!D58=0,"",obp!D58)</f>
        <v/>
      </c>
      <c r="E90" s="75" t="str">
        <f>IF(obp!E58=0,"",obp!E58)</f>
        <v/>
      </c>
      <c r="F90" s="88" t="str">
        <f>IF(obp!F58="","",obp!F58+1)</f>
        <v/>
      </c>
      <c r="G90" s="290" t="str">
        <f>IF(obp!G58="","",obp!G58)</f>
        <v/>
      </c>
      <c r="H90" s="88" t="str">
        <f>IF(obp!H58=0,"",obp!H58)</f>
        <v/>
      </c>
      <c r="I90" s="99" t="str">
        <f>IF(J90="","",(IF(obp!I58+1&gt;LOOKUP(H90,schaal2019,regels2019),obp!I58,obp!I58+1)))</f>
        <v/>
      </c>
      <c r="J90" s="291" t="str">
        <f>IF(obp!J58="","",obp!J58)</f>
        <v/>
      </c>
      <c r="K90" s="304"/>
      <c r="L90" s="868">
        <f>IF(obp!L58="","",obp!L58)</f>
        <v>0</v>
      </c>
      <c r="M90" s="868">
        <f>IF(obp!M58="","",obp!M58)</f>
        <v>0</v>
      </c>
      <c r="N90" s="867" t="str">
        <f t="shared" si="26"/>
        <v/>
      </c>
      <c r="O90" s="867"/>
      <c r="P90" s="953" t="str">
        <f t="shared" si="27"/>
        <v/>
      </c>
      <c r="Q90" s="70"/>
      <c r="R90" s="739" t="str">
        <f t="shared" si="38"/>
        <v/>
      </c>
      <c r="S90" s="739" t="str">
        <f t="shared" si="28"/>
        <v/>
      </c>
      <c r="T90" s="740" t="str">
        <f t="shared" si="29"/>
        <v/>
      </c>
      <c r="U90" s="275"/>
      <c r="V90" s="293"/>
      <c r="W90" s="288"/>
      <c r="X90" s="288"/>
      <c r="Y90" s="908">
        <f t="shared" si="30"/>
        <v>0</v>
      </c>
      <c r="Z90" s="986">
        <f>tab!$D$62</f>
        <v>0.6</v>
      </c>
      <c r="AA90" s="944">
        <f t="shared" si="31"/>
        <v>0</v>
      </c>
      <c r="AB90" s="944">
        <f t="shared" si="32"/>
        <v>0</v>
      </c>
      <c r="AC90" s="944">
        <f t="shared" si="33"/>
        <v>0</v>
      </c>
      <c r="AD90" s="943" t="e">
        <f t="shared" si="34"/>
        <v>#VALUE!</v>
      </c>
      <c r="AE90" s="943">
        <f t="shared" si="35"/>
        <v>0</v>
      </c>
      <c r="AF90" s="916">
        <f>IF(H90&gt;8,tab!$D$63,tab!$D$65)</f>
        <v>0.5</v>
      </c>
      <c r="AG90" s="925">
        <f t="shared" si="36"/>
        <v>0</v>
      </c>
      <c r="AH90" s="940">
        <f t="shared" si="37"/>
        <v>0</v>
      </c>
      <c r="AM90" s="315"/>
    </row>
    <row r="91" spans="2:39" ht="12.75" customHeight="1" x14ac:dyDescent="0.2">
      <c r="B91" s="49"/>
      <c r="C91" s="69"/>
      <c r="D91" s="75" t="str">
        <f>IF(obp!D59=0,"",obp!D59)</f>
        <v/>
      </c>
      <c r="E91" s="75" t="str">
        <f>IF(obp!E59=0,"",obp!E59)</f>
        <v/>
      </c>
      <c r="F91" s="88" t="str">
        <f>IF(obp!F59="","",obp!F59+1)</f>
        <v/>
      </c>
      <c r="G91" s="290" t="str">
        <f>IF(obp!G59="","",obp!G59)</f>
        <v/>
      </c>
      <c r="H91" s="88" t="str">
        <f>IF(obp!H59=0,"",obp!H59)</f>
        <v/>
      </c>
      <c r="I91" s="99" t="str">
        <f>IF(J91="","",(IF(obp!I59+1&gt;LOOKUP(H91,schaal2019,regels2019),obp!I59,obp!I59+1)))</f>
        <v/>
      </c>
      <c r="J91" s="291" t="str">
        <f>IF(obp!J59="","",obp!J59)</f>
        <v/>
      </c>
      <c r="K91" s="304"/>
      <c r="L91" s="868">
        <f>IF(obp!L59="","",obp!L59)</f>
        <v>0</v>
      </c>
      <c r="M91" s="868">
        <f>IF(obp!M59="","",obp!M59)</f>
        <v>0</v>
      </c>
      <c r="N91" s="867" t="str">
        <f t="shared" si="26"/>
        <v/>
      </c>
      <c r="O91" s="867"/>
      <c r="P91" s="953" t="str">
        <f t="shared" si="27"/>
        <v/>
      </c>
      <c r="Q91" s="70"/>
      <c r="R91" s="739" t="str">
        <f t="shared" si="38"/>
        <v/>
      </c>
      <c r="S91" s="739" t="str">
        <f t="shared" si="28"/>
        <v/>
      </c>
      <c r="T91" s="740" t="str">
        <f t="shared" si="29"/>
        <v/>
      </c>
      <c r="U91" s="275"/>
      <c r="V91" s="293"/>
      <c r="W91" s="288"/>
      <c r="X91" s="288"/>
      <c r="Y91" s="908">
        <f t="shared" si="30"/>
        <v>0</v>
      </c>
      <c r="Z91" s="986">
        <f>tab!$D$62</f>
        <v>0.6</v>
      </c>
      <c r="AA91" s="944">
        <f t="shared" si="31"/>
        <v>0</v>
      </c>
      <c r="AB91" s="944">
        <f t="shared" si="32"/>
        <v>0</v>
      </c>
      <c r="AC91" s="944">
        <f t="shared" si="33"/>
        <v>0</v>
      </c>
      <c r="AD91" s="943" t="e">
        <f t="shared" si="34"/>
        <v>#VALUE!</v>
      </c>
      <c r="AE91" s="943">
        <f t="shared" si="35"/>
        <v>0</v>
      </c>
      <c r="AF91" s="916">
        <f>IF(H91&gt;8,tab!$D$63,tab!$D$65)</f>
        <v>0.5</v>
      </c>
      <c r="AG91" s="925">
        <f t="shared" si="36"/>
        <v>0</v>
      </c>
      <c r="AH91" s="940">
        <f t="shared" si="37"/>
        <v>0</v>
      </c>
      <c r="AM91" s="315"/>
    </row>
    <row r="92" spans="2:39" ht="12.75" customHeight="1" x14ac:dyDescent="0.2">
      <c r="B92" s="49"/>
      <c r="C92" s="69"/>
      <c r="D92" s="75" t="str">
        <f>IF(obp!D60=0,"",obp!D60)</f>
        <v/>
      </c>
      <c r="E92" s="75" t="str">
        <f>IF(obp!E60=0,"",obp!E60)</f>
        <v/>
      </c>
      <c r="F92" s="88" t="str">
        <f>IF(obp!F60="","",obp!F60+1)</f>
        <v/>
      </c>
      <c r="G92" s="290" t="str">
        <f>IF(obp!G60="","",obp!G60)</f>
        <v/>
      </c>
      <c r="H92" s="88" t="str">
        <f>IF(obp!H60=0,"",obp!H60)</f>
        <v/>
      </c>
      <c r="I92" s="99" t="str">
        <f>IF(J92="","",(IF(obp!I60+1&gt;LOOKUP(H92,schaal2019,regels2019),obp!I60,obp!I60+1)))</f>
        <v/>
      </c>
      <c r="J92" s="291" t="str">
        <f>IF(obp!J60="","",obp!J60)</f>
        <v/>
      </c>
      <c r="K92" s="304"/>
      <c r="L92" s="868">
        <f>IF(obp!L60="","",obp!L60)</f>
        <v>0</v>
      </c>
      <c r="M92" s="868">
        <f>IF(obp!M60="","",obp!M60)</f>
        <v>0</v>
      </c>
      <c r="N92" s="867" t="str">
        <f t="shared" si="26"/>
        <v/>
      </c>
      <c r="O92" s="867"/>
      <c r="P92" s="953" t="str">
        <f t="shared" si="27"/>
        <v/>
      </c>
      <c r="Q92" s="70"/>
      <c r="R92" s="739" t="str">
        <f t="shared" si="38"/>
        <v/>
      </c>
      <c r="S92" s="739" t="str">
        <f t="shared" si="28"/>
        <v/>
      </c>
      <c r="T92" s="740" t="str">
        <f t="shared" si="29"/>
        <v/>
      </c>
      <c r="U92" s="275"/>
      <c r="V92" s="293"/>
      <c r="W92" s="288"/>
      <c r="X92" s="288"/>
      <c r="Y92" s="908">
        <f t="shared" si="30"/>
        <v>0</v>
      </c>
      <c r="Z92" s="986">
        <f>tab!$D$62</f>
        <v>0.6</v>
      </c>
      <c r="AA92" s="944">
        <f t="shared" si="31"/>
        <v>0</v>
      </c>
      <c r="AB92" s="944">
        <f t="shared" si="32"/>
        <v>0</v>
      </c>
      <c r="AC92" s="944">
        <f t="shared" si="33"/>
        <v>0</v>
      </c>
      <c r="AD92" s="943" t="e">
        <f t="shared" si="34"/>
        <v>#VALUE!</v>
      </c>
      <c r="AE92" s="943">
        <f t="shared" si="35"/>
        <v>0</v>
      </c>
      <c r="AF92" s="916">
        <f>IF(H92&gt;8,tab!$D$63,tab!$D$65)</f>
        <v>0.5</v>
      </c>
      <c r="AG92" s="925">
        <f t="shared" si="36"/>
        <v>0</v>
      </c>
      <c r="AH92" s="940">
        <f t="shared" si="37"/>
        <v>0</v>
      </c>
      <c r="AM92" s="315"/>
    </row>
    <row r="93" spans="2:39" ht="12.75" customHeight="1" x14ac:dyDescent="0.2">
      <c r="B93" s="49"/>
      <c r="C93" s="69"/>
      <c r="D93" s="75" t="str">
        <f>IF(obp!D61=0,"",obp!D61)</f>
        <v/>
      </c>
      <c r="E93" s="75" t="str">
        <f>IF(obp!E61=0,"",obp!E61)</f>
        <v/>
      </c>
      <c r="F93" s="88" t="str">
        <f>IF(obp!F61="","",obp!F61+1)</f>
        <v/>
      </c>
      <c r="G93" s="290" t="str">
        <f>IF(obp!G61="","",obp!G61)</f>
        <v/>
      </c>
      <c r="H93" s="88" t="str">
        <f>IF(obp!H61=0,"",obp!H61)</f>
        <v/>
      </c>
      <c r="I93" s="99" t="str">
        <f>IF(J93="","",(IF(obp!I61+1&gt;LOOKUP(H93,schaal2019,regels2019),obp!I61,obp!I61+1)))</f>
        <v/>
      </c>
      <c r="J93" s="291" t="str">
        <f>IF(obp!J61="","",obp!J61)</f>
        <v/>
      </c>
      <c r="K93" s="304"/>
      <c r="L93" s="868">
        <f>IF(obp!L61="","",obp!L61)</f>
        <v>0</v>
      </c>
      <c r="M93" s="868">
        <f>IF(obp!M61="","",obp!M61)</f>
        <v>0</v>
      </c>
      <c r="N93" s="867" t="str">
        <f t="shared" si="26"/>
        <v/>
      </c>
      <c r="O93" s="867"/>
      <c r="P93" s="953" t="str">
        <f t="shared" si="27"/>
        <v/>
      </c>
      <c r="Q93" s="70"/>
      <c r="R93" s="739" t="str">
        <f t="shared" si="38"/>
        <v/>
      </c>
      <c r="S93" s="739" t="str">
        <f t="shared" si="28"/>
        <v/>
      </c>
      <c r="T93" s="740" t="str">
        <f t="shared" si="29"/>
        <v/>
      </c>
      <c r="U93" s="275"/>
      <c r="V93" s="293"/>
      <c r="W93" s="288"/>
      <c r="X93" s="288"/>
      <c r="Y93" s="908">
        <f t="shared" si="30"/>
        <v>0</v>
      </c>
      <c r="Z93" s="986">
        <f>tab!$D$62</f>
        <v>0.6</v>
      </c>
      <c r="AA93" s="944">
        <f t="shared" si="31"/>
        <v>0</v>
      </c>
      <c r="AB93" s="944">
        <f t="shared" si="32"/>
        <v>0</v>
      </c>
      <c r="AC93" s="944">
        <f t="shared" si="33"/>
        <v>0</v>
      </c>
      <c r="AD93" s="943" t="e">
        <f t="shared" si="34"/>
        <v>#VALUE!</v>
      </c>
      <c r="AE93" s="943">
        <f t="shared" si="35"/>
        <v>0</v>
      </c>
      <c r="AF93" s="916">
        <f>IF(H93&gt;8,tab!$D$63,tab!$D$65)</f>
        <v>0.5</v>
      </c>
      <c r="AG93" s="925">
        <f t="shared" si="36"/>
        <v>0</v>
      </c>
      <c r="AH93" s="940">
        <f t="shared" si="37"/>
        <v>0</v>
      </c>
      <c r="AM93" s="315"/>
    </row>
    <row r="94" spans="2:39" ht="12.75" customHeight="1" x14ac:dyDescent="0.2">
      <c r="B94" s="49"/>
      <c r="C94" s="69"/>
      <c r="D94" s="75" t="str">
        <f>IF(obp!D62=0,"",obp!D62)</f>
        <v/>
      </c>
      <c r="E94" s="75" t="str">
        <f>IF(obp!E62=0,"",obp!E62)</f>
        <v/>
      </c>
      <c r="F94" s="88" t="str">
        <f>IF(obp!F62="","",obp!F62+1)</f>
        <v/>
      </c>
      <c r="G94" s="290" t="str">
        <f>IF(obp!G62="","",obp!G62)</f>
        <v/>
      </c>
      <c r="H94" s="88" t="str">
        <f>IF(obp!H62=0,"",obp!H62)</f>
        <v/>
      </c>
      <c r="I94" s="99" t="str">
        <f>IF(J94="","",(IF(obp!I62+1&gt;LOOKUP(H94,schaal2019,regels2019),obp!I62,obp!I62+1)))</f>
        <v/>
      </c>
      <c r="J94" s="291" t="str">
        <f>IF(obp!J62="","",obp!J62)</f>
        <v/>
      </c>
      <c r="K94" s="304"/>
      <c r="L94" s="868">
        <f>IF(obp!L62="","",obp!L62)</f>
        <v>0</v>
      </c>
      <c r="M94" s="868">
        <f>IF(obp!M62="","",obp!M62)</f>
        <v>0</v>
      </c>
      <c r="N94" s="867" t="str">
        <f t="shared" si="26"/>
        <v/>
      </c>
      <c r="O94" s="867"/>
      <c r="P94" s="953" t="str">
        <f t="shared" si="27"/>
        <v/>
      </c>
      <c r="Q94" s="70"/>
      <c r="R94" s="739" t="str">
        <f t="shared" si="38"/>
        <v/>
      </c>
      <c r="S94" s="739" t="str">
        <f t="shared" si="28"/>
        <v/>
      </c>
      <c r="T94" s="740" t="str">
        <f t="shared" si="29"/>
        <v/>
      </c>
      <c r="U94" s="275"/>
      <c r="V94" s="293"/>
      <c r="W94" s="288"/>
      <c r="X94" s="288"/>
      <c r="Y94" s="908">
        <f t="shared" si="30"/>
        <v>0</v>
      </c>
      <c r="Z94" s="986">
        <f>tab!$D$62</f>
        <v>0.6</v>
      </c>
      <c r="AA94" s="944">
        <f t="shared" si="31"/>
        <v>0</v>
      </c>
      <c r="AB94" s="944">
        <f t="shared" si="32"/>
        <v>0</v>
      </c>
      <c r="AC94" s="944">
        <f t="shared" si="33"/>
        <v>0</v>
      </c>
      <c r="AD94" s="943" t="e">
        <f t="shared" si="34"/>
        <v>#VALUE!</v>
      </c>
      <c r="AE94" s="943">
        <f t="shared" si="35"/>
        <v>0</v>
      </c>
      <c r="AF94" s="916">
        <f>IF(H94&gt;8,tab!$D$63,tab!$D$65)</f>
        <v>0.5</v>
      </c>
      <c r="AG94" s="925">
        <f t="shared" si="36"/>
        <v>0</v>
      </c>
      <c r="AH94" s="940">
        <f t="shared" si="37"/>
        <v>0</v>
      </c>
      <c r="AM94" s="315"/>
    </row>
    <row r="95" spans="2:39" ht="12.75" customHeight="1" x14ac:dyDescent="0.2">
      <c r="B95" s="49"/>
      <c r="C95" s="69"/>
      <c r="D95" s="75" t="str">
        <f>IF(obp!D63=0,"",obp!D63)</f>
        <v/>
      </c>
      <c r="E95" s="75" t="str">
        <f>IF(obp!E63=0,"",obp!E63)</f>
        <v/>
      </c>
      <c r="F95" s="88" t="str">
        <f>IF(obp!F63="","",obp!F63+1)</f>
        <v/>
      </c>
      <c r="G95" s="290" t="str">
        <f>IF(obp!G63="","",obp!G63)</f>
        <v/>
      </c>
      <c r="H95" s="88" t="str">
        <f>IF(obp!H63=0,"",obp!H63)</f>
        <v/>
      </c>
      <c r="I95" s="99" t="str">
        <f>IF(J95="","",(IF(obp!I63+1&gt;LOOKUP(H95,schaal2019,regels2019),obp!I63,obp!I63+1)))</f>
        <v/>
      </c>
      <c r="J95" s="291" t="str">
        <f>IF(obp!J63="","",obp!J63)</f>
        <v/>
      </c>
      <c r="K95" s="304"/>
      <c r="L95" s="868">
        <f>IF(obp!L63="","",obp!L63)</f>
        <v>0</v>
      </c>
      <c r="M95" s="868">
        <f>IF(obp!M63="","",obp!M63)</f>
        <v>0</v>
      </c>
      <c r="N95" s="867" t="str">
        <f t="shared" si="26"/>
        <v/>
      </c>
      <c r="O95" s="867"/>
      <c r="P95" s="953" t="str">
        <f t="shared" si="27"/>
        <v/>
      </c>
      <c r="Q95" s="70"/>
      <c r="R95" s="739" t="str">
        <f t="shared" si="38"/>
        <v/>
      </c>
      <c r="S95" s="739" t="str">
        <f t="shared" si="28"/>
        <v/>
      </c>
      <c r="T95" s="740" t="str">
        <f t="shared" si="29"/>
        <v/>
      </c>
      <c r="U95" s="275"/>
      <c r="V95" s="293"/>
      <c r="W95" s="288"/>
      <c r="X95" s="288"/>
      <c r="Y95" s="908">
        <f t="shared" si="30"/>
        <v>0</v>
      </c>
      <c r="Z95" s="986">
        <f>tab!$D$62</f>
        <v>0.6</v>
      </c>
      <c r="AA95" s="944">
        <f t="shared" si="31"/>
        <v>0</v>
      </c>
      <c r="AB95" s="944">
        <f t="shared" si="32"/>
        <v>0</v>
      </c>
      <c r="AC95" s="944">
        <f t="shared" si="33"/>
        <v>0</v>
      </c>
      <c r="AD95" s="943" t="e">
        <f t="shared" si="34"/>
        <v>#VALUE!</v>
      </c>
      <c r="AE95" s="943">
        <f t="shared" si="35"/>
        <v>0</v>
      </c>
      <c r="AF95" s="916">
        <f>IF(H95&gt;8,tab!$D$63,tab!$D$65)</f>
        <v>0.5</v>
      </c>
      <c r="AG95" s="925">
        <f t="shared" si="36"/>
        <v>0</v>
      </c>
      <c r="AH95" s="940">
        <f t="shared" si="37"/>
        <v>0</v>
      </c>
      <c r="AM95" s="315"/>
    </row>
    <row r="96" spans="2:39" ht="12.75" customHeight="1" x14ac:dyDescent="0.2">
      <c r="B96" s="49"/>
      <c r="C96" s="69"/>
      <c r="D96" s="75" t="str">
        <f>IF(obp!D64=0,"",obp!D64)</f>
        <v/>
      </c>
      <c r="E96" s="75" t="str">
        <f>IF(obp!E64=0,"",obp!E64)</f>
        <v/>
      </c>
      <c r="F96" s="88" t="str">
        <f>IF(obp!F64="","",obp!F64+1)</f>
        <v/>
      </c>
      <c r="G96" s="290" t="str">
        <f>IF(obp!G64="","",obp!G64)</f>
        <v/>
      </c>
      <c r="H96" s="88" t="str">
        <f>IF(obp!H64=0,"",obp!H64)</f>
        <v/>
      </c>
      <c r="I96" s="99" t="str">
        <f>IF(J96="","",(IF(obp!I64+1&gt;LOOKUP(H96,schaal2019,regels2019),obp!I64,obp!I64+1)))</f>
        <v/>
      </c>
      <c r="J96" s="291" t="str">
        <f>IF(obp!J64="","",obp!J64)</f>
        <v/>
      </c>
      <c r="K96" s="304"/>
      <c r="L96" s="868">
        <f>IF(obp!L64="","",obp!L64)</f>
        <v>0</v>
      </c>
      <c r="M96" s="868">
        <f>IF(obp!M64="","",obp!M64)</f>
        <v>0</v>
      </c>
      <c r="N96" s="867" t="str">
        <f t="shared" si="26"/>
        <v/>
      </c>
      <c r="O96" s="867"/>
      <c r="P96" s="953" t="str">
        <f t="shared" si="27"/>
        <v/>
      </c>
      <c r="Q96" s="70"/>
      <c r="R96" s="739" t="str">
        <f t="shared" si="38"/>
        <v/>
      </c>
      <c r="S96" s="739" t="str">
        <f t="shared" si="28"/>
        <v/>
      </c>
      <c r="T96" s="740" t="str">
        <f t="shared" si="29"/>
        <v/>
      </c>
      <c r="U96" s="275"/>
      <c r="V96" s="293"/>
      <c r="W96" s="288"/>
      <c r="X96" s="288"/>
      <c r="Y96" s="908">
        <f t="shared" si="30"/>
        <v>0</v>
      </c>
      <c r="Z96" s="986">
        <f>tab!$D$62</f>
        <v>0.6</v>
      </c>
      <c r="AA96" s="944">
        <f t="shared" si="31"/>
        <v>0</v>
      </c>
      <c r="AB96" s="944">
        <f t="shared" si="32"/>
        <v>0</v>
      </c>
      <c r="AC96" s="944">
        <f t="shared" si="33"/>
        <v>0</v>
      </c>
      <c r="AD96" s="943" t="e">
        <f t="shared" si="34"/>
        <v>#VALUE!</v>
      </c>
      <c r="AE96" s="943">
        <f t="shared" si="35"/>
        <v>0</v>
      </c>
      <c r="AF96" s="916">
        <f>IF(H96&gt;8,tab!$D$63,tab!$D$65)</f>
        <v>0.5</v>
      </c>
      <c r="AG96" s="925">
        <f t="shared" si="36"/>
        <v>0</v>
      </c>
      <c r="AH96" s="940">
        <f t="shared" si="37"/>
        <v>0</v>
      </c>
      <c r="AM96" s="315"/>
    </row>
    <row r="97" spans="2:44" ht="12.75" customHeight="1" x14ac:dyDescent="0.2">
      <c r="B97" s="49"/>
      <c r="C97" s="69"/>
      <c r="D97" s="75" t="str">
        <f>IF(obp!D65=0,"",obp!D65)</f>
        <v/>
      </c>
      <c r="E97" s="75" t="str">
        <f>IF(obp!E65=0,"",obp!E65)</f>
        <v/>
      </c>
      <c r="F97" s="88" t="str">
        <f>IF(obp!F65="","",obp!F65+1)</f>
        <v/>
      </c>
      <c r="G97" s="290" t="str">
        <f>IF(obp!G65="","",obp!G65)</f>
        <v/>
      </c>
      <c r="H97" s="88" t="str">
        <f>IF(obp!H65=0,"",obp!H65)</f>
        <v/>
      </c>
      <c r="I97" s="99" t="str">
        <f>IF(J97="","",(IF(obp!I65+1&gt;LOOKUP(H97,schaal2019,regels2019),obp!I65,obp!I65+1)))</f>
        <v/>
      </c>
      <c r="J97" s="291" t="str">
        <f>IF(obp!J65="","",obp!J65)</f>
        <v/>
      </c>
      <c r="K97" s="304"/>
      <c r="L97" s="868">
        <f>IF(obp!L65="","",obp!L65)</f>
        <v>0</v>
      </c>
      <c r="M97" s="868">
        <f>IF(obp!M65="","",obp!M65)</f>
        <v>0</v>
      </c>
      <c r="N97" s="867" t="str">
        <f t="shared" si="26"/>
        <v/>
      </c>
      <c r="O97" s="867"/>
      <c r="P97" s="953" t="str">
        <f t="shared" si="27"/>
        <v/>
      </c>
      <c r="Q97" s="70"/>
      <c r="R97" s="739" t="str">
        <f t="shared" si="38"/>
        <v/>
      </c>
      <c r="S97" s="739" t="str">
        <f t="shared" si="28"/>
        <v/>
      </c>
      <c r="T97" s="740" t="str">
        <f t="shared" si="29"/>
        <v/>
      </c>
      <c r="U97" s="275"/>
      <c r="V97" s="293"/>
      <c r="W97" s="288"/>
      <c r="X97" s="288"/>
      <c r="Y97" s="908">
        <f t="shared" si="30"/>
        <v>0</v>
      </c>
      <c r="Z97" s="986">
        <f>tab!$D$62</f>
        <v>0.6</v>
      </c>
      <c r="AA97" s="944">
        <f t="shared" si="31"/>
        <v>0</v>
      </c>
      <c r="AB97" s="944">
        <f t="shared" si="32"/>
        <v>0</v>
      </c>
      <c r="AC97" s="944">
        <f t="shared" si="33"/>
        <v>0</v>
      </c>
      <c r="AD97" s="943" t="e">
        <f t="shared" si="34"/>
        <v>#VALUE!</v>
      </c>
      <c r="AE97" s="943">
        <f t="shared" si="35"/>
        <v>0</v>
      </c>
      <c r="AF97" s="916">
        <f>IF(H97&gt;8,tab!$D$63,tab!$D$65)</f>
        <v>0.5</v>
      </c>
      <c r="AG97" s="925">
        <f t="shared" si="36"/>
        <v>0</v>
      </c>
      <c r="AH97" s="940">
        <f t="shared" si="37"/>
        <v>0</v>
      </c>
      <c r="AM97" s="315"/>
    </row>
    <row r="98" spans="2:44" ht="12.75" customHeight="1" x14ac:dyDescent="0.2">
      <c r="B98" s="49"/>
      <c r="C98" s="69"/>
      <c r="D98" s="75" t="str">
        <f>IF(obp!D66=0,"",obp!D66)</f>
        <v/>
      </c>
      <c r="E98" s="75" t="str">
        <f>IF(obp!E66=0,"",obp!E66)</f>
        <v/>
      </c>
      <c r="F98" s="88" t="str">
        <f>IF(obp!F66="","",obp!F66+1)</f>
        <v/>
      </c>
      <c r="G98" s="290" t="str">
        <f>IF(obp!G66="","",obp!G66)</f>
        <v/>
      </c>
      <c r="H98" s="88" t="str">
        <f>IF(obp!H66=0,"",obp!H66)</f>
        <v/>
      </c>
      <c r="I98" s="99" t="str">
        <f>IF(J98="","",(IF(obp!I66+1&gt;LOOKUP(H98,schaal2019,regels2019),obp!I66,obp!I66+1)))</f>
        <v/>
      </c>
      <c r="J98" s="291" t="str">
        <f>IF(obp!J66="","",obp!J66)</f>
        <v/>
      </c>
      <c r="K98" s="304"/>
      <c r="L98" s="868">
        <f>IF(obp!L66="","",obp!L66)</f>
        <v>0</v>
      </c>
      <c r="M98" s="868">
        <f>IF(obp!M66="","",obp!M66)</f>
        <v>0</v>
      </c>
      <c r="N98" s="867" t="str">
        <f t="shared" si="26"/>
        <v/>
      </c>
      <c r="O98" s="867"/>
      <c r="P98" s="953" t="str">
        <f t="shared" si="27"/>
        <v/>
      </c>
      <c r="Q98" s="70"/>
      <c r="R98" s="739" t="str">
        <f t="shared" si="38"/>
        <v/>
      </c>
      <c r="S98" s="739" t="str">
        <f t="shared" si="28"/>
        <v/>
      </c>
      <c r="T98" s="740" t="str">
        <f t="shared" si="29"/>
        <v/>
      </c>
      <c r="U98" s="275"/>
      <c r="V98" s="293"/>
      <c r="W98" s="288"/>
      <c r="X98" s="288"/>
      <c r="Y98" s="908">
        <f t="shared" si="30"/>
        <v>0</v>
      </c>
      <c r="Z98" s="986">
        <f>tab!$D$62</f>
        <v>0.6</v>
      </c>
      <c r="AA98" s="944">
        <f t="shared" si="31"/>
        <v>0</v>
      </c>
      <c r="AB98" s="944">
        <f t="shared" si="32"/>
        <v>0</v>
      </c>
      <c r="AC98" s="944">
        <f t="shared" si="33"/>
        <v>0</v>
      </c>
      <c r="AD98" s="943" t="e">
        <f t="shared" si="34"/>
        <v>#VALUE!</v>
      </c>
      <c r="AE98" s="943">
        <f t="shared" si="35"/>
        <v>0</v>
      </c>
      <c r="AF98" s="916">
        <f>IF(H98&gt;8,tab!$D$63,tab!$D$65)</f>
        <v>0.5</v>
      </c>
      <c r="AG98" s="925">
        <f t="shared" si="36"/>
        <v>0</v>
      </c>
      <c r="AH98" s="940">
        <f t="shared" si="37"/>
        <v>0</v>
      </c>
      <c r="AM98" s="315"/>
    </row>
    <row r="99" spans="2:44" ht="12.75" customHeight="1" x14ac:dyDescent="0.2">
      <c r="B99" s="49"/>
      <c r="C99" s="69"/>
      <c r="D99" s="75" t="str">
        <f>IF(obp!D67=0,"",obp!D67)</f>
        <v/>
      </c>
      <c r="E99" s="75" t="str">
        <f>IF(obp!E67=0,"",obp!E67)</f>
        <v/>
      </c>
      <c r="F99" s="88" t="str">
        <f>IF(obp!F67="","",obp!F67+1)</f>
        <v/>
      </c>
      <c r="G99" s="290" t="str">
        <f>IF(obp!G67="","",obp!G67)</f>
        <v/>
      </c>
      <c r="H99" s="88" t="str">
        <f>IF(obp!H67=0,"",obp!H67)</f>
        <v/>
      </c>
      <c r="I99" s="99" t="str">
        <f>IF(J99="","",(IF(obp!I67+1&gt;LOOKUP(H99,schaal2019,regels2019),obp!I67,obp!I67+1)))</f>
        <v/>
      </c>
      <c r="J99" s="291" t="str">
        <f>IF(obp!J67="","",obp!J67)</f>
        <v/>
      </c>
      <c r="K99" s="304"/>
      <c r="L99" s="868">
        <f>IF(obp!L67="","",obp!L67)</f>
        <v>0</v>
      </c>
      <c r="M99" s="868">
        <f>IF(obp!M67="","",obp!M67)</f>
        <v>0</v>
      </c>
      <c r="N99" s="867" t="str">
        <f t="shared" si="26"/>
        <v/>
      </c>
      <c r="O99" s="867"/>
      <c r="P99" s="953" t="str">
        <f t="shared" si="27"/>
        <v/>
      </c>
      <c r="Q99" s="70"/>
      <c r="R99" s="739" t="str">
        <f t="shared" si="38"/>
        <v/>
      </c>
      <c r="S99" s="739" t="str">
        <f t="shared" si="28"/>
        <v/>
      </c>
      <c r="T99" s="740" t="str">
        <f t="shared" si="29"/>
        <v/>
      </c>
      <c r="U99" s="275"/>
      <c r="V99" s="293"/>
      <c r="W99" s="288"/>
      <c r="X99" s="288"/>
      <c r="Y99" s="908">
        <f t="shared" si="30"/>
        <v>0</v>
      </c>
      <c r="Z99" s="986">
        <f>tab!$D$62</f>
        <v>0.6</v>
      </c>
      <c r="AA99" s="944">
        <f t="shared" si="31"/>
        <v>0</v>
      </c>
      <c r="AB99" s="944">
        <f t="shared" si="32"/>
        <v>0</v>
      </c>
      <c r="AC99" s="944">
        <f t="shared" si="33"/>
        <v>0</v>
      </c>
      <c r="AD99" s="943" t="e">
        <f t="shared" si="34"/>
        <v>#VALUE!</v>
      </c>
      <c r="AE99" s="943">
        <f t="shared" si="35"/>
        <v>0</v>
      </c>
      <c r="AF99" s="916">
        <f>IF(H99&gt;8,tab!$D$63,tab!$D$65)</f>
        <v>0.5</v>
      </c>
      <c r="AG99" s="925">
        <f t="shared" si="36"/>
        <v>0</v>
      </c>
      <c r="AH99" s="940">
        <f t="shared" si="37"/>
        <v>0</v>
      </c>
      <c r="AM99" s="315"/>
    </row>
    <row r="100" spans="2:44" ht="12.75" customHeight="1" x14ac:dyDescent="0.2">
      <c r="B100" s="49"/>
      <c r="C100" s="69"/>
      <c r="D100" s="75" t="str">
        <f>IF(obp!D68=0,"",obp!D68)</f>
        <v/>
      </c>
      <c r="E100" s="75" t="str">
        <f>IF(obp!E68=0,"",obp!E68)</f>
        <v/>
      </c>
      <c r="F100" s="88" t="str">
        <f>IF(obp!F68="","",obp!F68+1)</f>
        <v/>
      </c>
      <c r="G100" s="290" t="str">
        <f>IF(obp!G68="","",obp!G68)</f>
        <v/>
      </c>
      <c r="H100" s="88" t="str">
        <f>IF(obp!H68=0,"",obp!H68)</f>
        <v/>
      </c>
      <c r="I100" s="99" t="str">
        <f>IF(J100="","",(IF(obp!I68+1&gt;LOOKUP(H100,schaal2019,regels2019),obp!I68,obp!I68+1)))</f>
        <v/>
      </c>
      <c r="J100" s="291" t="str">
        <f>IF(obp!J68="","",obp!J68)</f>
        <v/>
      </c>
      <c r="K100" s="304"/>
      <c r="L100" s="868">
        <f>IF(obp!L68="","",obp!L68)</f>
        <v>0</v>
      </c>
      <c r="M100" s="868">
        <f>IF(obp!M68="","",obp!M68)</f>
        <v>0</v>
      </c>
      <c r="N100" s="867" t="str">
        <f t="shared" si="26"/>
        <v/>
      </c>
      <c r="O100" s="867"/>
      <c r="P100" s="953" t="str">
        <f t="shared" si="27"/>
        <v/>
      </c>
      <c r="Q100" s="70"/>
      <c r="R100" s="739" t="str">
        <f t="shared" si="38"/>
        <v/>
      </c>
      <c r="S100" s="739" t="str">
        <f t="shared" si="28"/>
        <v/>
      </c>
      <c r="T100" s="740" t="str">
        <f t="shared" si="29"/>
        <v/>
      </c>
      <c r="U100" s="275"/>
      <c r="V100" s="293"/>
      <c r="W100" s="288"/>
      <c r="X100" s="288"/>
      <c r="Y100" s="908">
        <f t="shared" si="30"/>
        <v>0</v>
      </c>
      <c r="Z100" s="986">
        <f>tab!$D$62</f>
        <v>0.6</v>
      </c>
      <c r="AA100" s="944">
        <f t="shared" si="31"/>
        <v>0</v>
      </c>
      <c r="AB100" s="944">
        <f t="shared" si="32"/>
        <v>0</v>
      </c>
      <c r="AC100" s="944">
        <f t="shared" si="33"/>
        <v>0</v>
      </c>
      <c r="AD100" s="943" t="e">
        <f t="shared" si="34"/>
        <v>#VALUE!</v>
      </c>
      <c r="AE100" s="943">
        <f t="shared" si="35"/>
        <v>0</v>
      </c>
      <c r="AF100" s="916">
        <f>IF(H100&gt;8,tab!$D$63,tab!$D$65)</f>
        <v>0.5</v>
      </c>
      <c r="AG100" s="925">
        <f t="shared" si="36"/>
        <v>0</v>
      </c>
      <c r="AH100" s="940">
        <f t="shared" si="37"/>
        <v>0</v>
      </c>
      <c r="AM100" s="315"/>
    </row>
    <row r="101" spans="2:44" x14ac:dyDescent="0.2">
      <c r="B101" s="49"/>
      <c r="C101" s="69"/>
      <c r="D101" s="89"/>
      <c r="E101" s="89"/>
      <c r="F101" s="98"/>
      <c r="G101" s="299"/>
      <c r="H101" s="98"/>
      <c r="I101" s="362"/>
      <c r="J101" s="742">
        <f>SUM(J81:J100)</f>
        <v>0</v>
      </c>
      <c r="K101" s="292"/>
      <c r="L101" s="869">
        <f>SUM(L81:L100)</f>
        <v>0</v>
      </c>
      <c r="M101" s="869">
        <f>SUM(M81:M100)</f>
        <v>0</v>
      </c>
      <c r="N101" s="869">
        <f>SUM(N81:N100)</f>
        <v>0</v>
      </c>
      <c r="O101" s="869"/>
      <c r="P101" s="869">
        <f>SUM(P81:P100)</f>
        <v>0</v>
      </c>
      <c r="Q101" s="292"/>
      <c r="R101" s="743">
        <f>SUM(R81:R100)</f>
        <v>0</v>
      </c>
      <c r="S101" s="743">
        <f>SUM(S81:S100)</f>
        <v>0</v>
      </c>
      <c r="T101" s="743">
        <f>SUM(T81:T100)</f>
        <v>0</v>
      </c>
      <c r="U101" s="106"/>
      <c r="V101" s="53"/>
      <c r="Y101" s="909">
        <f>SUM(Y81:Y100)</f>
        <v>2719</v>
      </c>
      <c r="Z101" s="983"/>
      <c r="AA101" s="983"/>
      <c r="AB101" s="983"/>
      <c r="AC101" s="983"/>
      <c r="AD101" s="917" t="e">
        <f>SUM(AD81:AD100)</f>
        <v>#VALUE!</v>
      </c>
      <c r="AE101" s="930">
        <f>SUM(AE81:AE100)</f>
        <v>0</v>
      </c>
      <c r="AF101" s="909"/>
      <c r="AG101" s="928">
        <f>SUM(AG81:AG100)</f>
        <v>0</v>
      </c>
      <c r="AH101" s="937">
        <f>SUM(AH81:AH100)</f>
        <v>0</v>
      </c>
    </row>
    <row r="102" spans="2:44" x14ac:dyDescent="0.2">
      <c r="B102" s="124"/>
      <c r="C102" s="1059"/>
      <c r="D102" s="1060"/>
      <c r="E102" s="1060"/>
      <c r="F102" s="1061"/>
      <c r="G102" s="1062"/>
      <c r="H102" s="1061"/>
      <c r="I102" s="1063"/>
      <c r="J102" s="1064"/>
      <c r="K102" s="1063"/>
      <c r="L102" s="1063"/>
      <c r="M102" s="1063"/>
      <c r="N102" s="1063"/>
      <c r="O102" s="1063"/>
      <c r="P102" s="1063"/>
      <c r="Q102" s="1063"/>
      <c r="R102" s="1065"/>
      <c r="S102" s="1066"/>
      <c r="T102" s="1066"/>
      <c r="U102" s="1067"/>
      <c r="V102" s="126"/>
      <c r="Y102" s="881"/>
      <c r="Z102" s="983"/>
      <c r="AA102" s="983"/>
      <c r="AB102" s="983"/>
      <c r="AC102" s="983"/>
      <c r="AE102" s="911"/>
      <c r="AF102" s="909"/>
      <c r="AG102" s="928"/>
      <c r="AH102" s="937"/>
    </row>
    <row r="103" spans="2:44" x14ac:dyDescent="0.2">
      <c r="AE103" s="911"/>
    </row>
    <row r="104" spans="2:44" x14ac:dyDescent="0.2">
      <c r="AE104" s="911"/>
    </row>
    <row r="105" spans="2:44" x14ac:dyDescent="0.2">
      <c r="C105" s="48" t="s">
        <v>165</v>
      </c>
      <c r="E105" s="327" t="str">
        <f>dir!E79</f>
        <v>2022/23</v>
      </c>
      <c r="AE105" s="911"/>
    </row>
    <row r="106" spans="2:44" x14ac:dyDescent="0.2">
      <c r="C106" s="48" t="s">
        <v>187</v>
      </c>
      <c r="E106" s="327">
        <f>dir!E80</f>
        <v>44835</v>
      </c>
      <c r="AE106" s="911"/>
    </row>
    <row r="107" spans="2:44" x14ac:dyDescent="0.2">
      <c r="AE107" s="911"/>
    </row>
    <row r="108" spans="2:44" ht="12.75" customHeight="1" x14ac:dyDescent="0.2">
      <c r="C108" s="757"/>
      <c r="D108" s="724"/>
      <c r="E108" s="723"/>
      <c r="F108" s="704"/>
      <c r="G108" s="725"/>
      <c r="H108" s="726"/>
      <c r="I108" s="726"/>
      <c r="J108" s="727"/>
      <c r="K108" s="728"/>
      <c r="L108" s="726"/>
      <c r="M108" s="726"/>
      <c r="N108" s="726"/>
      <c r="O108" s="726"/>
      <c r="P108" s="726"/>
      <c r="Q108" s="728"/>
      <c r="R108" s="728"/>
      <c r="S108" s="728"/>
      <c r="T108" s="626"/>
      <c r="U108" s="119"/>
      <c r="Z108" s="709"/>
      <c r="AA108" s="709"/>
      <c r="AB108" s="709"/>
      <c r="AC108" s="709"/>
      <c r="AE108" s="911"/>
      <c r="AI108" s="260"/>
      <c r="AJ108" s="260"/>
      <c r="AK108" s="260"/>
      <c r="AL108" s="212"/>
      <c r="AM108" s="211"/>
      <c r="AN108" s="213"/>
      <c r="AO108" s="261"/>
      <c r="AP108" s="212"/>
    </row>
    <row r="109" spans="2:44" ht="12.75" customHeight="1" x14ac:dyDescent="0.2">
      <c r="C109" s="758"/>
      <c r="D109" s="864" t="s">
        <v>298</v>
      </c>
      <c r="E109" s="865"/>
      <c r="F109" s="865"/>
      <c r="G109" s="865"/>
      <c r="H109" s="866"/>
      <c r="I109" s="866"/>
      <c r="J109" s="866"/>
      <c r="K109" s="968"/>
      <c r="L109" s="864" t="s">
        <v>492</v>
      </c>
      <c r="M109" s="858"/>
      <c r="N109" s="864"/>
      <c r="O109" s="864"/>
      <c r="P109" s="951"/>
      <c r="Q109" s="730"/>
      <c r="R109" s="864" t="s">
        <v>494</v>
      </c>
      <c r="S109" s="866"/>
      <c r="T109" s="935"/>
      <c r="U109" s="746"/>
      <c r="V109" s="279"/>
      <c r="W109" s="279"/>
      <c r="X109" s="279"/>
      <c r="Y109" s="882"/>
      <c r="Z109" s="913"/>
      <c r="AA109" s="882"/>
      <c r="AB109" s="882"/>
      <c r="AC109" s="882"/>
      <c r="AD109" s="912"/>
      <c r="AE109" s="912"/>
      <c r="AF109" s="913"/>
      <c r="AG109" s="933"/>
      <c r="AH109" s="941"/>
      <c r="AI109" s="923"/>
      <c r="AJ109" s="923"/>
      <c r="AK109" s="923"/>
      <c r="AL109" s="923"/>
      <c r="AM109" s="923"/>
      <c r="AO109" s="48"/>
      <c r="AP109" s="48"/>
      <c r="AQ109" s="367"/>
      <c r="AR109" s="367"/>
    </row>
    <row r="110" spans="2:44" ht="12.75" customHeight="1" x14ac:dyDescent="0.2">
      <c r="C110" s="758"/>
      <c r="D110" s="693" t="s">
        <v>480</v>
      </c>
      <c r="E110" s="693" t="s">
        <v>171</v>
      </c>
      <c r="F110" s="732" t="s">
        <v>119</v>
      </c>
      <c r="G110" s="733" t="s">
        <v>289</v>
      </c>
      <c r="H110" s="732" t="s">
        <v>201</v>
      </c>
      <c r="I110" s="732" t="s">
        <v>229</v>
      </c>
      <c r="J110" s="734" t="s">
        <v>122</v>
      </c>
      <c r="K110" s="969"/>
      <c r="L110" s="735" t="s">
        <v>475</v>
      </c>
      <c r="M110" s="735" t="s">
        <v>468</v>
      </c>
      <c r="N110" s="735" t="s">
        <v>482</v>
      </c>
      <c r="O110" s="735" t="s">
        <v>475</v>
      </c>
      <c r="P110" s="952" t="s">
        <v>487</v>
      </c>
      <c r="Q110" s="702"/>
      <c r="R110" s="863" t="s">
        <v>186</v>
      </c>
      <c r="S110" s="737" t="s">
        <v>493</v>
      </c>
      <c r="T110" s="738" t="s">
        <v>186</v>
      </c>
      <c r="U110" s="747"/>
      <c r="V110" s="282"/>
      <c r="W110" s="282"/>
      <c r="X110" s="282"/>
      <c r="Y110" s="914" t="s">
        <v>322</v>
      </c>
      <c r="Z110" s="960" t="s">
        <v>479</v>
      </c>
      <c r="AA110" s="903" t="s">
        <v>488</v>
      </c>
      <c r="AB110" s="903" t="s">
        <v>488</v>
      </c>
      <c r="AC110" s="903" t="s">
        <v>491</v>
      </c>
      <c r="AD110" s="915" t="s">
        <v>473</v>
      </c>
      <c r="AE110" s="915" t="s">
        <v>474</v>
      </c>
      <c r="AF110" s="902" t="s">
        <v>470</v>
      </c>
      <c r="AG110" s="934" t="s">
        <v>306</v>
      </c>
      <c r="AH110" s="941" t="s">
        <v>415</v>
      </c>
      <c r="AI110" s="902" t="s">
        <v>292</v>
      </c>
      <c r="AJ110" s="902" t="s">
        <v>293</v>
      </c>
      <c r="AK110" s="902" t="s">
        <v>121</v>
      </c>
      <c r="AL110" s="902" t="s">
        <v>198</v>
      </c>
      <c r="AM110" s="915" t="s">
        <v>173</v>
      </c>
      <c r="AO110" s="48"/>
      <c r="AP110" s="48"/>
      <c r="AQ110" s="367"/>
      <c r="AR110" s="369"/>
    </row>
    <row r="111" spans="2:44" ht="12.75" customHeight="1" x14ac:dyDescent="0.2">
      <c r="C111" s="758"/>
      <c r="D111" s="865"/>
      <c r="E111" s="693"/>
      <c r="F111" s="732" t="s">
        <v>120</v>
      </c>
      <c r="G111" s="733" t="s">
        <v>290</v>
      </c>
      <c r="H111" s="732"/>
      <c r="I111" s="732"/>
      <c r="J111" s="734"/>
      <c r="K111" s="969"/>
      <c r="L111" s="735" t="s">
        <v>476</v>
      </c>
      <c r="M111" s="735" t="s">
        <v>478</v>
      </c>
      <c r="N111" s="735" t="s">
        <v>483</v>
      </c>
      <c r="O111" s="735" t="s">
        <v>477</v>
      </c>
      <c r="P111" s="952" t="s">
        <v>284</v>
      </c>
      <c r="Q111" s="702"/>
      <c r="R111" s="706" t="s">
        <v>485</v>
      </c>
      <c r="S111" s="737" t="s">
        <v>469</v>
      </c>
      <c r="T111" s="738" t="s">
        <v>284</v>
      </c>
      <c r="U111" s="710"/>
      <c r="V111" s="81"/>
      <c r="W111" s="81"/>
      <c r="X111" s="81"/>
      <c r="Y111" s="914" t="s">
        <v>193</v>
      </c>
      <c r="Z111" s="961">
        <f>tab!$D$62</f>
        <v>0.6</v>
      </c>
      <c r="AA111" s="903" t="s">
        <v>489</v>
      </c>
      <c r="AB111" s="903" t="s">
        <v>490</v>
      </c>
      <c r="AC111" s="903" t="s">
        <v>486</v>
      </c>
      <c r="AD111" s="915" t="s">
        <v>472</v>
      </c>
      <c r="AE111" s="915" t="s">
        <v>472</v>
      </c>
      <c r="AF111" s="902" t="s">
        <v>471</v>
      </c>
      <c r="AG111" s="934"/>
      <c r="AH111" s="940" t="s">
        <v>228</v>
      </c>
      <c r="AI111" s="915" t="s">
        <v>291</v>
      </c>
      <c r="AJ111" s="915" t="s">
        <v>291</v>
      </c>
      <c r="AK111" s="902"/>
      <c r="AL111" s="902" t="s">
        <v>173</v>
      </c>
      <c r="AM111" s="915"/>
      <c r="AO111" s="48"/>
      <c r="AP111" s="48"/>
      <c r="AR111" s="288"/>
    </row>
    <row r="112" spans="2:44" ht="12.75" customHeight="1" x14ac:dyDescent="0.2">
      <c r="C112" s="758"/>
      <c r="D112" s="865"/>
      <c r="E112" s="865"/>
      <c r="F112" s="703"/>
      <c r="G112" s="748"/>
      <c r="H112" s="732"/>
      <c r="I112" s="732"/>
      <c r="J112" s="734"/>
      <c r="K112" s="736"/>
      <c r="L112" s="735"/>
      <c r="M112" s="735"/>
      <c r="N112" s="735"/>
      <c r="O112" s="735"/>
      <c r="P112" s="735"/>
      <c r="Q112" s="736"/>
      <c r="R112" s="749"/>
      <c r="S112" s="749"/>
      <c r="T112" s="363"/>
      <c r="U112" s="344"/>
      <c r="Y112" s="914"/>
      <c r="Z112" s="982"/>
      <c r="AA112" s="982"/>
      <c r="AB112" s="982"/>
      <c r="AC112" s="982"/>
      <c r="AD112" s="915"/>
      <c r="AE112" s="915"/>
      <c r="AF112" s="901"/>
      <c r="AG112" s="934"/>
      <c r="AH112" s="940"/>
      <c r="AO112" s="48"/>
      <c r="AP112" s="48"/>
      <c r="AR112" s="288"/>
    </row>
    <row r="113" spans="3:39" ht="12.75" customHeight="1" x14ac:dyDescent="0.2">
      <c r="C113" s="69"/>
      <c r="D113" s="75" t="str">
        <f>IF(obp!D81=0,"",obp!D81)</f>
        <v/>
      </c>
      <c r="E113" s="75" t="str">
        <f>IF(obp!E81=0,"-",obp!E81)</f>
        <v>piet</v>
      </c>
      <c r="F113" s="88">
        <f>IF(obp!F81="","",obp!F81+1)</f>
        <v>43</v>
      </c>
      <c r="G113" s="290" t="str">
        <f>IF(obp!G81="","",obp!G81)</f>
        <v/>
      </c>
      <c r="H113" s="88">
        <f>IF(obp!H81=0,"",obp!H81)</f>
        <v>8</v>
      </c>
      <c r="I113" s="99">
        <f>IF(J113="","",(IF(obp!I81+1&gt;LOOKUP(H113,schaal2019,regels2019),obp!I81,obp!I81+1)))</f>
        <v>7</v>
      </c>
      <c r="J113" s="291">
        <f>IF(obp!J81="","",obp!J81)</f>
        <v>0</v>
      </c>
      <c r="K113" s="304"/>
      <c r="L113" s="868">
        <f>IF(obp!L81="","",obp!L81)</f>
        <v>0</v>
      </c>
      <c r="M113" s="868">
        <f>IF(obp!M81="","",obp!M81)</f>
        <v>0</v>
      </c>
      <c r="N113" s="867">
        <f t="shared" ref="N113:N132" si="39">IF(J113="","",IF((J113*40)&gt;40,40,((J113*40))))</f>
        <v>0</v>
      </c>
      <c r="O113" s="867"/>
      <c r="P113" s="953">
        <f t="shared" ref="P113:P132" si="40">IF(J113="","",(SUM(L113:O113)))</f>
        <v>0</v>
      </c>
      <c r="Q113" s="70"/>
      <c r="R113" s="739">
        <f>IF(J113="","",(((1659*J113)-P113)*AB113))</f>
        <v>0</v>
      </c>
      <c r="S113" s="739">
        <f t="shared" ref="S113:S132" si="41">IF(J113="","",(P113*AC113)+(AA113*AD113)+((AE113*AA113*(1-AF113))))</f>
        <v>0</v>
      </c>
      <c r="T113" s="740">
        <f t="shared" ref="T113:T132" si="42">IF(J113="","",(R113+S113))</f>
        <v>0</v>
      </c>
      <c r="U113" s="275"/>
      <c r="V113" s="288"/>
      <c r="W113" s="288"/>
      <c r="X113" s="288"/>
      <c r="Y113" s="908">
        <f t="shared" ref="Y113:Y132" si="43">IF(H113="",0,5/12*VLOOKUP(H113,salaris2020,I113+1,FALSE)+7/12*VLOOKUP(H113,salaris2020,I113+1,FALSE))</f>
        <v>2791</v>
      </c>
      <c r="Z113" s="986">
        <f>tab!$D$62</f>
        <v>0.6</v>
      </c>
      <c r="AA113" s="944">
        <f t="shared" ref="AA113:AA132" si="44">(Y113*12/1659)</f>
        <v>20.188065099457503</v>
      </c>
      <c r="AB113" s="944">
        <f t="shared" ref="AB113:AB132" si="45">(Y113*12*(1+Z113))/1659</f>
        <v>32.30090415913201</v>
      </c>
      <c r="AC113" s="944">
        <f t="shared" ref="AC113:AC132" si="46">AB113-AA113</f>
        <v>12.112839059674506</v>
      </c>
      <c r="AD113" s="943">
        <f t="shared" ref="AD113:AD132" si="47">(N113+O113)</f>
        <v>0</v>
      </c>
      <c r="AE113" s="943">
        <f t="shared" ref="AE113:AE132" si="48">(L113+M113)</f>
        <v>0</v>
      </c>
      <c r="AF113" s="916">
        <f>IF(H113&gt;8,tab!$D$63,tab!$D$65)</f>
        <v>0.4</v>
      </c>
      <c r="AG113" s="925">
        <f t="shared" ref="AG113:AG132" si="49">IF(F113&lt;25,0,IF(F113=25,25,IF(F113&lt;40,0,IF(F113=40,40,IF(F113&gt;=40,0)))))</f>
        <v>0</v>
      </c>
      <c r="AH113" s="940">
        <f t="shared" ref="AH113:AH132" si="50">IF(AG113=25,(Y113*1.08*(J113)/2),IF(AG113=40,(Y113*1.08*(J113)),IF(AG113=0,0)))</f>
        <v>0</v>
      </c>
      <c r="AM113" s="315"/>
    </row>
    <row r="114" spans="3:39" ht="12.75" customHeight="1" x14ac:dyDescent="0.2">
      <c r="C114" s="69"/>
      <c r="D114" s="75" t="str">
        <f>IF(obp!D82=0,"",obp!D82)</f>
        <v/>
      </c>
      <c r="E114" s="75" t="str">
        <f>IF(obp!E82=0,"-",obp!E82)</f>
        <v/>
      </c>
      <c r="F114" s="88" t="str">
        <f>IF(obp!F82="","",obp!F82+1)</f>
        <v/>
      </c>
      <c r="G114" s="290" t="str">
        <f>IF(obp!G82="","",obp!G82)</f>
        <v/>
      </c>
      <c r="H114" s="88" t="str">
        <f>IF(obp!H82=0,"",obp!H82)</f>
        <v/>
      </c>
      <c r="I114" s="99" t="str">
        <f>IF(J114="","",(IF(obp!I82+1&gt;LOOKUP(H114,schaal2019,regels2019),obp!I82,obp!I82+1)))</f>
        <v/>
      </c>
      <c r="J114" s="291" t="str">
        <f>IF(obp!J82="","",obp!J82)</f>
        <v/>
      </c>
      <c r="K114" s="304"/>
      <c r="L114" s="868">
        <f>IF(obp!L82="","",obp!L82)</f>
        <v>0</v>
      </c>
      <c r="M114" s="868">
        <f>IF(obp!M82="","",obp!M82)</f>
        <v>0</v>
      </c>
      <c r="N114" s="867" t="str">
        <f t="shared" si="39"/>
        <v/>
      </c>
      <c r="O114" s="867"/>
      <c r="P114" s="953" t="str">
        <f t="shared" si="40"/>
        <v/>
      </c>
      <c r="Q114" s="70"/>
      <c r="R114" s="739" t="str">
        <f t="shared" ref="R114:R132" si="51">IF(J114="","",(((1659*J114)-P114)*AB114))</f>
        <v/>
      </c>
      <c r="S114" s="739" t="str">
        <f t="shared" si="41"/>
        <v/>
      </c>
      <c r="T114" s="740" t="str">
        <f t="shared" si="42"/>
        <v/>
      </c>
      <c r="U114" s="275"/>
      <c r="V114" s="288"/>
      <c r="W114" s="288"/>
      <c r="X114" s="288"/>
      <c r="Y114" s="908">
        <f t="shared" si="43"/>
        <v>0</v>
      </c>
      <c r="Z114" s="986">
        <f>tab!$D$62</f>
        <v>0.6</v>
      </c>
      <c r="AA114" s="944">
        <f t="shared" si="44"/>
        <v>0</v>
      </c>
      <c r="AB114" s="944">
        <f t="shared" si="45"/>
        <v>0</v>
      </c>
      <c r="AC114" s="944">
        <f t="shared" si="46"/>
        <v>0</v>
      </c>
      <c r="AD114" s="943" t="e">
        <f t="shared" si="47"/>
        <v>#VALUE!</v>
      </c>
      <c r="AE114" s="943">
        <f t="shared" si="48"/>
        <v>0</v>
      </c>
      <c r="AF114" s="916">
        <f>IF(H114&gt;8,tab!$D$63,tab!$D$65)</f>
        <v>0.5</v>
      </c>
      <c r="AG114" s="925">
        <f t="shared" si="49"/>
        <v>0</v>
      </c>
      <c r="AH114" s="940">
        <f t="shared" si="50"/>
        <v>0</v>
      </c>
      <c r="AM114" s="315"/>
    </row>
    <row r="115" spans="3:39" ht="12.75" customHeight="1" x14ac:dyDescent="0.2">
      <c r="C115" s="69"/>
      <c r="D115" s="75" t="str">
        <f>IF(obp!D83=0,"",obp!D83)</f>
        <v/>
      </c>
      <c r="E115" s="75" t="str">
        <f>IF(obp!E83=0,"-",obp!E83)</f>
        <v/>
      </c>
      <c r="F115" s="88" t="str">
        <f>IF(obp!F83="","",obp!F83+1)</f>
        <v/>
      </c>
      <c r="G115" s="290" t="str">
        <f>IF(obp!G83="","",obp!G83)</f>
        <v/>
      </c>
      <c r="H115" s="88" t="str">
        <f>IF(obp!H83=0,"",obp!H83)</f>
        <v/>
      </c>
      <c r="I115" s="99" t="str">
        <f>IF(J115="","",(IF(obp!I83+1&gt;LOOKUP(H115,schaal2019,regels2019),obp!I83,obp!I83+1)))</f>
        <v/>
      </c>
      <c r="J115" s="291" t="str">
        <f>IF(obp!J83="","",obp!J83)</f>
        <v/>
      </c>
      <c r="K115" s="304"/>
      <c r="L115" s="868">
        <f>IF(obp!L83="","",obp!L83)</f>
        <v>0</v>
      </c>
      <c r="M115" s="868">
        <f>IF(obp!M83="","",obp!M83)</f>
        <v>0</v>
      </c>
      <c r="N115" s="867" t="str">
        <f t="shared" si="39"/>
        <v/>
      </c>
      <c r="O115" s="867"/>
      <c r="P115" s="953" t="str">
        <f t="shared" si="40"/>
        <v/>
      </c>
      <c r="Q115" s="70"/>
      <c r="R115" s="739" t="str">
        <f t="shared" si="51"/>
        <v/>
      </c>
      <c r="S115" s="739" t="str">
        <f t="shared" si="41"/>
        <v/>
      </c>
      <c r="T115" s="740" t="str">
        <f t="shared" si="42"/>
        <v/>
      </c>
      <c r="U115" s="275"/>
      <c r="V115" s="288"/>
      <c r="W115" s="288"/>
      <c r="X115" s="288"/>
      <c r="Y115" s="908">
        <f t="shared" si="43"/>
        <v>0</v>
      </c>
      <c r="Z115" s="986">
        <f>tab!$D$62</f>
        <v>0.6</v>
      </c>
      <c r="AA115" s="944">
        <f t="shared" si="44"/>
        <v>0</v>
      </c>
      <c r="AB115" s="944">
        <f t="shared" si="45"/>
        <v>0</v>
      </c>
      <c r="AC115" s="944">
        <f t="shared" si="46"/>
        <v>0</v>
      </c>
      <c r="AD115" s="943" t="e">
        <f t="shared" si="47"/>
        <v>#VALUE!</v>
      </c>
      <c r="AE115" s="943">
        <f t="shared" si="48"/>
        <v>0</v>
      </c>
      <c r="AF115" s="916">
        <f>IF(H115&gt;8,tab!$D$63,tab!$D$65)</f>
        <v>0.5</v>
      </c>
      <c r="AG115" s="925">
        <f t="shared" si="49"/>
        <v>0</v>
      </c>
      <c r="AH115" s="940">
        <f t="shared" si="50"/>
        <v>0</v>
      </c>
      <c r="AM115" s="315"/>
    </row>
    <row r="116" spans="3:39" ht="12.75" customHeight="1" x14ac:dyDescent="0.2">
      <c r="C116" s="69"/>
      <c r="D116" s="75" t="str">
        <f>IF(obp!D84=0,"",obp!D84)</f>
        <v/>
      </c>
      <c r="E116" s="75" t="str">
        <f>IF(obp!E84=0,"-",obp!E84)</f>
        <v/>
      </c>
      <c r="F116" s="88" t="str">
        <f>IF(obp!F84="","",obp!F84+1)</f>
        <v/>
      </c>
      <c r="G116" s="290" t="str">
        <f>IF(obp!G84="","",obp!G84)</f>
        <v/>
      </c>
      <c r="H116" s="88" t="str">
        <f>IF(obp!H84=0,"",obp!H84)</f>
        <v/>
      </c>
      <c r="I116" s="99" t="str">
        <f>IF(J116="","",(IF(obp!I84+1&gt;LOOKUP(H116,schaal2019,regels2019),obp!I84,obp!I84+1)))</f>
        <v/>
      </c>
      <c r="J116" s="291" t="str">
        <f>IF(obp!J84="","",obp!J84)</f>
        <v/>
      </c>
      <c r="K116" s="304"/>
      <c r="L116" s="868">
        <f>IF(obp!L84="","",obp!L84)</f>
        <v>0</v>
      </c>
      <c r="M116" s="868">
        <f>IF(obp!M84="","",obp!M84)</f>
        <v>0</v>
      </c>
      <c r="N116" s="867" t="str">
        <f t="shared" si="39"/>
        <v/>
      </c>
      <c r="O116" s="867"/>
      <c r="P116" s="953" t="str">
        <f t="shared" si="40"/>
        <v/>
      </c>
      <c r="Q116" s="70"/>
      <c r="R116" s="739" t="str">
        <f t="shared" si="51"/>
        <v/>
      </c>
      <c r="S116" s="739" t="str">
        <f t="shared" si="41"/>
        <v/>
      </c>
      <c r="T116" s="740" t="str">
        <f t="shared" si="42"/>
        <v/>
      </c>
      <c r="U116" s="275"/>
      <c r="V116" s="288"/>
      <c r="W116" s="288"/>
      <c r="X116" s="288"/>
      <c r="Y116" s="908">
        <f t="shared" si="43"/>
        <v>0</v>
      </c>
      <c r="Z116" s="986">
        <f>tab!$D$62</f>
        <v>0.6</v>
      </c>
      <c r="AA116" s="944">
        <f t="shared" si="44"/>
        <v>0</v>
      </c>
      <c r="AB116" s="944">
        <f t="shared" si="45"/>
        <v>0</v>
      </c>
      <c r="AC116" s="944">
        <f t="shared" si="46"/>
        <v>0</v>
      </c>
      <c r="AD116" s="943" t="e">
        <f t="shared" si="47"/>
        <v>#VALUE!</v>
      </c>
      <c r="AE116" s="943">
        <f t="shared" si="48"/>
        <v>0</v>
      </c>
      <c r="AF116" s="916">
        <f>IF(H116&gt;8,tab!$D$63,tab!$D$65)</f>
        <v>0.5</v>
      </c>
      <c r="AG116" s="925">
        <f t="shared" si="49"/>
        <v>0</v>
      </c>
      <c r="AH116" s="940">
        <f t="shared" si="50"/>
        <v>0</v>
      </c>
      <c r="AM116" s="315"/>
    </row>
    <row r="117" spans="3:39" ht="12.75" customHeight="1" x14ac:dyDescent="0.2">
      <c r="C117" s="69"/>
      <c r="D117" s="75" t="str">
        <f>IF(obp!D85=0,"",obp!D85)</f>
        <v/>
      </c>
      <c r="E117" s="75" t="str">
        <f>IF(obp!E85=0,"-",obp!E85)</f>
        <v/>
      </c>
      <c r="F117" s="88" t="str">
        <f>IF(obp!F85="","",obp!F85+1)</f>
        <v/>
      </c>
      <c r="G117" s="290" t="str">
        <f>IF(obp!G85="","",obp!G85)</f>
        <v/>
      </c>
      <c r="H117" s="88" t="str">
        <f>IF(obp!H85=0,"",obp!H85)</f>
        <v/>
      </c>
      <c r="I117" s="99" t="str">
        <f>IF(J117="","",(IF(obp!I85+1&gt;LOOKUP(H117,schaal2019,regels2019),obp!I85,obp!I85+1)))</f>
        <v/>
      </c>
      <c r="J117" s="291" t="str">
        <f>IF(obp!J85="","",obp!J85)</f>
        <v/>
      </c>
      <c r="K117" s="304"/>
      <c r="L117" s="868">
        <f>IF(obp!L85="","",obp!L85)</f>
        <v>0</v>
      </c>
      <c r="M117" s="868">
        <f>IF(obp!M85="","",obp!M85)</f>
        <v>0</v>
      </c>
      <c r="N117" s="867" t="str">
        <f t="shared" si="39"/>
        <v/>
      </c>
      <c r="O117" s="867"/>
      <c r="P117" s="953" t="str">
        <f t="shared" si="40"/>
        <v/>
      </c>
      <c r="Q117" s="70"/>
      <c r="R117" s="739" t="str">
        <f t="shared" si="51"/>
        <v/>
      </c>
      <c r="S117" s="739" t="str">
        <f t="shared" si="41"/>
        <v/>
      </c>
      <c r="T117" s="740" t="str">
        <f t="shared" si="42"/>
        <v/>
      </c>
      <c r="U117" s="275"/>
      <c r="V117" s="288"/>
      <c r="W117" s="288"/>
      <c r="X117" s="288"/>
      <c r="Y117" s="908">
        <f t="shared" si="43"/>
        <v>0</v>
      </c>
      <c r="Z117" s="986">
        <f>tab!$D$62</f>
        <v>0.6</v>
      </c>
      <c r="AA117" s="944">
        <f t="shared" si="44"/>
        <v>0</v>
      </c>
      <c r="AB117" s="944">
        <f t="shared" si="45"/>
        <v>0</v>
      </c>
      <c r="AC117" s="944">
        <f t="shared" si="46"/>
        <v>0</v>
      </c>
      <c r="AD117" s="943" t="e">
        <f t="shared" si="47"/>
        <v>#VALUE!</v>
      </c>
      <c r="AE117" s="943">
        <f t="shared" si="48"/>
        <v>0</v>
      </c>
      <c r="AF117" s="916">
        <f>IF(H117&gt;8,tab!$D$63,tab!$D$65)</f>
        <v>0.5</v>
      </c>
      <c r="AG117" s="925">
        <f t="shared" si="49"/>
        <v>0</v>
      </c>
      <c r="AH117" s="940">
        <f t="shared" si="50"/>
        <v>0</v>
      </c>
      <c r="AM117" s="315"/>
    </row>
    <row r="118" spans="3:39" ht="12.75" customHeight="1" x14ac:dyDescent="0.2">
      <c r="C118" s="69"/>
      <c r="D118" s="75" t="str">
        <f>IF(obp!D86=0,"",obp!D86)</f>
        <v/>
      </c>
      <c r="E118" s="75" t="str">
        <f>IF(obp!E86=0,"-",obp!E86)</f>
        <v/>
      </c>
      <c r="F118" s="88" t="str">
        <f>IF(obp!F86="","",obp!F86+1)</f>
        <v/>
      </c>
      <c r="G118" s="290" t="str">
        <f>IF(obp!G86="","",obp!G86)</f>
        <v/>
      </c>
      <c r="H118" s="88" t="str">
        <f>IF(obp!H86=0,"",obp!H86)</f>
        <v/>
      </c>
      <c r="I118" s="99" t="str">
        <f>IF(J118="","",(IF(obp!I86+1&gt;LOOKUP(H118,schaal2019,regels2019),obp!I86,obp!I86+1)))</f>
        <v/>
      </c>
      <c r="J118" s="291" t="str">
        <f>IF(obp!J86="","",obp!J86)</f>
        <v/>
      </c>
      <c r="K118" s="304"/>
      <c r="L118" s="868">
        <f>IF(obp!L86="","",obp!L86)</f>
        <v>0</v>
      </c>
      <c r="M118" s="868">
        <f>IF(obp!M86="","",obp!M86)</f>
        <v>0</v>
      </c>
      <c r="N118" s="867" t="str">
        <f t="shared" si="39"/>
        <v/>
      </c>
      <c r="O118" s="867"/>
      <c r="P118" s="953" t="str">
        <f t="shared" si="40"/>
        <v/>
      </c>
      <c r="Q118" s="70"/>
      <c r="R118" s="739" t="str">
        <f t="shared" si="51"/>
        <v/>
      </c>
      <c r="S118" s="739" t="str">
        <f t="shared" si="41"/>
        <v/>
      </c>
      <c r="T118" s="740" t="str">
        <f t="shared" si="42"/>
        <v/>
      </c>
      <c r="U118" s="275"/>
      <c r="V118" s="288"/>
      <c r="W118" s="288"/>
      <c r="X118" s="288"/>
      <c r="Y118" s="908">
        <f t="shared" si="43"/>
        <v>0</v>
      </c>
      <c r="Z118" s="986">
        <f>tab!$D$62</f>
        <v>0.6</v>
      </c>
      <c r="AA118" s="944">
        <f t="shared" si="44"/>
        <v>0</v>
      </c>
      <c r="AB118" s="944">
        <f t="shared" si="45"/>
        <v>0</v>
      </c>
      <c r="AC118" s="944">
        <f t="shared" si="46"/>
        <v>0</v>
      </c>
      <c r="AD118" s="943" t="e">
        <f t="shared" si="47"/>
        <v>#VALUE!</v>
      </c>
      <c r="AE118" s="943">
        <f t="shared" si="48"/>
        <v>0</v>
      </c>
      <c r="AF118" s="916">
        <f>IF(H118&gt;8,tab!$D$63,tab!$D$65)</f>
        <v>0.5</v>
      </c>
      <c r="AG118" s="925">
        <f t="shared" si="49"/>
        <v>0</v>
      </c>
      <c r="AH118" s="940">
        <f t="shared" si="50"/>
        <v>0</v>
      </c>
      <c r="AM118" s="315"/>
    </row>
    <row r="119" spans="3:39" ht="12.75" customHeight="1" x14ac:dyDescent="0.2">
      <c r="C119" s="69"/>
      <c r="D119" s="75" t="str">
        <f>IF(obp!D87=0,"",obp!D87)</f>
        <v/>
      </c>
      <c r="E119" s="75" t="str">
        <f>IF(obp!E87=0,"-",obp!E87)</f>
        <v/>
      </c>
      <c r="F119" s="88" t="str">
        <f>IF(obp!F87="","",obp!F87+1)</f>
        <v/>
      </c>
      <c r="G119" s="290" t="str">
        <f>IF(obp!G87="","",obp!G87)</f>
        <v/>
      </c>
      <c r="H119" s="88" t="str">
        <f>IF(obp!H87=0,"",obp!H87)</f>
        <v/>
      </c>
      <c r="I119" s="99" t="str">
        <f>IF(J119="","",(IF(obp!I87+1&gt;LOOKUP(H119,schaal2019,regels2019),obp!I87,obp!I87+1)))</f>
        <v/>
      </c>
      <c r="J119" s="291" t="str">
        <f>IF(obp!J87="","",obp!J87)</f>
        <v/>
      </c>
      <c r="K119" s="304"/>
      <c r="L119" s="868">
        <f>IF(obp!L87="","",obp!L87)</f>
        <v>0</v>
      </c>
      <c r="M119" s="868">
        <f>IF(obp!M87="","",obp!M87)</f>
        <v>0</v>
      </c>
      <c r="N119" s="867" t="str">
        <f t="shared" si="39"/>
        <v/>
      </c>
      <c r="O119" s="867"/>
      <c r="P119" s="953" t="str">
        <f t="shared" si="40"/>
        <v/>
      </c>
      <c r="Q119" s="70"/>
      <c r="R119" s="739" t="str">
        <f t="shared" si="51"/>
        <v/>
      </c>
      <c r="S119" s="739" t="str">
        <f t="shared" si="41"/>
        <v/>
      </c>
      <c r="T119" s="740" t="str">
        <f t="shared" si="42"/>
        <v/>
      </c>
      <c r="U119" s="275"/>
      <c r="V119" s="288"/>
      <c r="W119" s="288"/>
      <c r="X119" s="288"/>
      <c r="Y119" s="908">
        <f t="shared" si="43"/>
        <v>0</v>
      </c>
      <c r="Z119" s="986">
        <f>tab!$D$62</f>
        <v>0.6</v>
      </c>
      <c r="AA119" s="944">
        <f t="shared" si="44"/>
        <v>0</v>
      </c>
      <c r="AB119" s="944">
        <f t="shared" si="45"/>
        <v>0</v>
      </c>
      <c r="AC119" s="944">
        <f t="shared" si="46"/>
        <v>0</v>
      </c>
      <c r="AD119" s="943" t="e">
        <f t="shared" si="47"/>
        <v>#VALUE!</v>
      </c>
      <c r="AE119" s="943">
        <f t="shared" si="48"/>
        <v>0</v>
      </c>
      <c r="AF119" s="916">
        <f>IF(H119&gt;8,tab!$D$63,tab!$D$65)</f>
        <v>0.5</v>
      </c>
      <c r="AG119" s="925">
        <f t="shared" si="49"/>
        <v>0</v>
      </c>
      <c r="AH119" s="940">
        <f t="shared" si="50"/>
        <v>0</v>
      </c>
      <c r="AM119" s="315"/>
    </row>
    <row r="120" spans="3:39" ht="12.75" customHeight="1" x14ac:dyDescent="0.2">
      <c r="C120" s="69"/>
      <c r="D120" s="75" t="str">
        <f>IF(obp!D88=0,"",obp!D88)</f>
        <v/>
      </c>
      <c r="E120" s="75" t="str">
        <f>IF(obp!E88=0,"-",obp!E88)</f>
        <v/>
      </c>
      <c r="F120" s="88" t="str">
        <f>IF(obp!F88="","",obp!F88+1)</f>
        <v/>
      </c>
      <c r="G120" s="290" t="str">
        <f>IF(obp!G88="","",obp!G88)</f>
        <v/>
      </c>
      <c r="H120" s="88" t="str">
        <f>IF(obp!H88=0,"",obp!H88)</f>
        <v/>
      </c>
      <c r="I120" s="99" t="str">
        <f>IF(J120="","",(IF(obp!I88+1&gt;LOOKUP(H120,schaal2019,regels2019),obp!I88,obp!I88+1)))</f>
        <v/>
      </c>
      <c r="J120" s="291" t="str">
        <f>IF(obp!J88="","",obp!J88)</f>
        <v/>
      </c>
      <c r="K120" s="304"/>
      <c r="L120" s="868">
        <f>IF(obp!L88="","",obp!L88)</f>
        <v>0</v>
      </c>
      <c r="M120" s="868">
        <f>IF(obp!M88="","",obp!M88)</f>
        <v>0</v>
      </c>
      <c r="N120" s="867" t="str">
        <f t="shared" si="39"/>
        <v/>
      </c>
      <c r="O120" s="867"/>
      <c r="P120" s="953" t="str">
        <f t="shared" si="40"/>
        <v/>
      </c>
      <c r="Q120" s="70"/>
      <c r="R120" s="739" t="str">
        <f t="shared" si="51"/>
        <v/>
      </c>
      <c r="S120" s="739" t="str">
        <f t="shared" si="41"/>
        <v/>
      </c>
      <c r="T120" s="740" t="str">
        <f t="shared" si="42"/>
        <v/>
      </c>
      <c r="U120" s="275"/>
      <c r="V120" s="288"/>
      <c r="W120" s="288"/>
      <c r="X120" s="288"/>
      <c r="Y120" s="908">
        <f t="shared" si="43"/>
        <v>0</v>
      </c>
      <c r="Z120" s="986">
        <f>tab!$D$62</f>
        <v>0.6</v>
      </c>
      <c r="AA120" s="944">
        <f t="shared" si="44"/>
        <v>0</v>
      </c>
      <c r="AB120" s="944">
        <f t="shared" si="45"/>
        <v>0</v>
      </c>
      <c r="AC120" s="944">
        <f t="shared" si="46"/>
        <v>0</v>
      </c>
      <c r="AD120" s="943" t="e">
        <f t="shared" si="47"/>
        <v>#VALUE!</v>
      </c>
      <c r="AE120" s="943">
        <f t="shared" si="48"/>
        <v>0</v>
      </c>
      <c r="AF120" s="916">
        <f>IF(H120&gt;8,tab!$D$63,tab!$D$65)</f>
        <v>0.5</v>
      </c>
      <c r="AG120" s="925">
        <f t="shared" si="49"/>
        <v>0</v>
      </c>
      <c r="AH120" s="940">
        <f t="shared" si="50"/>
        <v>0</v>
      </c>
      <c r="AM120" s="315"/>
    </row>
    <row r="121" spans="3:39" ht="12.75" customHeight="1" x14ac:dyDescent="0.2">
      <c r="C121" s="69"/>
      <c r="D121" s="75" t="str">
        <f>IF(obp!D89=0,"",obp!D89)</f>
        <v/>
      </c>
      <c r="E121" s="75" t="str">
        <f>IF(obp!E89=0,"-",obp!E89)</f>
        <v/>
      </c>
      <c r="F121" s="88" t="str">
        <f>IF(obp!F89="","",obp!F89+1)</f>
        <v/>
      </c>
      <c r="G121" s="290" t="str">
        <f>IF(obp!G89="","",obp!G89)</f>
        <v/>
      </c>
      <c r="H121" s="88" t="str">
        <f>IF(obp!H89=0,"",obp!H89)</f>
        <v/>
      </c>
      <c r="I121" s="99" t="str">
        <f>IF(J121="","",(IF(obp!I89+1&gt;LOOKUP(H121,schaal2019,regels2019),obp!I89,obp!I89+1)))</f>
        <v/>
      </c>
      <c r="J121" s="291" t="str">
        <f>IF(obp!J89="","",obp!J89)</f>
        <v/>
      </c>
      <c r="K121" s="304"/>
      <c r="L121" s="868">
        <f>IF(obp!L89="","",obp!L89)</f>
        <v>0</v>
      </c>
      <c r="M121" s="868">
        <f>IF(obp!M89="","",obp!M89)</f>
        <v>0</v>
      </c>
      <c r="N121" s="867" t="str">
        <f t="shared" si="39"/>
        <v/>
      </c>
      <c r="O121" s="867"/>
      <c r="P121" s="953" t="str">
        <f t="shared" si="40"/>
        <v/>
      </c>
      <c r="Q121" s="70"/>
      <c r="R121" s="739" t="str">
        <f t="shared" si="51"/>
        <v/>
      </c>
      <c r="S121" s="739" t="str">
        <f t="shared" si="41"/>
        <v/>
      </c>
      <c r="T121" s="740" t="str">
        <f t="shared" si="42"/>
        <v/>
      </c>
      <c r="U121" s="275"/>
      <c r="V121" s="288"/>
      <c r="W121" s="288"/>
      <c r="X121" s="288"/>
      <c r="Y121" s="908">
        <f t="shared" si="43"/>
        <v>0</v>
      </c>
      <c r="Z121" s="986">
        <f>tab!$D$62</f>
        <v>0.6</v>
      </c>
      <c r="AA121" s="944">
        <f t="shared" si="44"/>
        <v>0</v>
      </c>
      <c r="AB121" s="944">
        <f t="shared" si="45"/>
        <v>0</v>
      </c>
      <c r="AC121" s="944">
        <f t="shared" si="46"/>
        <v>0</v>
      </c>
      <c r="AD121" s="943" t="e">
        <f t="shared" si="47"/>
        <v>#VALUE!</v>
      </c>
      <c r="AE121" s="943">
        <f t="shared" si="48"/>
        <v>0</v>
      </c>
      <c r="AF121" s="916">
        <f>IF(H121&gt;8,tab!$D$63,tab!$D$65)</f>
        <v>0.5</v>
      </c>
      <c r="AG121" s="925">
        <f t="shared" si="49"/>
        <v>0</v>
      </c>
      <c r="AH121" s="940">
        <f t="shared" si="50"/>
        <v>0</v>
      </c>
      <c r="AM121" s="315"/>
    </row>
    <row r="122" spans="3:39" ht="12.75" customHeight="1" x14ac:dyDescent="0.2">
      <c r="C122" s="69"/>
      <c r="D122" s="75" t="str">
        <f>IF(obp!D90=0,"",obp!D90)</f>
        <v/>
      </c>
      <c r="E122" s="75" t="str">
        <f>IF(obp!E90=0,"-",obp!E90)</f>
        <v/>
      </c>
      <c r="F122" s="88" t="str">
        <f>IF(obp!F90="","",obp!F90+1)</f>
        <v/>
      </c>
      <c r="G122" s="290" t="str">
        <f>IF(obp!G90="","",obp!G90)</f>
        <v/>
      </c>
      <c r="H122" s="88" t="str">
        <f>IF(obp!H90=0,"",obp!H90)</f>
        <v/>
      </c>
      <c r="I122" s="99" t="str">
        <f>IF(J122="","",(IF(obp!I90+1&gt;LOOKUP(H122,schaal2019,regels2019),obp!I90,obp!I90+1)))</f>
        <v/>
      </c>
      <c r="J122" s="291" t="str">
        <f>IF(obp!J90="","",obp!J90)</f>
        <v/>
      </c>
      <c r="K122" s="304"/>
      <c r="L122" s="868">
        <f>IF(obp!L90="","",obp!L90)</f>
        <v>0</v>
      </c>
      <c r="M122" s="868">
        <f>IF(obp!M90="","",obp!M90)</f>
        <v>0</v>
      </c>
      <c r="N122" s="867" t="str">
        <f t="shared" si="39"/>
        <v/>
      </c>
      <c r="O122" s="867"/>
      <c r="P122" s="953" t="str">
        <f t="shared" si="40"/>
        <v/>
      </c>
      <c r="Q122" s="70"/>
      <c r="R122" s="739" t="str">
        <f t="shared" si="51"/>
        <v/>
      </c>
      <c r="S122" s="739" t="str">
        <f t="shared" si="41"/>
        <v/>
      </c>
      <c r="T122" s="740" t="str">
        <f t="shared" si="42"/>
        <v/>
      </c>
      <c r="U122" s="275"/>
      <c r="V122" s="288"/>
      <c r="W122" s="288"/>
      <c r="X122" s="288"/>
      <c r="Y122" s="908">
        <f t="shared" si="43"/>
        <v>0</v>
      </c>
      <c r="Z122" s="986">
        <f>tab!$D$62</f>
        <v>0.6</v>
      </c>
      <c r="AA122" s="944">
        <f t="shared" si="44"/>
        <v>0</v>
      </c>
      <c r="AB122" s="944">
        <f t="shared" si="45"/>
        <v>0</v>
      </c>
      <c r="AC122" s="944">
        <f t="shared" si="46"/>
        <v>0</v>
      </c>
      <c r="AD122" s="943" t="e">
        <f t="shared" si="47"/>
        <v>#VALUE!</v>
      </c>
      <c r="AE122" s="943">
        <f t="shared" si="48"/>
        <v>0</v>
      </c>
      <c r="AF122" s="916">
        <f>IF(H122&gt;8,tab!$D$63,tab!$D$65)</f>
        <v>0.5</v>
      </c>
      <c r="AG122" s="925">
        <f t="shared" si="49"/>
        <v>0</v>
      </c>
      <c r="AH122" s="940">
        <f t="shared" si="50"/>
        <v>0</v>
      </c>
      <c r="AM122" s="315"/>
    </row>
    <row r="123" spans="3:39" ht="12.75" customHeight="1" x14ac:dyDescent="0.2">
      <c r="C123" s="69"/>
      <c r="D123" s="75" t="str">
        <f>IF(obp!D91=0,"",obp!D91)</f>
        <v/>
      </c>
      <c r="E123" s="75" t="str">
        <f>IF(obp!E91=0,"-",obp!E91)</f>
        <v/>
      </c>
      <c r="F123" s="88" t="str">
        <f>IF(obp!F91="","",obp!F91+1)</f>
        <v/>
      </c>
      <c r="G123" s="290" t="str">
        <f>IF(obp!G91="","",obp!G91)</f>
        <v/>
      </c>
      <c r="H123" s="88" t="str">
        <f>IF(obp!H91=0,"",obp!H91)</f>
        <v/>
      </c>
      <c r="I123" s="99" t="str">
        <f>IF(J123="","",(IF(obp!I91+1&gt;LOOKUP(H123,schaal2019,regels2019),obp!I91,obp!I91+1)))</f>
        <v/>
      </c>
      <c r="J123" s="291" t="str">
        <f>IF(obp!J91="","",obp!J91)</f>
        <v/>
      </c>
      <c r="K123" s="304"/>
      <c r="L123" s="868">
        <f>IF(obp!L91="","",obp!L91)</f>
        <v>0</v>
      </c>
      <c r="M123" s="868">
        <f>IF(obp!M91="","",obp!M91)</f>
        <v>0</v>
      </c>
      <c r="N123" s="867" t="str">
        <f t="shared" si="39"/>
        <v/>
      </c>
      <c r="O123" s="867"/>
      <c r="P123" s="953" t="str">
        <f t="shared" si="40"/>
        <v/>
      </c>
      <c r="Q123" s="70"/>
      <c r="R123" s="739" t="str">
        <f t="shared" si="51"/>
        <v/>
      </c>
      <c r="S123" s="739" t="str">
        <f t="shared" si="41"/>
        <v/>
      </c>
      <c r="T123" s="740" t="str">
        <f t="shared" si="42"/>
        <v/>
      </c>
      <c r="U123" s="275"/>
      <c r="V123" s="288"/>
      <c r="W123" s="288"/>
      <c r="X123" s="288"/>
      <c r="Y123" s="908">
        <f t="shared" si="43"/>
        <v>0</v>
      </c>
      <c r="Z123" s="986">
        <f>tab!$D$62</f>
        <v>0.6</v>
      </c>
      <c r="AA123" s="944">
        <f t="shared" si="44"/>
        <v>0</v>
      </c>
      <c r="AB123" s="944">
        <f t="shared" si="45"/>
        <v>0</v>
      </c>
      <c r="AC123" s="944">
        <f t="shared" si="46"/>
        <v>0</v>
      </c>
      <c r="AD123" s="943" t="e">
        <f t="shared" si="47"/>
        <v>#VALUE!</v>
      </c>
      <c r="AE123" s="943">
        <f t="shared" si="48"/>
        <v>0</v>
      </c>
      <c r="AF123" s="916">
        <f>IF(H123&gt;8,tab!$D$63,tab!$D$65)</f>
        <v>0.5</v>
      </c>
      <c r="AG123" s="925">
        <f t="shared" si="49"/>
        <v>0</v>
      </c>
      <c r="AH123" s="940">
        <f t="shared" si="50"/>
        <v>0</v>
      </c>
      <c r="AM123" s="315"/>
    </row>
    <row r="124" spans="3:39" ht="12.75" customHeight="1" x14ac:dyDescent="0.2">
      <c r="C124" s="69"/>
      <c r="D124" s="75" t="str">
        <f>IF(obp!D92=0,"",obp!D92)</f>
        <v/>
      </c>
      <c r="E124" s="75" t="str">
        <f>IF(obp!E92=0,"-",obp!E92)</f>
        <v/>
      </c>
      <c r="F124" s="88" t="str">
        <f>IF(obp!F92="","",obp!F92+1)</f>
        <v/>
      </c>
      <c r="G124" s="290" t="str">
        <f>IF(obp!G92="","",obp!G92)</f>
        <v/>
      </c>
      <c r="H124" s="88" t="str">
        <f>IF(obp!H92=0,"",obp!H92)</f>
        <v/>
      </c>
      <c r="I124" s="99" t="str">
        <f>IF(J124="","",(IF(obp!I92+1&gt;LOOKUP(H124,schaal2019,regels2019),obp!I92,obp!I92+1)))</f>
        <v/>
      </c>
      <c r="J124" s="291" t="str">
        <f>IF(obp!J92="","",obp!J92)</f>
        <v/>
      </c>
      <c r="K124" s="304"/>
      <c r="L124" s="868">
        <f>IF(obp!L92="","",obp!L92)</f>
        <v>0</v>
      </c>
      <c r="M124" s="868">
        <f>IF(obp!M92="","",obp!M92)</f>
        <v>0</v>
      </c>
      <c r="N124" s="867" t="str">
        <f t="shared" si="39"/>
        <v/>
      </c>
      <c r="O124" s="867"/>
      <c r="P124" s="953" t="str">
        <f t="shared" si="40"/>
        <v/>
      </c>
      <c r="Q124" s="70"/>
      <c r="R124" s="739" t="str">
        <f t="shared" si="51"/>
        <v/>
      </c>
      <c r="S124" s="739" t="str">
        <f t="shared" si="41"/>
        <v/>
      </c>
      <c r="T124" s="740" t="str">
        <f t="shared" si="42"/>
        <v/>
      </c>
      <c r="U124" s="275"/>
      <c r="V124" s="288"/>
      <c r="W124" s="288"/>
      <c r="X124" s="288"/>
      <c r="Y124" s="908">
        <f t="shared" si="43"/>
        <v>0</v>
      </c>
      <c r="Z124" s="986">
        <f>tab!$D$62</f>
        <v>0.6</v>
      </c>
      <c r="AA124" s="944">
        <f t="shared" si="44"/>
        <v>0</v>
      </c>
      <c r="AB124" s="944">
        <f t="shared" si="45"/>
        <v>0</v>
      </c>
      <c r="AC124" s="944">
        <f t="shared" si="46"/>
        <v>0</v>
      </c>
      <c r="AD124" s="943" t="e">
        <f t="shared" si="47"/>
        <v>#VALUE!</v>
      </c>
      <c r="AE124" s="943">
        <f t="shared" si="48"/>
        <v>0</v>
      </c>
      <c r="AF124" s="916">
        <f>IF(H124&gt;8,tab!$D$63,tab!$D$65)</f>
        <v>0.5</v>
      </c>
      <c r="AG124" s="925">
        <f t="shared" si="49"/>
        <v>0</v>
      </c>
      <c r="AH124" s="940">
        <f t="shared" si="50"/>
        <v>0</v>
      </c>
      <c r="AM124" s="315"/>
    </row>
    <row r="125" spans="3:39" ht="12.75" customHeight="1" x14ac:dyDescent="0.2">
      <c r="C125" s="69"/>
      <c r="D125" s="75" t="str">
        <f>IF(obp!D93=0,"",obp!D93)</f>
        <v/>
      </c>
      <c r="E125" s="75" t="str">
        <f>IF(obp!E93=0,"-",obp!E93)</f>
        <v/>
      </c>
      <c r="F125" s="88" t="str">
        <f>IF(obp!F93="","",obp!F93+1)</f>
        <v/>
      </c>
      <c r="G125" s="290" t="str">
        <f>IF(obp!G93="","",obp!G93)</f>
        <v/>
      </c>
      <c r="H125" s="88" t="str">
        <f>IF(obp!H93=0,"",obp!H93)</f>
        <v/>
      </c>
      <c r="I125" s="99" t="str">
        <f>IF(J125="","",(IF(obp!I93+1&gt;LOOKUP(H125,schaal2019,regels2019),obp!I93,obp!I93+1)))</f>
        <v/>
      </c>
      <c r="J125" s="291" t="str">
        <f>IF(obp!J93="","",obp!J93)</f>
        <v/>
      </c>
      <c r="K125" s="304"/>
      <c r="L125" s="868">
        <f>IF(obp!L93="","",obp!L93)</f>
        <v>0</v>
      </c>
      <c r="M125" s="868">
        <f>IF(obp!M93="","",obp!M93)</f>
        <v>0</v>
      </c>
      <c r="N125" s="867" t="str">
        <f t="shared" si="39"/>
        <v/>
      </c>
      <c r="O125" s="867"/>
      <c r="P125" s="953" t="str">
        <f t="shared" si="40"/>
        <v/>
      </c>
      <c r="Q125" s="70"/>
      <c r="R125" s="739" t="str">
        <f t="shared" si="51"/>
        <v/>
      </c>
      <c r="S125" s="739" t="str">
        <f t="shared" si="41"/>
        <v/>
      </c>
      <c r="T125" s="740" t="str">
        <f t="shared" si="42"/>
        <v/>
      </c>
      <c r="U125" s="275"/>
      <c r="V125" s="288"/>
      <c r="W125" s="288"/>
      <c r="X125" s="288"/>
      <c r="Y125" s="908">
        <f t="shared" si="43"/>
        <v>0</v>
      </c>
      <c r="Z125" s="986">
        <f>tab!$D$62</f>
        <v>0.6</v>
      </c>
      <c r="AA125" s="944">
        <f t="shared" si="44"/>
        <v>0</v>
      </c>
      <c r="AB125" s="944">
        <f t="shared" si="45"/>
        <v>0</v>
      </c>
      <c r="AC125" s="944">
        <f t="shared" si="46"/>
        <v>0</v>
      </c>
      <c r="AD125" s="943" t="e">
        <f t="shared" si="47"/>
        <v>#VALUE!</v>
      </c>
      <c r="AE125" s="943">
        <f t="shared" si="48"/>
        <v>0</v>
      </c>
      <c r="AF125" s="916">
        <f>IF(H125&gt;8,tab!$D$63,tab!$D$65)</f>
        <v>0.5</v>
      </c>
      <c r="AG125" s="925">
        <f t="shared" si="49"/>
        <v>0</v>
      </c>
      <c r="AH125" s="940">
        <f t="shared" si="50"/>
        <v>0</v>
      </c>
      <c r="AM125" s="315"/>
    </row>
    <row r="126" spans="3:39" ht="12.75" customHeight="1" x14ac:dyDescent="0.2">
      <c r="C126" s="69"/>
      <c r="D126" s="75" t="str">
        <f>IF(obp!D94=0,"",obp!D94)</f>
        <v/>
      </c>
      <c r="E126" s="75" t="str">
        <f>IF(obp!E94=0,"-",obp!E94)</f>
        <v/>
      </c>
      <c r="F126" s="88" t="str">
        <f>IF(obp!F94="","",obp!F94+1)</f>
        <v/>
      </c>
      <c r="G126" s="290" t="str">
        <f>IF(obp!G94="","",obp!G94)</f>
        <v/>
      </c>
      <c r="H126" s="88" t="str">
        <f>IF(obp!H94=0,"",obp!H94)</f>
        <v/>
      </c>
      <c r="I126" s="99" t="str">
        <f>IF(J126="","",(IF(obp!I94+1&gt;LOOKUP(H126,schaal2019,regels2019),obp!I94,obp!I94+1)))</f>
        <v/>
      </c>
      <c r="J126" s="291" t="str">
        <f>IF(obp!J94="","",obp!J94)</f>
        <v/>
      </c>
      <c r="K126" s="304"/>
      <c r="L126" s="868">
        <f>IF(obp!L94="","",obp!L94)</f>
        <v>0</v>
      </c>
      <c r="M126" s="868">
        <f>IF(obp!M94="","",obp!M94)</f>
        <v>0</v>
      </c>
      <c r="N126" s="867" t="str">
        <f t="shared" si="39"/>
        <v/>
      </c>
      <c r="O126" s="867"/>
      <c r="P126" s="953" t="str">
        <f t="shared" si="40"/>
        <v/>
      </c>
      <c r="Q126" s="70"/>
      <c r="R126" s="739" t="str">
        <f t="shared" si="51"/>
        <v/>
      </c>
      <c r="S126" s="739" t="str">
        <f t="shared" si="41"/>
        <v/>
      </c>
      <c r="T126" s="740" t="str">
        <f t="shared" si="42"/>
        <v/>
      </c>
      <c r="U126" s="275"/>
      <c r="V126" s="288"/>
      <c r="W126" s="288"/>
      <c r="X126" s="288"/>
      <c r="Y126" s="908">
        <f t="shared" si="43"/>
        <v>0</v>
      </c>
      <c r="Z126" s="986">
        <f>tab!$D$62</f>
        <v>0.6</v>
      </c>
      <c r="AA126" s="944">
        <f t="shared" si="44"/>
        <v>0</v>
      </c>
      <c r="AB126" s="944">
        <f t="shared" si="45"/>
        <v>0</v>
      </c>
      <c r="AC126" s="944">
        <f t="shared" si="46"/>
        <v>0</v>
      </c>
      <c r="AD126" s="943" t="e">
        <f t="shared" si="47"/>
        <v>#VALUE!</v>
      </c>
      <c r="AE126" s="943">
        <f t="shared" si="48"/>
        <v>0</v>
      </c>
      <c r="AF126" s="916">
        <f>IF(H126&gt;8,tab!$D$63,tab!$D$65)</f>
        <v>0.5</v>
      </c>
      <c r="AG126" s="925">
        <f t="shared" si="49"/>
        <v>0</v>
      </c>
      <c r="AH126" s="940">
        <f t="shared" si="50"/>
        <v>0</v>
      </c>
      <c r="AM126" s="315"/>
    </row>
    <row r="127" spans="3:39" ht="12.75" customHeight="1" x14ac:dyDescent="0.2">
      <c r="C127" s="69"/>
      <c r="D127" s="75" t="str">
        <f>IF(obp!D95=0,"",obp!D95)</f>
        <v/>
      </c>
      <c r="E127" s="75" t="str">
        <f>IF(obp!E95=0,"-",obp!E95)</f>
        <v/>
      </c>
      <c r="F127" s="88" t="str">
        <f>IF(obp!F95="","",obp!F95+1)</f>
        <v/>
      </c>
      <c r="G127" s="290" t="str">
        <f>IF(obp!G95="","",obp!G95)</f>
        <v/>
      </c>
      <c r="H127" s="88" t="str">
        <f>IF(obp!H95=0,"",obp!H95)</f>
        <v/>
      </c>
      <c r="I127" s="99" t="str">
        <f>IF(J127="","",(IF(obp!I95+1&gt;LOOKUP(H127,schaal2019,regels2019),obp!I95,obp!I95+1)))</f>
        <v/>
      </c>
      <c r="J127" s="291" t="str">
        <f>IF(obp!J95="","",obp!J95)</f>
        <v/>
      </c>
      <c r="K127" s="304"/>
      <c r="L127" s="868">
        <f>IF(obp!L95="","",obp!L95)</f>
        <v>0</v>
      </c>
      <c r="M127" s="868">
        <f>IF(obp!M95="","",obp!M95)</f>
        <v>0</v>
      </c>
      <c r="N127" s="867" t="str">
        <f t="shared" si="39"/>
        <v/>
      </c>
      <c r="O127" s="867"/>
      <c r="P127" s="953" t="str">
        <f t="shared" si="40"/>
        <v/>
      </c>
      <c r="Q127" s="70"/>
      <c r="R127" s="739" t="str">
        <f t="shared" si="51"/>
        <v/>
      </c>
      <c r="S127" s="739" t="str">
        <f t="shared" si="41"/>
        <v/>
      </c>
      <c r="T127" s="740" t="str">
        <f t="shared" si="42"/>
        <v/>
      </c>
      <c r="U127" s="275"/>
      <c r="V127" s="288"/>
      <c r="W127" s="288"/>
      <c r="X127" s="288"/>
      <c r="Y127" s="908">
        <f t="shared" si="43"/>
        <v>0</v>
      </c>
      <c r="Z127" s="986">
        <f>tab!$D$62</f>
        <v>0.6</v>
      </c>
      <c r="AA127" s="944">
        <f t="shared" si="44"/>
        <v>0</v>
      </c>
      <c r="AB127" s="944">
        <f t="shared" si="45"/>
        <v>0</v>
      </c>
      <c r="AC127" s="944">
        <f t="shared" si="46"/>
        <v>0</v>
      </c>
      <c r="AD127" s="943" t="e">
        <f t="shared" si="47"/>
        <v>#VALUE!</v>
      </c>
      <c r="AE127" s="943">
        <f t="shared" si="48"/>
        <v>0</v>
      </c>
      <c r="AF127" s="916">
        <f>IF(H127&gt;8,tab!$D$63,tab!$D$65)</f>
        <v>0.5</v>
      </c>
      <c r="AG127" s="925">
        <f t="shared" si="49"/>
        <v>0</v>
      </c>
      <c r="AH127" s="940">
        <f t="shared" si="50"/>
        <v>0</v>
      </c>
      <c r="AM127" s="315"/>
    </row>
    <row r="128" spans="3:39" ht="12.75" customHeight="1" x14ac:dyDescent="0.2">
      <c r="C128" s="69"/>
      <c r="D128" s="75" t="str">
        <f>IF(obp!D96=0,"",obp!D96)</f>
        <v/>
      </c>
      <c r="E128" s="75" t="str">
        <f>IF(obp!E96=0,"-",obp!E96)</f>
        <v/>
      </c>
      <c r="F128" s="88" t="str">
        <f>IF(obp!F96="","",obp!F96+1)</f>
        <v/>
      </c>
      <c r="G128" s="290" t="str">
        <f>IF(obp!G96="","",obp!G96)</f>
        <v/>
      </c>
      <c r="H128" s="88" t="str">
        <f>IF(obp!H96=0,"",obp!H96)</f>
        <v/>
      </c>
      <c r="I128" s="99" t="str">
        <f>IF(J128="","",(IF(obp!I96+1&gt;LOOKUP(H128,schaal2019,regels2019),obp!I96,obp!I96+1)))</f>
        <v/>
      </c>
      <c r="J128" s="291" t="str">
        <f>IF(obp!J96="","",obp!J96)</f>
        <v/>
      </c>
      <c r="K128" s="304"/>
      <c r="L128" s="868">
        <f>IF(obp!L96="","",obp!L96)</f>
        <v>0</v>
      </c>
      <c r="M128" s="868">
        <f>IF(obp!M96="","",obp!M96)</f>
        <v>0</v>
      </c>
      <c r="N128" s="867" t="str">
        <f t="shared" si="39"/>
        <v/>
      </c>
      <c r="O128" s="867"/>
      <c r="P128" s="953" t="str">
        <f t="shared" si="40"/>
        <v/>
      </c>
      <c r="Q128" s="70"/>
      <c r="R128" s="739" t="str">
        <f t="shared" si="51"/>
        <v/>
      </c>
      <c r="S128" s="739" t="str">
        <f t="shared" si="41"/>
        <v/>
      </c>
      <c r="T128" s="740" t="str">
        <f t="shared" si="42"/>
        <v/>
      </c>
      <c r="U128" s="275"/>
      <c r="V128" s="288"/>
      <c r="W128" s="288"/>
      <c r="X128" s="288"/>
      <c r="Y128" s="908">
        <f t="shared" si="43"/>
        <v>0</v>
      </c>
      <c r="Z128" s="986">
        <f>tab!$D$62</f>
        <v>0.6</v>
      </c>
      <c r="AA128" s="944">
        <f t="shared" si="44"/>
        <v>0</v>
      </c>
      <c r="AB128" s="944">
        <f t="shared" si="45"/>
        <v>0</v>
      </c>
      <c r="AC128" s="944">
        <f t="shared" si="46"/>
        <v>0</v>
      </c>
      <c r="AD128" s="943" t="e">
        <f t="shared" si="47"/>
        <v>#VALUE!</v>
      </c>
      <c r="AE128" s="943">
        <f t="shared" si="48"/>
        <v>0</v>
      </c>
      <c r="AF128" s="916">
        <f>IF(H128&gt;8,tab!$D$63,tab!$D$65)</f>
        <v>0.5</v>
      </c>
      <c r="AG128" s="925">
        <f t="shared" si="49"/>
        <v>0</v>
      </c>
      <c r="AH128" s="940">
        <f t="shared" si="50"/>
        <v>0</v>
      </c>
      <c r="AM128" s="315"/>
    </row>
    <row r="129" spans="3:39" ht="12.75" customHeight="1" x14ac:dyDescent="0.2">
      <c r="C129" s="69"/>
      <c r="D129" s="75" t="str">
        <f>IF(obp!D97=0,"",obp!D97)</f>
        <v/>
      </c>
      <c r="E129" s="75" t="str">
        <f>IF(obp!E97=0,"-",obp!E97)</f>
        <v/>
      </c>
      <c r="F129" s="88" t="str">
        <f>IF(obp!F97="","",obp!F97+1)</f>
        <v/>
      </c>
      <c r="G129" s="290" t="str">
        <f>IF(obp!G97="","",obp!G97)</f>
        <v/>
      </c>
      <c r="H129" s="88" t="str">
        <f>IF(obp!H97=0,"",obp!H97)</f>
        <v/>
      </c>
      <c r="I129" s="99" t="str">
        <f>IF(J129="","",(IF(obp!I97+1&gt;LOOKUP(H129,schaal2019,regels2019),obp!I97,obp!I97+1)))</f>
        <v/>
      </c>
      <c r="J129" s="291" t="str">
        <f>IF(obp!J97="","",obp!J97)</f>
        <v/>
      </c>
      <c r="K129" s="304"/>
      <c r="L129" s="868">
        <f>IF(obp!L97="","",obp!L97)</f>
        <v>0</v>
      </c>
      <c r="M129" s="868">
        <f>IF(obp!M97="","",obp!M97)</f>
        <v>0</v>
      </c>
      <c r="N129" s="867" t="str">
        <f t="shared" si="39"/>
        <v/>
      </c>
      <c r="O129" s="867"/>
      <c r="P129" s="953" t="str">
        <f t="shared" si="40"/>
        <v/>
      </c>
      <c r="Q129" s="70"/>
      <c r="R129" s="739" t="str">
        <f t="shared" si="51"/>
        <v/>
      </c>
      <c r="S129" s="739" t="str">
        <f t="shared" si="41"/>
        <v/>
      </c>
      <c r="T129" s="740" t="str">
        <f t="shared" si="42"/>
        <v/>
      </c>
      <c r="U129" s="275"/>
      <c r="V129" s="288"/>
      <c r="W129" s="288"/>
      <c r="X129" s="288"/>
      <c r="Y129" s="908">
        <f t="shared" si="43"/>
        <v>0</v>
      </c>
      <c r="Z129" s="986">
        <f>tab!$D$62</f>
        <v>0.6</v>
      </c>
      <c r="AA129" s="944">
        <f t="shared" si="44"/>
        <v>0</v>
      </c>
      <c r="AB129" s="944">
        <f t="shared" si="45"/>
        <v>0</v>
      </c>
      <c r="AC129" s="944">
        <f t="shared" si="46"/>
        <v>0</v>
      </c>
      <c r="AD129" s="943" t="e">
        <f t="shared" si="47"/>
        <v>#VALUE!</v>
      </c>
      <c r="AE129" s="943">
        <f t="shared" si="48"/>
        <v>0</v>
      </c>
      <c r="AF129" s="916">
        <f>IF(H129&gt;8,tab!$D$63,tab!$D$65)</f>
        <v>0.5</v>
      </c>
      <c r="AG129" s="925">
        <f t="shared" si="49"/>
        <v>0</v>
      </c>
      <c r="AH129" s="940">
        <f t="shared" si="50"/>
        <v>0</v>
      </c>
      <c r="AM129" s="315"/>
    </row>
    <row r="130" spans="3:39" ht="12.75" customHeight="1" x14ac:dyDescent="0.2">
      <c r="C130" s="69"/>
      <c r="D130" s="75" t="str">
        <f>IF(obp!D98=0,"",obp!D98)</f>
        <v/>
      </c>
      <c r="E130" s="75" t="str">
        <f>IF(obp!E98=0,"-",obp!E98)</f>
        <v/>
      </c>
      <c r="F130" s="88" t="str">
        <f>IF(obp!F98="","",obp!F98+1)</f>
        <v/>
      </c>
      <c r="G130" s="290" t="str">
        <f>IF(obp!G98="","",obp!G98)</f>
        <v/>
      </c>
      <c r="H130" s="88" t="str">
        <f>IF(obp!H98=0,"",obp!H98)</f>
        <v/>
      </c>
      <c r="I130" s="99" t="str">
        <f>IF(J130="","",(IF(obp!I98+1&gt;LOOKUP(H130,schaal2019,regels2019),obp!I98,obp!I98+1)))</f>
        <v/>
      </c>
      <c r="J130" s="291" t="str">
        <f>IF(obp!J98="","",obp!J98)</f>
        <v/>
      </c>
      <c r="K130" s="304"/>
      <c r="L130" s="868">
        <f>IF(obp!L98="","",obp!L98)</f>
        <v>0</v>
      </c>
      <c r="M130" s="868">
        <f>IF(obp!M98="","",obp!M98)</f>
        <v>0</v>
      </c>
      <c r="N130" s="867" t="str">
        <f t="shared" si="39"/>
        <v/>
      </c>
      <c r="O130" s="867"/>
      <c r="P130" s="953" t="str">
        <f t="shared" si="40"/>
        <v/>
      </c>
      <c r="Q130" s="70"/>
      <c r="R130" s="739" t="str">
        <f t="shared" si="51"/>
        <v/>
      </c>
      <c r="S130" s="739" t="str">
        <f t="shared" si="41"/>
        <v/>
      </c>
      <c r="T130" s="740" t="str">
        <f t="shared" si="42"/>
        <v/>
      </c>
      <c r="U130" s="275"/>
      <c r="V130" s="288"/>
      <c r="W130" s="288"/>
      <c r="X130" s="288"/>
      <c r="Y130" s="908">
        <f t="shared" si="43"/>
        <v>0</v>
      </c>
      <c r="Z130" s="986">
        <f>tab!$D$62</f>
        <v>0.6</v>
      </c>
      <c r="AA130" s="944">
        <f t="shared" si="44"/>
        <v>0</v>
      </c>
      <c r="AB130" s="944">
        <f t="shared" si="45"/>
        <v>0</v>
      </c>
      <c r="AC130" s="944">
        <f t="shared" si="46"/>
        <v>0</v>
      </c>
      <c r="AD130" s="943" t="e">
        <f t="shared" si="47"/>
        <v>#VALUE!</v>
      </c>
      <c r="AE130" s="943">
        <f t="shared" si="48"/>
        <v>0</v>
      </c>
      <c r="AF130" s="916">
        <f>IF(H130&gt;8,tab!$D$63,tab!$D$65)</f>
        <v>0.5</v>
      </c>
      <c r="AG130" s="925">
        <f t="shared" si="49"/>
        <v>0</v>
      </c>
      <c r="AH130" s="940">
        <f t="shared" si="50"/>
        <v>0</v>
      </c>
      <c r="AM130" s="315"/>
    </row>
    <row r="131" spans="3:39" ht="12.75" customHeight="1" x14ac:dyDescent="0.2">
      <c r="C131" s="69"/>
      <c r="D131" s="75" t="str">
        <f>IF(obp!D99=0,"",obp!D99)</f>
        <v/>
      </c>
      <c r="E131" s="75" t="str">
        <f>IF(obp!E99=0,"-",obp!E99)</f>
        <v/>
      </c>
      <c r="F131" s="88" t="str">
        <f>IF(obp!F99="","",obp!F99+1)</f>
        <v/>
      </c>
      <c r="G131" s="290" t="str">
        <f>IF(obp!G99="","",obp!G99)</f>
        <v/>
      </c>
      <c r="H131" s="88" t="str">
        <f>IF(obp!H99=0,"",obp!H99)</f>
        <v/>
      </c>
      <c r="I131" s="99" t="str">
        <f>IF(J131="","",(IF(obp!I99+1&gt;LOOKUP(H131,schaal2019,regels2019),obp!I99,obp!I99+1)))</f>
        <v/>
      </c>
      <c r="J131" s="291" t="str">
        <f>IF(obp!J99="","",obp!J99)</f>
        <v/>
      </c>
      <c r="K131" s="304"/>
      <c r="L131" s="868">
        <f>IF(obp!L99="","",obp!L99)</f>
        <v>0</v>
      </c>
      <c r="M131" s="868">
        <f>IF(obp!M99="","",obp!M99)</f>
        <v>0</v>
      </c>
      <c r="N131" s="867" t="str">
        <f t="shared" si="39"/>
        <v/>
      </c>
      <c r="O131" s="867"/>
      <c r="P131" s="953" t="str">
        <f t="shared" si="40"/>
        <v/>
      </c>
      <c r="Q131" s="70"/>
      <c r="R131" s="739" t="str">
        <f t="shared" si="51"/>
        <v/>
      </c>
      <c r="S131" s="739" t="str">
        <f t="shared" si="41"/>
        <v/>
      </c>
      <c r="T131" s="740" t="str">
        <f t="shared" si="42"/>
        <v/>
      </c>
      <c r="U131" s="275"/>
      <c r="V131" s="288"/>
      <c r="W131" s="288"/>
      <c r="X131" s="288"/>
      <c r="Y131" s="908">
        <f t="shared" si="43"/>
        <v>0</v>
      </c>
      <c r="Z131" s="986">
        <f>tab!$D$62</f>
        <v>0.6</v>
      </c>
      <c r="AA131" s="944">
        <f t="shared" si="44"/>
        <v>0</v>
      </c>
      <c r="AB131" s="944">
        <f t="shared" si="45"/>
        <v>0</v>
      </c>
      <c r="AC131" s="944">
        <f t="shared" si="46"/>
        <v>0</v>
      </c>
      <c r="AD131" s="943" t="e">
        <f t="shared" si="47"/>
        <v>#VALUE!</v>
      </c>
      <c r="AE131" s="943">
        <f t="shared" si="48"/>
        <v>0</v>
      </c>
      <c r="AF131" s="916">
        <f>IF(H131&gt;8,tab!$D$63,tab!$D$65)</f>
        <v>0.5</v>
      </c>
      <c r="AG131" s="925">
        <f t="shared" si="49"/>
        <v>0</v>
      </c>
      <c r="AH131" s="940">
        <f t="shared" si="50"/>
        <v>0</v>
      </c>
      <c r="AM131" s="315"/>
    </row>
    <row r="132" spans="3:39" ht="12.75" customHeight="1" x14ac:dyDescent="0.2">
      <c r="C132" s="69"/>
      <c r="D132" s="75" t="str">
        <f>IF(obp!D100=0,"",obp!D100)</f>
        <v/>
      </c>
      <c r="E132" s="75" t="str">
        <f>IF(obp!E100=0,"-",obp!E100)</f>
        <v/>
      </c>
      <c r="F132" s="88" t="str">
        <f>IF(obp!F100="","",obp!F100+1)</f>
        <v/>
      </c>
      <c r="G132" s="290" t="str">
        <f>IF(obp!G100="","",obp!G100)</f>
        <v/>
      </c>
      <c r="H132" s="88" t="str">
        <f>IF(obp!H100=0,"",obp!H100)</f>
        <v/>
      </c>
      <c r="I132" s="99" t="str">
        <f>IF(J132="","",(IF(obp!I100+1&gt;LOOKUP(H132,schaal2019,regels2019),obp!I100,obp!I100+1)))</f>
        <v/>
      </c>
      <c r="J132" s="291" t="str">
        <f>IF(obp!J100="","",obp!J100)</f>
        <v/>
      </c>
      <c r="K132" s="304"/>
      <c r="L132" s="868">
        <f>IF(obp!L100="","",obp!L100)</f>
        <v>0</v>
      </c>
      <c r="M132" s="868">
        <f>IF(obp!M100="","",obp!M100)</f>
        <v>0</v>
      </c>
      <c r="N132" s="867" t="str">
        <f t="shared" si="39"/>
        <v/>
      </c>
      <c r="O132" s="867"/>
      <c r="P132" s="953" t="str">
        <f t="shared" si="40"/>
        <v/>
      </c>
      <c r="Q132" s="70"/>
      <c r="R132" s="739" t="str">
        <f t="shared" si="51"/>
        <v/>
      </c>
      <c r="S132" s="739" t="str">
        <f t="shared" si="41"/>
        <v/>
      </c>
      <c r="T132" s="740" t="str">
        <f t="shared" si="42"/>
        <v/>
      </c>
      <c r="U132" s="275"/>
      <c r="V132" s="288"/>
      <c r="W132" s="288"/>
      <c r="X132" s="288"/>
      <c r="Y132" s="908">
        <f t="shared" si="43"/>
        <v>0</v>
      </c>
      <c r="Z132" s="986">
        <f>tab!$D$62</f>
        <v>0.6</v>
      </c>
      <c r="AA132" s="944">
        <f t="shared" si="44"/>
        <v>0</v>
      </c>
      <c r="AB132" s="944">
        <f t="shared" si="45"/>
        <v>0</v>
      </c>
      <c r="AC132" s="944">
        <f t="shared" si="46"/>
        <v>0</v>
      </c>
      <c r="AD132" s="943" t="e">
        <f t="shared" si="47"/>
        <v>#VALUE!</v>
      </c>
      <c r="AE132" s="943">
        <f t="shared" si="48"/>
        <v>0</v>
      </c>
      <c r="AF132" s="916">
        <f>IF(H132&gt;8,tab!$D$63,tab!$D$65)</f>
        <v>0.5</v>
      </c>
      <c r="AG132" s="925">
        <f t="shared" si="49"/>
        <v>0</v>
      </c>
      <c r="AH132" s="940">
        <f t="shared" si="50"/>
        <v>0</v>
      </c>
      <c r="AM132" s="315"/>
    </row>
    <row r="133" spans="3:39" x14ac:dyDescent="0.2">
      <c r="C133" s="69"/>
      <c r="D133" s="89"/>
      <c r="E133" s="89"/>
      <c r="F133" s="98"/>
      <c r="G133" s="299"/>
      <c r="H133" s="98"/>
      <c r="I133" s="362"/>
      <c r="J133" s="742">
        <f>SUM(J113:J132)</f>
        <v>0</v>
      </c>
      <c r="K133" s="292"/>
      <c r="L133" s="869">
        <f>SUM(L113:L132)</f>
        <v>0</v>
      </c>
      <c r="M133" s="869">
        <f>SUM(M113:M132)</f>
        <v>0</v>
      </c>
      <c r="N133" s="869">
        <f>SUM(N113:N132)</f>
        <v>0</v>
      </c>
      <c r="O133" s="869"/>
      <c r="P133" s="869">
        <f>SUM(P113:P132)</f>
        <v>0</v>
      </c>
      <c r="Q133" s="292"/>
      <c r="R133" s="743">
        <f>SUM(R113:R132)</f>
        <v>0</v>
      </c>
      <c r="S133" s="743">
        <f>SUM(S113:S132)</f>
        <v>0</v>
      </c>
      <c r="T133" s="743">
        <f>SUM(T113:T132)</f>
        <v>0</v>
      </c>
      <c r="U133" s="106"/>
      <c r="Y133" s="909">
        <f>SUM(Y113:Y132)</f>
        <v>2791</v>
      </c>
      <c r="Z133" s="983"/>
      <c r="AA133" s="983"/>
      <c r="AB133" s="983"/>
      <c r="AC133" s="983"/>
      <c r="AD133" s="917" t="e">
        <f>SUM(AD113:AD132)</f>
        <v>#VALUE!</v>
      </c>
      <c r="AE133" s="930">
        <f>SUM(AE113:AE132)</f>
        <v>0</v>
      </c>
      <c r="AF133" s="909"/>
      <c r="AG133" s="928">
        <f>SUM(AG113:AG132)</f>
        <v>0</v>
      </c>
      <c r="AH133" s="937">
        <f>SUM(AH113:AH132)</f>
        <v>0</v>
      </c>
    </row>
    <row r="134" spans="3:39" x14ac:dyDescent="0.2">
      <c r="C134" s="76"/>
      <c r="D134" s="107"/>
      <c r="E134" s="107"/>
      <c r="F134" s="143"/>
      <c r="G134" s="303"/>
      <c r="H134" s="143"/>
      <c r="I134" s="304"/>
      <c r="J134" s="305"/>
      <c r="K134" s="304"/>
      <c r="L134" s="304"/>
      <c r="M134" s="304"/>
      <c r="N134" s="304"/>
      <c r="O134" s="304"/>
      <c r="P134" s="304"/>
      <c r="Q134" s="304"/>
      <c r="R134" s="364"/>
      <c r="S134" s="300"/>
      <c r="T134" s="300"/>
      <c r="U134" s="365"/>
      <c r="Y134" s="881"/>
      <c r="Z134" s="983"/>
      <c r="AA134" s="983"/>
      <c r="AB134" s="983"/>
      <c r="AC134" s="983"/>
      <c r="AF134" s="909"/>
      <c r="AG134" s="928"/>
      <c r="AH134" s="937"/>
    </row>
    <row r="137" spans="3:39" x14ac:dyDescent="0.2">
      <c r="C137" s="48" t="s">
        <v>165</v>
      </c>
      <c r="E137" s="327" t="str">
        <f>dir!E101</f>
        <v>2023/24</v>
      </c>
      <c r="AE137" s="911"/>
    </row>
    <row r="138" spans="3:39" x14ac:dyDescent="0.2">
      <c r="C138" s="48" t="s">
        <v>187</v>
      </c>
      <c r="E138" s="327">
        <f>dir!E102</f>
        <v>45200</v>
      </c>
      <c r="AE138" s="911"/>
    </row>
    <row r="139" spans="3:39" x14ac:dyDescent="0.2">
      <c r="AE139" s="911"/>
    </row>
    <row r="140" spans="3:39" x14ac:dyDescent="0.2">
      <c r="C140" s="757"/>
      <c r="D140" s="724"/>
      <c r="E140" s="723"/>
      <c r="F140" s="704"/>
      <c r="G140" s="725"/>
      <c r="H140" s="726"/>
      <c r="I140" s="726"/>
      <c r="J140" s="727"/>
      <c r="K140" s="728"/>
      <c r="L140" s="726"/>
      <c r="M140" s="726"/>
      <c r="N140" s="726"/>
      <c r="O140" s="726"/>
      <c r="P140" s="726"/>
      <c r="Q140" s="728"/>
      <c r="R140" s="728"/>
      <c r="S140" s="728"/>
      <c r="T140" s="626"/>
      <c r="U140" s="119"/>
      <c r="Z140" s="709"/>
      <c r="AA140" s="709"/>
      <c r="AB140" s="709"/>
      <c r="AC140" s="709"/>
      <c r="AE140" s="911"/>
      <c r="AI140" s="260"/>
      <c r="AJ140" s="260"/>
      <c r="AK140" s="260"/>
      <c r="AL140" s="212"/>
      <c r="AM140" s="211"/>
    </row>
    <row r="141" spans="3:39" x14ac:dyDescent="0.2">
      <c r="C141" s="758"/>
      <c r="D141" s="864" t="s">
        <v>298</v>
      </c>
      <c r="E141" s="865"/>
      <c r="F141" s="865"/>
      <c r="G141" s="865"/>
      <c r="H141" s="866"/>
      <c r="I141" s="866"/>
      <c r="J141" s="866"/>
      <c r="K141" s="968"/>
      <c r="L141" s="864" t="s">
        <v>492</v>
      </c>
      <c r="M141" s="858"/>
      <c r="N141" s="864"/>
      <c r="O141" s="864"/>
      <c r="P141" s="951"/>
      <c r="Q141" s="730"/>
      <c r="R141" s="864" t="s">
        <v>494</v>
      </c>
      <c r="S141" s="866"/>
      <c r="T141" s="935"/>
      <c r="U141" s="746"/>
      <c r="V141" s="279"/>
      <c r="W141" s="279"/>
      <c r="X141" s="279"/>
      <c r="Y141" s="882"/>
      <c r="Z141" s="913"/>
      <c r="AA141" s="882"/>
      <c r="AB141" s="882"/>
      <c r="AC141" s="882"/>
      <c r="AD141" s="912"/>
      <c r="AE141" s="912"/>
      <c r="AF141" s="913"/>
      <c r="AG141" s="933"/>
      <c r="AH141" s="941"/>
      <c r="AI141" s="923"/>
      <c r="AJ141" s="923"/>
      <c r="AK141" s="923"/>
      <c r="AL141" s="923"/>
      <c r="AM141" s="923"/>
    </row>
    <row r="142" spans="3:39" x14ac:dyDescent="0.2">
      <c r="C142" s="758"/>
      <c r="D142" s="693" t="s">
        <v>480</v>
      </c>
      <c r="E142" s="693" t="s">
        <v>171</v>
      </c>
      <c r="F142" s="732" t="s">
        <v>119</v>
      </c>
      <c r="G142" s="733" t="s">
        <v>289</v>
      </c>
      <c r="H142" s="732" t="s">
        <v>201</v>
      </c>
      <c r="I142" s="732" t="s">
        <v>229</v>
      </c>
      <c r="J142" s="734" t="s">
        <v>122</v>
      </c>
      <c r="K142" s="969"/>
      <c r="L142" s="735" t="s">
        <v>475</v>
      </c>
      <c r="M142" s="735" t="s">
        <v>468</v>
      </c>
      <c r="N142" s="735" t="s">
        <v>482</v>
      </c>
      <c r="O142" s="735" t="s">
        <v>475</v>
      </c>
      <c r="P142" s="952" t="s">
        <v>487</v>
      </c>
      <c r="Q142" s="702"/>
      <c r="R142" s="863" t="s">
        <v>186</v>
      </c>
      <c r="S142" s="737" t="s">
        <v>493</v>
      </c>
      <c r="T142" s="738" t="s">
        <v>186</v>
      </c>
      <c r="U142" s="747"/>
      <c r="V142" s="282"/>
      <c r="W142" s="282"/>
      <c r="X142" s="282"/>
      <c r="Y142" s="914" t="s">
        <v>322</v>
      </c>
      <c r="Z142" s="960" t="s">
        <v>479</v>
      </c>
      <c r="AA142" s="903" t="s">
        <v>488</v>
      </c>
      <c r="AB142" s="903" t="s">
        <v>488</v>
      </c>
      <c r="AC142" s="903" t="s">
        <v>491</v>
      </c>
      <c r="AD142" s="915" t="s">
        <v>473</v>
      </c>
      <c r="AE142" s="915" t="s">
        <v>474</v>
      </c>
      <c r="AF142" s="902" t="s">
        <v>470</v>
      </c>
      <c r="AG142" s="934" t="s">
        <v>306</v>
      </c>
      <c r="AH142" s="941" t="s">
        <v>415</v>
      </c>
      <c r="AI142" s="902" t="s">
        <v>292</v>
      </c>
      <c r="AJ142" s="902" t="s">
        <v>293</v>
      </c>
      <c r="AK142" s="902" t="s">
        <v>121</v>
      </c>
      <c r="AL142" s="902" t="s">
        <v>198</v>
      </c>
      <c r="AM142" s="915" t="s">
        <v>173</v>
      </c>
    </row>
    <row r="143" spans="3:39" x14ac:dyDescent="0.2">
      <c r="C143" s="758"/>
      <c r="D143" s="865"/>
      <c r="E143" s="693"/>
      <c r="F143" s="732" t="s">
        <v>120</v>
      </c>
      <c r="G143" s="733" t="s">
        <v>290</v>
      </c>
      <c r="H143" s="732"/>
      <c r="I143" s="732"/>
      <c r="J143" s="734"/>
      <c r="K143" s="969"/>
      <c r="L143" s="735" t="s">
        <v>476</v>
      </c>
      <c r="M143" s="735" t="s">
        <v>478</v>
      </c>
      <c r="N143" s="735" t="s">
        <v>483</v>
      </c>
      <c r="O143" s="735" t="s">
        <v>477</v>
      </c>
      <c r="P143" s="952" t="s">
        <v>284</v>
      </c>
      <c r="Q143" s="702"/>
      <c r="R143" s="706" t="s">
        <v>485</v>
      </c>
      <c r="S143" s="737" t="s">
        <v>469</v>
      </c>
      <c r="T143" s="738" t="s">
        <v>284</v>
      </c>
      <c r="U143" s="710"/>
      <c r="V143" s="81"/>
      <c r="W143" s="81"/>
      <c r="X143" s="81"/>
      <c r="Y143" s="914" t="s">
        <v>193</v>
      </c>
      <c r="Z143" s="961">
        <f>tab!$D$62</f>
        <v>0.6</v>
      </c>
      <c r="AA143" s="903" t="s">
        <v>489</v>
      </c>
      <c r="AB143" s="903" t="s">
        <v>490</v>
      </c>
      <c r="AC143" s="903" t="s">
        <v>486</v>
      </c>
      <c r="AD143" s="915" t="s">
        <v>472</v>
      </c>
      <c r="AE143" s="915" t="s">
        <v>472</v>
      </c>
      <c r="AF143" s="902" t="s">
        <v>471</v>
      </c>
      <c r="AG143" s="934"/>
      <c r="AH143" s="940" t="s">
        <v>228</v>
      </c>
      <c r="AI143" s="915" t="s">
        <v>291</v>
      </c>
      <c r="AJ143" s="915" t="s">
        <v>291</v>
      </c>
      <c r="AK143" s="902"/>
      <c r="AL143" s="902" t="s">
        <v>173</v>
      </c>
      <c r="AM143" s="915"/>
    </row>
    <row r="144" spans="3:39" x14ac:dyDescent="0.2">
      <c r="C144" s="758"/>
      <c r="D144" s="865"/>
      <c r="E144" s="865"/>
      <c r="F144" s="703"/>
      <c r="G144" s="748"/>
      <c r="H144" s="732"/>
      <c r="I144" s="732"/>
      <c r="J144" s="734"/>
      <c r="K144" s="736"/>
      <c r="L144" s="735"/>
      <c r="M144" s="735"/>
      <c r="N144" s="735"/>
      <c r="O144" s="735"/>
      <c r="P144" s="735"/>
      <c r="Q144" s="736"/>
      <c r="R144" s="749"/>
      <c r="S144" s="749"/>
      <c r="T144" s="363"/>
      <c r="U144" s="344"/>
      <c r="Y144" s="914"/>
      <c r="Z144" s="982"/>
      <c r="AA144" s="982"/>
      <c r="AB144" s="982"/>
      <c r="AC144" s="982"/>
      <c r="AD144" s="915"/>
      <c r="AE144" s="915"/>
      <c r="AF144" s="901"/>
      <c r="AG144" s="934"/>
      <c r="AH144" s="940"/>
    </row>
    <row r="145" spans="3:39" x14ac:dyDescent="0.2">
      <c r="C145" s="69"/>
      <c r="D145" s="75" t="str">
        <f>IF(obp!D113=0,"",obp!D113)</f>
        <v/>
      </c>
      <c r="E145" s="75" t="str">
        <f>IF(obp!E113=0,"-",obp!E113)</f>
        <v>piet</v>
      </c>
      <c r="F145" s="88">
        <f>IF(obp!F113="","",obp!F113+1)</f>
        <v>44</v>
      </c>
      <c r="G145" s="290" t="str">
        <f>IF(obp!G113="","",obp!G113)</f>
        <v/>
      </c>
      <c r="H145" s="88">
        <f>IF(obp!H113=0,"",obp!H113)</f>
        <v>8</v>
      </c>
      <c r="I145" s="99">
        <f>IF(J145="","",(IF(obp!I113+1&gt;LOOKUP(H145,schaal2019,regels2019),obp!I113,obp!I113+1)))</f>
        <v>8</v>
      </c>
      <c r="J145" s="291">
        <f>IF(obp!J113="","",obp!J113)</f>
        <v>0</v>
      </c>
      <c r="K145" s="304"/>
      <c r="L145" s="868">
        <f>IF(obp!L113="","",obp!L113)</f>
        <v>0</v>
      </c>
      <c r="M145" s="868">
        <f>IF(obp!M113="","",obp!M113)</f>
        <v>0</v>
      </c>
      <c r="N145" s="867">
        <f t="shared" ref="N145:N164" si="52">IF(J145="","",IF((J145*40)&gt;40,40,((J145*40))))</f>
        <v>0</v>
      </c>
      <c r="O145" s="867"/>
      <c r="P145" s="953">
        <f t="shared" ref="P145:P164" si="53">IF(J145="","",(SUM(L145:O145)))</f>
        <v>0</v>
      </c>
      <c r="Q145" s="70"/>
      <c r="R145" s="739">
        <f>IF(J145="","",(((1659*J145)-P145)*AB145))</f>
        <v>0</v>
      </c>
      <c r="S145" s="739">
        <f t="shared" ref="S145:S164" si="54">IF(J145="","",(P145*AC145)+(AA145*AD145)+((AE145*AA145*(1-AF145))))</f>
        <v>0</v>
      </c>
      <c r="T145" s="740">
        <f t="shared" ref="T145:T164" si="55">IF(J145="","",(R145+S145))</f>
        <v>0</v>
      </c>
      <c r="U145" s="275"/>
      <c r="V145" s="288"/>
      <c r="W145" s="288"/>
      <c r="X145" s="288"/>
      <c r="Y145" s="908">
        <f t="shared" ref="Y145:Y164" si="56">IF(H145="",0,5/12*VLOOKUP(H145,salaris2020,I145+1,FALSE)+7/12*VLOOKUP(H145,salaris2020,I145+1,FALSE))</f>
        <v>2857</v>
      </c>
      <c r="Z145" s="986">
        <f>tab!$D$62</f>
        <v>0.6</v>
      </c>
      <c r="AA145" s="944">
        <f t="shared" ref="AA145:AA164" si="57">(Y145*12/1659)</f>
        <v>20.665461121157325</v>
      </c>
      <c r="AB145" s="944">
        <f t="shared" ref="AB145:AB164" si="58">(Y145*12*(1+Z145))/1659</f>
        <v>33.06473779385172</v>
      </c>
      <c r="AC145" s="944">
        <f t="shared" ref="AC145:AC164" si="59">AB145-AA145</f>
        <v>12.399276672694395</v>
      </c>
      <c r="AD145" s="943">
        <f t="shared" ref="AD145:AD164" si="60">(N145+O145)</f>
        <v>0</v>
      </c>
      <c r="AE145" s="943">
        <f t="shared" ref="AE145:AE164" si="61">(L145+M145)</f>
        <v>0</v>
      </c>
      <c r="AF145" s="916">
        <f>IF(H145&gt;8,tab!$D$63,tab!$D$65)</f>
        <v>0.4</v>
      </c>
      <c r="AG145" s="925">
        <f t="shared" ref="AG145:AG164" si="62">IF(F145&lt;25,0,IF(F145=25,25,IF(F145&lt;40,0,IF(F145=40,40,IF(F145&gt;=40,0)))))</f>
        <v>0</v>
      </c>
      <c r="AH145" s="940">
        <f t="shared" ref="AH145:AH164" si="63">IF(AG145=25,(Y145*1.08*(J145)/2),IF(AG145=40,(Y145*1.08*(J145)),IF(AG145=0,0)))</f>
        <v>0</v>
      </c>
      <c r="AM145" s="315"/>
    </row>
    <row r="146" spans="3:39" x14ac:dyDescent="0.2">
      <c r="C146" s="69"/>
      <c r="D146" s="75" t="str">
        <f>IF(obp!D114=0,"",obp!D114)</f>
        <v/>
      </c>
      <c r="E146" s="75" t="str">
        <f>IF(obp!E114=0,"-",obp!E114)</f>
        <v/>
      </c>
      <c r="F146" s="88" t="str">
        <f>IF(obp!F114="","",obp!F114+1)</f>
        <v/>
      </c>
      <c r="G146" s="290" t="str">
        <f>IF(obp!G114="","",obp!G114)</f>
        <v/>
      </c>
      <c r="H146" s="88" t="str">
        <f>IF(obp!H114=0,"",obp!H114)</f>
        <v/>
      </c>
      <c r="I146" s="99" t="str">
        <f>IF(J146="","",(IF(obp!I114+1&gt;LOOKUP(H146,schaal2019,regels2019),obp!I114,obp!I114+1)))</f>
        <v/>
      </c>
      <c r="J146" s="291" t="str">
        <f>IF(obp!J114="","",obp!J114)</f>
        <v/>
      </c>
      <c r="K146" s="304"/>
      <c r="L146" s="868">
        <f>IF(obp!L114="","",obp!L114)</f>
        <v>0</v>
      </c>
      <c r="M146" s="868">
        <f>IF(obp!M114="","",obp!M114)</f>
        <v>0</v>
      </c>
      <c r="N146" s="867" t="str">
        <f t="shared" si="52"/>
        <v/>
      </c>
      <c r="O146" s="867"/>
      <c r="P146" s="953" t="str">
        <f t="shared" si="53"/>
        <v/>
      </c>
      <c r="Q146" s="70"/>
      <c r="R146" s="739" t="str">
        <f t="shared" ref="R146:R164" si="64">IF(J146="","",(((1659*J146)-P146)*AB146))</f>
        <v/>
      </c>
      <c r="S146" s="739" t="str">
        <f t="shared" si="54"/>
        <v/>
      </c>
      <c r="T146" s="740" t="str">
        <f t="shared" si="55"/>
        <v/>
      </c>
      <c r="U146" s="275"/>
      <c r="V146" s="288"/>
      <c r="W146" s="288"/>
      <c r="X146" s="288"/>
      <c r="Y146" s="908">
        <f t="shared" si="56"/>
        <v>0</v>
      </c>
      <c r="Z146" s="986">
        <f>tab!$D$62</f>
        <v>0.6</v>
      </c>
      <c r="AA146" s="944">
        <f t="shared" si="57"/>
        <v>0</v>
      </c>
      <c r="AB146" s="944">
        <f t="shared" si="58"/>
        <v>0</v>
      </c>
      <c r="AC146" s="944">
        <f t="shared" si="59"/>
        <v>0</v>
      </c>
      <c r="AD146" s="943" t="e">
        <f t="shared" si="60"/>
        <v>#VALUE!</v>
      </c>
      <c r="AE146" s="943">
        <f t="shared" si="61"/>
        <v>0</v>
      </c>
      <c r="AF146" s="916">
        <f>IF(H146&gt;8,tab!$D$63,tab!$D$65)</f>
        <v>0.5</v>
      </c>
      <c r="AG146" s="925">
        <f t="shared" si="62"/>
        <v>0</v>
      </c>
      <c r="AH146" s="940">
        <f t="shared" si="63"/>
        <v>0</v>
      </c>
      <c r="AM146" s="315"/>
    </row>
    <row r="147" spans="3:39" x14ac:dyDescent="0.2">
      <c r="C147" s="69"/>
      <c r="D147" s="75" t="str">
        <f>IF(obp!D115=0,"",obp!D115)</f>
        <v/>
      </c>
      <c r="E147" s="75" t="str">
        <f>IF(obp!E115=0,"-",obp!E115)</f>
        <v/>
      </c>
      <c r="F147" s="88" t="str">
        <f>IF(obp!F115="","",obp!F115+1)</f>
        <v/>
      </c>
      <c r="G147" s="290" t="str">
        <f>IF(obp!G115="","",obp!G115)</f>
        <v/>
      </c>
      <c r="H147" s="88" t="str">
        <f>IF(obp!H115=0,"",obp!H115)</f>
        <v/>
      </c>
      <c r="I147" s="99" t="str">
        <f>IF(J147="","",(IF(obp!I115+1&gt;LOOKUP(H147,schaal2019,regels2019),obp!I115,obp!I115+1)))</f>
        <v/>
      </c>
      <c r="J147" s="291" t="str">
        <f>IF(obp!J115="","",obp!J115)</f>
        <v/>
      </c>
      <c r="K147" s="304"/>
      <c r="L147" s="868">
        <f>IF(obp!L115="","",obp!L115)</f>
        <v>0</v>
      </c>
      <c r="M147" s="868">
        <f>IF(obp!M115="","",obp!M115)</f>
        <v>0</v>
      </c>
      <c r="N147" s="867" t="str">
        <f t="shared" si="52"/>
        <v/>
      </c>
      <c r="O147" s="867"/>
      <c r="P147" s="953" t="str">
        <f t="shared" si="53"/>
        <v/>
      </c>
      <c r="Q147" s="70"/>
      <c r="R147" s="739" t="str">
        <f t="shared" si="64"/>
        <v/>
      </c>
      <c r="S147" s="739" t="str">
        <f t="shared" si="54"/>
        <v/>
      </c>
      <c r="T147" s="740" t="str">
        <f t="shared" si="55"/>
        <v/>
      </c>
      <c r="U147" s="275"/>
      <c r="V147" s="288"/>
      <c r="W147" s="288"/>
      <c r="X147" s="288"/>
      <c r="Y147" s="908">
        <f t="shared" si="56"/>
        <v>0</v>
      </c>
      <c r="Z147" s="986">
        <f>tab!$D$62</f>
        <v>0.6</v>
      </c>
      <c r="AA147" s="944">
        <f t="shared" si="57"/>
        <v>0</v>
      </c>
      <c r="AB147" s="944">
        <f t="shared" si="58"/>
        <v>0</v>
      </c>
      <c r="AC147" s="944">
        <f t="shared" si="59"/>
        <v>0</v>
      </c>
      <c r="AD147" s="943" t="e">
        <f t="shared" si="60"/>
        <v>#VALUE!</v>
      </c>
      <c r="AE147" s="943">
        <f t="shared" si="61"/>
        <v>0</v>
      </c>
      <c r="AF147" s="916">
        <f>IF(H147&gt;8,tab!$D$63,tab!$D$65)</f>
        <v>0.5</v>
      </c>
      <c r="AG147" s="925">
        <f t="shared" si="62"/>
        <v>0</v>
      </c>
      <c r="AH147" s="940">
        <f t="shared" si="63"/>
        <v>0</v>
      </c>
      <c r="AM147" s="315"/>
    </row>
    <row r="148" spans="3:39" x14ac:dyDescent="0.2">
      <c r="C148" s="69"/>
      <c r="D148" s="75" t="str">
        <f>IF(obp!D116=0,"",obp!D116)</f>
        <v/>
      </c>
      <c r="E148" s="75" t="str">
        <f>IF(obp!E116=0,"-",obp!E116)</f>
        <v/>
      </c>
      <c r="F148" s="88" t="str">
        <f>IF(obp!F116="","",obp!F116+1)</f>
        <v/>
      </c>
      <c r="G148" s="290" t="str">
        <f>IF(obp!G116="","",obp!G116)</f>
        <v/>
      </c>
      <c r="H148" s="88" t="str">
        <f>IF(obp!H116=0,"",obp!H116)</f>
        <v/>
      </c>
      <c r="I148" s="99" t="str">
        <f>IF(J148="","",(IF(obp!I116+1&gt;LOOKUP(H148,schaal2019,regels2019),obp!I116,obp!I116+1)))</f>
        <v/>
      </c>
      <c r="J148" s="291" t="str">
        <f>IF(obp!J116="","",obp!J116)</f>
        <v/>
      </c>
      <c r="K148" s="304"/>
      <c r="L148" s="868">
        <f>IF(obp!L116="","",obp!L116)</f>
        <v>0</v>
      </c>
      <c r="M148" s="868">
        <f>IF(obp!M116="","",obp!M116)</f>
        <v>0</v>
      </c>
      <c r="N148" s="867" t="str">
        <f t="shared" si="52"/>
        <v/>
      </c>
      <c r="O148" s="867"/>
      <c r="P148" s="953" t="str">
        <f t="shared" si="53"/>
        <v/>
      </c>
      <c r="Q148" s="70"/>
      <c r="R148" s="739" t="str">
        <f t="shared" si="64"/>
        <v/>
      </c>
      <c r="S148" s="739" t="str">
        <f t="shared" si="54"/>
        <v/>
      </c>
      <c r="T148" s="740" t="str">
        <f t="shared" si="55"/>
        <v/>
      </c>
      <c r="U148" s="275"/>
      <c r="V148" s="288"/>
      <c r="W148" s="288"/>
      <c r="X148" s="288"/>
      <c r="Y148" s="908">
        <f t="shared" si="56"/>
        <v>0</v>
      </c>
      <c r="Z148" s="986">
        <f>tab!$D$62</f>
        <v>0.6</v>
      </c>
      <c r="AA148" s="944">
        <f t="shared" si="57"/>
        <v>0</v>
      </c>
      <c r="AB148" s="944">
        <f t="shared" si="58"/>
        <v>0</v>
      </c>
      <c r="AC148" s="944">
        <f t="shared" si="59"/>
        <v>0</v>
      </c>
      <c r="AD148" s="943" t="e">
        <f t="shared" si="60"/>
        <v>#VALUE!</v>
      </c>
      <c r="AE148" s="943">
        <f t="shared" si="61"/>
        <v>0</v>
      </c>
      <c r="AF148" s="916">
        <f>IF(H148&gt;8,tab!$D$63,tab!$D$65)</f>
        <v>0.5</v>
      </c>
      <c r="AG148" s="925">
        <f t="shared" si="62"/>
        <v>0</v>
      </c>
      <c r="AH148" s="940">
        <f t="shared" si="63"/>
        <v>0</v>
      </c>
      <c r="AM148" s="315"/>
    </row>
    <row r="149" spans="3:39" x14ac:dyDescent="0.2">
      <c r="C149" s="69"/>
      <c r="D149" s="75" t="str">
        <f>IF(obp!D117=0,"",obp!D117)</f>
        <v/>
      </c>
      <c r="E149" s="75" t="str">
        <f>IF(obp!E117=0,"-",obp!E117)</f>
        <v/>
      </c>
      <c r="F149" s="88" t="str">
        <f>IF(obp!F117="","",obp!F117+1)</f>
        <v/>
      </c>
      <c r="G149" s="290" t="str">
        <f>IF(obp!G117="","",obp!G117)</f>
        <v/>
      </c>
      <c r="H149" s="88" t="str">
        <f>IF(obp!H117=0,"",obp!H117)</f>
        <v/>
      </c>
      <c r="I149" s="99" t="str">
        <f>IF(J149="","",(IF(obp!I117+1&gt;LOOKUP(H149,schaal2019,regels2019),obp!I117,obp!I117+1)))</f>
        <v/>
      </c>
      <c r="J149" s="291" t="str">
        <f>IF(obp!J117="","",obp!J117)</f>
        <v/>
      </c>
      <c r="K149" s="304"/>
      <c r="L149" s="868">
        <f>IF(obp!L117="","",obp!L117)</f>
        <v>0</v>
      </c>
      <c r="M149" s="868">
        <f>IF(obp!M117="","",obp!M117)</f>
        <v>0</v>
      </c>
      <c r="N149" s="867" t="str">
        <f t="shared" si="52"/>
        <v/>
      </c>
      <c r="O149" s="867"/>
      <c r="P149" s="953" t="str">
        <f t="shared" si="53"/>
        <v/>
      </c>
      <c r="Q149" s="70"/>
      <c r="R149" s="739" t="str">
        <f t="shared" si="64"/>
        <v/>
      </c>
      <c r="S149" s="739" t="str">
        <f t="shared" si="54"/>
        <v/>
      </c>
      <c r="T149" s="740" t="str">
        <f t="shared" si="55"/>
        <v/>
      </c>
      <c r="U149" s="275"/>
      <c r="V149" s="288"/>
      <c r="W149" s="288"/>
      <c r="X149" s="288"/>
      <c r="Y149" s="908">
        <f t="shared" si="56"/>
        <v>0</v>
      </c>
      <c r="Z149" s="986">
        <f>tab!$D$62</f>
        <v>0.6</v>
      </c>
      <c r="AA149" s="944">
        <f t="shared" si="57"/>
        <v>0</v>
      </c>
      <c r="AB149" s="944">
        <f t="shared" si="58"/>
        <v>0</v>
      </c>
      <c r="AC149" s="944">
        <f t="shared" si="59"/>
        <v>0</v>
      </c>
      <c r="AD149" s="943" t="e">
        <f t="shared" si="60"/>
        <v>#VALUE!</v>
      </c>
      <c r="AE149" s="943">
        <f t="shared" si="61"/>
        <v>0</v>
      </c>
      <c r="AF149" s="916">
        <f>IF(H149&gt;8,tab!$D$63,tab!$D$65)</f>
        <v>0.5</v>
      </c>
      <c r="AG149" s="925">
        <f t="shared" si="62"/>
        <v>0</v>
      </c>
      <c r="AH149" s="940">
        <f t="shared" si="63"/>
        <v>0</v>
      </c>
      <c r="AM149" s="315"/>
    </row>
    <row r="150" spans="3:39" x14ac:dyDescent="0.2">
      <c r="C150" s="69"/>
      <c r="D150" s="75" t="str">
        <f>IF(obp!D118=0,"",obp!D118)</f>
        <v/>
      </c>
      <c r="E150" s="75" t="str">
        <f>IF(obp!E118=0,"-",obp!E118)</f>
        <v/>
      </c>
      <c r="F150" s="88" t="str">
        <f>IF(obp!F118="","",obp!F118+1)</f>
        <v/>
      </c>
      <c r="G150" s="290" t="str">
        <f>IF(obp!G118="","",obp!G118)</f>
        <v/>
      </c>
      <c r="H150" s="88" t="str">
        <f>IF(obp!H118=0,"",obp!H118)</f>
        <v/>
      </c>
      <c r="I150" s="99" t="str">
        <f>IF(J150="","",(IF(obp!I118+1&gt;LOOKUP(H150,schaal2019,regels2019),obp!I118,obp!I118+1)))</f>
        <v/>
      </c>
      <c r="J150" s="291" t="str">
        <f>IF(obp!J118="","",obp!J118)</f>
        <v/>
      </c>
      <c r="K150" s="304"/>
      <c r="L150" s="868">
        <f>IF(obp!L118="","",obp!L118)</f>
        <v>0</v>
      </c>
      <c r="M150" s="868">
        <f>IF(obp!M118="","",obp!M118)</f>
        <v>0</v>
      </c>
      <c r="N150" s="867" t="str">
        <f t="shared" si="52"/>
        <v/>
      </c>
      <c r="O150" s="867"/>
      <c r="P150" s="953" t="str">
        <f t="shared" si="53"/>
        <v/>
      </c>
      <c r="Q150" s="70"/>
      <c r="R150" s="739" t="str">
        <f t="shared" si="64"/>
        <v/>
      </c>
      <c r="S150" s="739" t="str">
        <f t="shared" si="54"/>
        <v/>
      </c>
      <c r="T150" s="740" t="str">
        <f t="shared" si="55"/>
        <v/>
      </c>
      <c r="U150" s="275"/>
      <c r="V150" s="288"/>
      <c r="W150" s="288"/>
      <c r="X150" s="288"/>
      <c r="Y150" s="908">
        <f t="shared" si="56"/>
        <v>0</v>
      </c>
      <c r="Z150" s="986">
        <f>tab!$D$62</f>
        <v>0.6</v>
      </c>
      <c r="AA150" s="944">
        <f t="shared" si="57"/>
        <v>0</v>
      </c>
      <c r="AB150" s="944">
        <f t="shared" si="58"/>
        <v>0</v>
      </c>
      <c r="AC150" s="944">
        <f t="shared" si="59"/>
        <v>0</v>
      </c>
      <c r="AD150" s="943" t="e">
        <f t="shared" si="60"/>
        <v>#VALUE!</v>
      </c>
      <c r="AE150" s="943">
        <f t="shared" si="61"/>
        <v>0</v>
      </c>
      <c r="AF150" s="916">
        <f>IF(H150&gt;8,tab!$D$63,tab!$D$65)</f>
        <v>0.5</v>
      </c>
      <c r="AG150" s="925">
        <f t="shared" si="62"/>
        <v>0</v>
      </c>
      <c r="AH150" s="940">
        <f t="shared" si="63"/>
        <v>0</v>
      </c>
      <c r="AM150" s="315"/>
    </row>
    <row r="151" spans="3:39" x14ac:dyDescent="0.2">
      <c r="C151" s="69"/>
      <c r="D151" s="75" t="str">
        <f>IF(obp!D119=0,"",obp!D119)</f>
        <v/>
      </c>
      <c r="E151" s="75" t="str">
        <f>IF(obp!E119=0,"-",obp!E119)</f>
        <v/>
      </c>
      <c r="F151" s="88" t="str">
        <f>IF(obp!F119="","",obp!F119+1)</f>
        <v/>
      </c>
      <c r="G151" s="290" t="str">
        <f>IF(obp!G119="","",obp!G119)</f>
        <v/>
      </c>
      <c r="H151" s="88" t="str">
        <f>IF(obp!H119=0,"",obp!H119)</f>
        <v/>
      </c>
      <c r="I151" s="99" t="str">
        <f>IF(J151="","",(IF(obp!I119+1&gt;LOOKUP(H151,schaal2019,regels2019),obp!I119,obp!I119+1)))</f>
        <v/>
      </c>
      <c r="J151" s="291" t="str">
        <f>IF(obp!J119="","",obp!J119)</f>
        <v/>
      </c>
      <c r="K151" s="304"/>
      <c r="L151" s="868">
        <f>IF(obp!L119="","",obp!L119)</f>
        <v>0</v>
      </c>
      <c r="M151" s="868">
        <f>IF(obp!M119="","",obp!M119)</f>
        <v>0</v>
      </c>
      <c r="N151" s="867" t="str">
        <f t="shared" si="52"/>
        <v/>
      </c>
      <c r="O151" s="867"/>
      <c r="P151" s="953" t="str">
        <f t="shared" si="53"/>
        <v/>
      </c>
      <c r="Q151" s="70"/>
      <c r="R151" s="739" t="str">
        <f t="shared" si="64"/>
        <v/>
      </c>
      <c r="S151" s="739" t="str">
        <f t="shared" si="54"/>
        <v/>
      </c>
      <c r="T151" s="740" t="str">
        <f t="shared" si="55"/>
        <v/>
      </c>
      <c r="U151" s="275"/>
      <c r="V151" s="288"/>
      <c r="W151" s="288"/>
      <c r="X151" s="288"/>
      <c r="Y151" s="908">
        <f t="shared" si="56"/>
        <v>0</v>
      </c>
      <c r="Z151" s="986">
        <f>tab!$D$62</f>
        <v>0.6</v>
      </c>
      <c r="AA151" s="944">
        <f t="shared" si="57"/>
        <v>0</v>
      </c>
      <c r="AB151" s="944">
        <f t="shared" si="58"/>
        <v>0</v>
      </c>
      <c r="AC151" s="944">
        <f t="shared" si="59"/>
        <v>0</v>
      </c>
      <c r="AD151" s="943" t="e">
        <f t="shared" si="60"/>
        <v>#VALUE!</v>
      </c>
      <c r="AE151" s="943">
        <f t="shared" si="61"/>
        <v>0</v>
      </c>
      <c r="AF151" s="916">
        <f>IF(H151&gt;8,tab!$D$63,tab!$D$65)</f>
        <v>0.5</v>
      </c>
      <c r="AG151" s="925">
        <f t="shared" si="62"/>
        <v>0</v>
      </c>
      <c r="AH151" s="940">
        <f t="shared" si="63"/>
        <v>0</v>
      </c>
      <c r="AM151" s="315"/>
    </row>
    <row r="152" spans="3:39" x14ac:dyDescent="0.2">
      <c r="C152" s="69"/>
      <c r="D152" s="75" t="str">
        <f>IF(obp!D120=0,"",obp!D120)</f>
        <v/>
      </c>
      <c r="E152" s="75" t="str">
        <f>IF(obp!E120=0,"-",obp!E120)</f>
        <v/>
      </c>
      <c r="F152" s="88" t="str">
        <f>IF(obp!F120="","",obp!F120+1)</f>
        <v/>
      </c>
      <c r="G152" s="290" t="str">
        <f>IF(obp!G120="","",obp!G120)</f>
        <v/>
      </c>
      <c r="H152" s="88" t="str">
        <f>IF(obp!H120=0,"",obp!H120)</f>
        <v/>
      </c>
      <c r="I152" s="99" t="str">
        <f>IF(J152="","",(IF(obp!I120+1&gt;LOOKUP(H152,schaal2019,regels2019),obp!I120,obp!I120+1)))</f>
        <v/>
      </c>
      <c r="J152" s="291" t="str">
        <f>IF(obp!J120="","",obp!J120)</f>
        <v/>
      </c>
      <c r="K152" s="304"/>
      <c r="L152" s="868">
        <f>IF(obp!L120="","",obp!L120)</f>
        <v>0</v>
      </c>
      <c r="M152" s="868">
        <f>IF(obp!M120="","",obp!M120)</f>
        <v>0</v>
      </c>
      <c r="N152" s="867" t="str">
        <f t="shared" si="52"/>
        <v/>
      </c>
      <c r="O152" s="867"/>
      <c r="P152" s="953" t="str">
        <f t="shared" si="53"/>
        <v/>
      </c>
      <c r="Q152" s="70"/>
      <c r="R152" s="739" t="str">
        <f t="shared" si="64"/>
        <v/>
      </c>
      <c r="S152" s="739" t="str">
        <f t="shared" si="54"/>
        <v/>
      </c>
      <c r="T152" s="740" t="str">
        <f t="shared" si="55"/>
        <v/>
      </c>
      <c r="U152" s="275"/>
      <c r="V152" s="288"/>
      <c r="W152" s="288"/>
      <c r="X152" s="288"/>
      <c r="Y152" s="908">
        <f t="shared" si="56"/>
        <v>0</v>
      </c>
      <c r="Z152" s="986">
        <f>tab!$D$62</f>
        <v>0.6</v>
      </c>
      <c r="AA152" s="944">
        <f t="shared" si="57"/>
        <v>0</v>
      </c>
      <c r="AB152" s="944">
        <f t="shared" si="58"/>
        <v>0</v>
      </c>
      <c r="AC152" s="944">
        <f t="shared" si="59"/>
        <v>0</v>
      </c>
      <c r="AD152" s="943" t="e">
        <f t="shared" si="60"/>
        <v>#VALUE!</v>
      </c>
      <c r="AE152" s="943">
        <f t="shared" si="61"/>
        <v>0</v>
      </c>
      <c r="AF152" s="916">
        <f>IF(H152&gt;8,tab!$D$63,tab!$D$65)</f>
        <v>0.5</v>
      </c>
      <c r="AG152" s="925">
        <f t="shared" si="62"/>
        <v>0</v>
      </c>
      <c r="AH152" s="940">
        <f t="shared" si="63"/>
        <v>0</v>
      </c>
      <c r="AM152" s="315"/>
    </row>
    <row r="153" spans="3:39" x14ac:dyDescent="0.2">
      <c r="C153" s="69"/>
      <c r="D153" s="75" t="str">
        <f>IF(obp!D121=0,"",obp!D121)</f>
        <v/>
      </c>
      <c r="E153" s="75" t="str">
        <f>IF(obp!E121=0,"-",obp!E121)</f>
        <v/>
      </c>
      <c r="F153" s="88" t="str">
        <f>IF(obp!F121="","",obp!F121+1)</f>
        <v/>
      </c>
      <c r="G153" s="290" t="str">
        <f>IF(obp!G121="","",obp!G121)</f>
        <v/>
      </c>
      <c r="H153" s="88" t="str">
        <f>IF(obp!H121=0,"",obp!H121)</f>
        <v/>
      </c>
      <c r="I153" s="99" t="str">
        <f>IF(J153="","",(IF(obp!I121+1&gt;LOOKUP(H153,schaal2019,regels2019),obp!I121,obp!I121+1)))</f>
        <v/>
      </c>
      <c r="J153" s="291" t="str">
        <f>IF(obp!J121="","",obp!J121)</f>
        <v/>
      </c>
      <c r="K153" s="304"/>
      <c r="L153" s="868">
        <f>IF(obp!L121="","",obp!L121)</f>
        <v>0</v>
      </c>
      <c r="M153" s="868">
        <f>IF(obp!M121="","",obp!M121)</f>
        <v>0</v>
      </c>
      <c r="N153" s="867" t="str">
        <f t="shared" si="52"/>
        <v/>
      </c>
      <c r="O153" s="867"/>
      <c r="P153" s="953" t="str">
        <f t="shared" si="53"/>
        <v/>
      </c>
      <c r="Q153" s="70"/>
      <c r="R153" s="739" t="str">
        <f t="shared" si="64"/>
        <v/>
      </c>
      <c r="S153" s="739" t="str">
        <f t="shared" si="54"/>
        <v/>
      </c>
      <c r="T153" s="740" t="str">
        <f t="shared" si="55"/>
        <v/>
      </c>
      <c r="U153" s="275"/>
      <c r="V153" s="288"/>
      <c r="W153" s="288"/>
      <c r="X153" s="288"/>
      <c r="Y153" s="908">
        <f t="shared" si="56"/>
        <v>0</v>
      </c>
      <c r="Z153" s="986">
        <f>tab!$D$62</f>
        <v>0.6</v>
      </c>
      <c r="AA153" s="944">
        <f t="shared" si="57"/>
        <v>0</v>
      </c>
      <c r="AB153" s="944">
        <f t="shared" si="58"/>
        <v>0</v>
      </c>
      <c r="AC153" s="944">
        <f t="shared" si="59"/>
        <v>0</v>
      </c>
      <c r="AD153" s="943" t="e">
        <f t="shared" si="60"/>
        <v>#VALUE!</v>
      </c>
      <c r="AE153" s="943">
        <f t="shared" si="61"/>
        <v>0</v>
      </c>
      <c r="AF153" s="916">
        <f>IF(H153&gt;8,tab!$D$63,tab!$D$65)</f>
        <v>0.5</v>
      </c>
      <c r="AG153" s="925">
        <f t="shared" si="62"/>
        <v>0</v>
      </c>
      <c r="AH153" s="940">
        <f t="shared" si="63"/>
        <v>0</v>
      </c>
      <c r="AM153" s="315"/>
    </row>
    <row r="154" spans="3:39" x14ac:dyDescent="0.2">
      <c r="C154" s="69"/>
      <c r="D154" s="75" t="str">
        <f>IF(obp!D122=0,"",obp!D122)</f>
        <v/>
      </c>
      <c r="E154" s="75" t="str">
        <f>IF(obp!E122=0,"-",obp!E122)</f>
        <v/>
      </c>
      <c r="F154" s="88" t="str">
        <f>IF(obp!F122="","",obp!F122+1)</f>
        <v/>
      </c>
      <c r="G154" s="290" t="str">
        <f>IF(obp!G122="","",obp!G122)</f>
        <v/>
      </c>
      <c r="H154" s="88" t="str">
        <f>IF(obp!H122=0,"",obp!H122)</f>
        <v/>
      </c>
      <c r="I154" s="99" t="str">
        <f>IF(J154="","",(IF(obp!I122+1&gt;LOOKUP(H154,schaal2019,regels2019),obp!I122,obp!I122+1)))</f>
        <v/>
      </c>
      <c r="J154" s="291" t="str">
        <f>IF(obp!J122="","",obp!J122)</f>
        <v/>
      </c>
      <c r="K154" s="304"/>
      <c r="L154" s="868">
        <f>IF(obp!L122="","",obp!L122)</f>
        <v>0</v>
      </c>
      <c r="M154" s="868">
        <f>IF(obp!M122="","",obp!M122)</f>
        <v>0</v>
      </c>
      <c r="N154" s="867" t="str">
        <f t="shared" si="52"/>
        <v/>
      </c>
      <c r="O154" s="867"/>
      <c r="P154" s="953" t="str">
        <f t="shared" si="53"/>
        <v/>
      </c>
      <c r="Q154" s="70"/>
      <c r="R154" s="739" t="str">
        <f t="shared" si="64"/>
        <v/>
      </c>
      <c r="S154" s="739" t="str">
        <f t="shared" si="54"/>
        <v/>
      </c>
      <c r="T154" s="740" t="str">
        <f t="shared" si="55"/>
        <v/>
      </c>
      <c r="U154" s="275"/>
      <c r="V154" s="288"/>
      <c r="W154" s="288"/>
      <c r="X154" s="288"/>
      <c r="Y154" s="908">
        <f t="shared" si="56"/>
        <v>0</v>
      </c>
      <c r="Z154" s="986">
        <f>tab!$D$62</f>
        <v>0.6</v>
      </c>
      <c r="AA154" s="944">
        <f t="shared" si="57"/>
        <v>0</v>
      </c>
      <c r="AB154" s="944">
        <f t="shared" si="58"/>
        <v>0</v>
      </c>
      <c r="AC154" s="944">
        <f t="shared" si="59"/>
        <v>0</v>
      </c>
      <c r="AD154" s="943" t="e">
        <f t="shared" si="60"/>
        <v>#VALUE!</v>
      </c>
      <c r="AE154" s="943">
        <f t="shared" si="61"/>
        <v>0</v>
      </c>
      <c r="AF154" s="916">
        <f>IF(H154&gt;8,tab!$D$63,tab!$D$65)</f>
        <v>0.5</v>
      </c>
      <c r="AG154" s="925">
        <f t="shared" si="62"/>
        <v>0</v>
      </c>
      <c r="AH154" s="940">
        <f t="shared" si="63"/>
        <v>0</v>
      </c>
      <c r="AM154" s="315"/>
    </row>
    <row r="155" spans="3:39" x14ac:dyDescent="0.2">
      <c r="C155" s="69"/>
      <c r="D155" s="75" t="str">
        <f>IF(obp!D123=0,"",obp!D123)</f>
        <v/>
      </c>
      <c r="E155" s="75" t="str">
        <f>IF(obp!E123=0,"-",obp!E123)</f>
        <v/>
      </c>
      <c r="F155" s="88" t="str">
        <f>IF(obp!F123="","",obp!F123+1)</f>
        <v/>
      </c>
      <c r="G155" s="290" t="str">
        <f>IF(obp!G123="","",obp!G123)</f>
        <v/>
      </c>
      <c r="H155" s="88" t="str">
        <f>IF(obp!H123=0,"",obp!H123)</f>
        <v/>
      </c>
      <c r="I155" s="99" t="str">
        <f>IF(J155="","",(IF(obp!I123+1&gt;LOOKUP(H155,schaal2019,regels2019),obp!I123,obp!I123+1)))</f>
        <v/>
      </c>
      <c r="J155" s="291" t="str">
        <f>IF(obp!J123="","",obp!J123)</f>
        <v/>
      </c>
      <c r="K155" s="304"/>
      <c r="L155" s="868">
        <f>IF(obp!L123="","",obp!L123)</f>
        <v>0</v>
      </c>
      <c r="M155" s="868">
        <f>IF(obp!M123="","",obp!M123)</f>
        <v>0</v>
      </c>
      <c r="N155" s="867" t="str">
        <f t="shared" si="52"/>
        <v/>
      </c>
      <c r="O155" s="867"/>
      <c r="P155" s="953" t="str">
        <f t="shared" si="53"/>
        <v/>
      </c>
      <c r="Q155" s="70"/>
      <c r="R155" s="739" t="str">
        <f t="shared" si="64"/>
        <v/>
      </c>
      <c r="S155" s="739" t="str">
        <f t="shared" si="54"/>
        <v/>
      </c>
      <c r="T155" s="740" t="str">
        <f t="shared" si="55"/>
        <v/>
      </c>
      <c r="U155" s="275"/>
      <c r="V155" s="288"/>
      <c r="W155" s="288"/>
      <c r="X155" s="288"/>
      <c r="Y155" s="908">
        <f t="shared" si="56"/>
        <v>0</v>
      </c>
      <c r="Z155" s="986">
        <f>tab!$D$62</f>
        <v>0.6</v>
      </c>
      <c r="AA155" s="944">
        <f t="shared" si="57"/>
        <v>0</v>
      </c>
      <c r="AB155" s="944">
        <f t="shared" si="58"/>
        <v>0</v>
      </c>
      <c r="AC155" s="944">
        <f t="shared" si="59"/>
        <v>0</v>
      </c>
      <c r="AD155" s="943" t="e">
        <f t="shared" si="60"/>
        <v>#VALUE!</v>
      </c>
      <c r="AE155" s="943">
        <f t="shared" si="61"/>
        <v>0</v>
      </c>
      <c r="AF155" s="916">
        <f>IF(H155&gt;8,tab!$D$63,tab!$D$65)</f>
        <v>0.5</v>
      </c>
      <c r="AG155" s="925">
        <f t="shared" si="62"/>
        <v>0</v>
      </c>
      <c r="AH155" s="940">
        <f t="shared" si="63"/>
        <v>0</v>
      </c>
      <c r="AM155" s="315"/>
    </row>
    <row r="156" spans="3:39" x14ac:dyDescent="0.2">
      <c r="C156" s="69"/>
      <c r="D156" s="75" t="str">
        <f>IF(obp!D124=0,"",obp!D124)</f>
        <v/>
      </c>
      <c r="E156" s="75" t="str">
        <f>IF(obp!E124=0,"-",obp!E124)</f>
        <v/>
      </c>
      <c r="F156" s="88" t="str">
        <f>IF(obp!F124="","",obp!F124+1)</f>
        <v/>
      </c>
      <c r="G156" s="290" t="str">
        <f>IF(obp!G124="","",obp!G124)</f>
        <v/>
      </c>
      <c r="H156" s="88" t="str">
        <f>IF(obp!H124=0,"",obp!H124)</f>
        <v/>
      </c>
      <c r="I156" s="99" t="str">
        <f>IF(J156="","",(IF(obp!I124+1&gt;LOOKUP(H156,schaal2019,regels2019),obp!I124,obp!I124+1)))</f>
        <v/>
      </c>
      <c r="J156" s="291" t="str">
        <f>IF(obp!J124="","",obp!J124)</f>
        <v/>
      </c>
      <c r="K156" s="304"/>
      <c r="L156" s="868">
        <f>IF(obp!L124="","",obp!L124)</f>
        <v>0</v>
      </c>
      <c r="M156" s="868">
        <f>IF(obp!M124="","",obp!M124)</f>
        <v>0</v>
      </c>
      <c r="N156" s="867" t="str">
        <f t="shared" si="52"/>
        <v/>
      </c>
      <c r="O156" s="867"/>
      <c r="P156" s="953" t="str">
        <f t="shared" si="53"/>
        <v/>
      </c>
      <c r="Q156" s="70"/>
      <c r="R156" s="739" t="str">
        <f t="shared" si="64"/>
        <v/>
      </c>
      <c r="S156" s="739" t="str">
        <f t="shared" si="54"/>
        <v/>
      </c>
      <c r="T156" s="740" t="str">
        <f t="shared" si="55"/>
        <v/>
      </c>
      <c r="U156" s="275"/>
      <c r="V156" s="288"/>
      <c r="W156" s="288"/>
      <c r="X156" s="288"/>
      <c r="Y156" s="908">
        <f t="shared" si="56"/>
        <v>0</v>
      </c>
      <c r="Z156" s="986">
        <f>tab!$D$62</f>
        <v>0.6</v>
      </c>
      <c r="AA156" s="944">
        <f t="shared" si="57"/>
        <v>0</v>
      </c>
      <c r="AB156" s="944">
        <f t="shared" si="58"/>
        <v>0</v>
      </c>
      <c r="AC156" s="944">
        <f t="shared" si="59"/>
        <v>0</v>
      </c>
      <c r="AD156" s="943" t="e">
        <f t="shared" si="60"/>
        <v>#VALUE!</v>
      </c>
      <c r="AE156" s="943">
        <f t="shared" si="61"/>
        <v>0</v>
      </c>
      <c r="AF156" s="916">
        <f>IF(H156&gt;8,tab!$D$63,tab!$D$65)</f>
        <v>0.5</v>
      </c>
      <c r="AG156" s="925">
        <f t="shared" si="62"/>
        <v>0</v>
      </c>
      <c r="AH156" s="940">
        <f t="shared" si="63"/>
        <v>0</v>
      </c>
      <c r="AM156" s="315"/>
    </row>
    <row r="157" spans="3:39" x14ac:dyDescent="0.2">
      <c r="C157" s="69"/>
      <c r="D157" s="75" t="str">
        <f>IF(obp!D125=0,"",obp!D125)</f>
        <v/>
      </c>
      <c r="E157" s="75" t="str">
        <f>IF(obp!E125=0,"-",obp!E125)</f>
        <v/>
      </c>
      <c r="F157" s="88" t="str">
        <f>IF(obp!F125="","",obp!F125+1)</f>
        <v/>
      </c>
      <c r="G157" s="290" t="str">
        <f>IF(obp!G125="","",obp!G125)</f>
        <v/>
      </c>
      <c r="H157" s="88" t="str">
        <f>IF(obp!H125=0,"",obp!H125)</f>
        <v/>
      </c>
      <c r="I157" s="99" t="str">
        <f>IF(J157="","",(IF(obp!I125+1&gt;LOOKUP(H157,schaal2019,regels2019),obp!I125,obp!I125+1)))</f>
        <v/>
      </c>
      <c r="J157" s="291" t="str">
        <f>IF(obp!J125="","",obp!J125)</f>
        <v/>
      </c>
      <c r="K157" s="304"/>
      <c r="L157" s="868">
        <f>IF(obp!L125="","",obp!L125)</f>
        <v>0</v>
      </c>
      <c r="M157" s="868">
        <f>IF(obp!M125="","",obp!M125)</f>
        <v>0</v>
      </c>
      <c r="N157" s="867" t="str">
        <f t="shared" si="52"/>
        <v/>
      </c>
      <c r="O157" s="867"/>
      <c r="P157" s="953" t="str">
        <f t="shared" si="53"/>
        <v/>
      </c>
      <c r="Q157" s="70"/>
      <c r="R157" s="739" t="str">
        <f t="shared" si="64"/>
        <v/>
      </c>
      <c r="S157" s="739" t="str">
        <f t="shared" si="54"/>
        <v/>
      </c>
      <c r="T157" s="740" t="str">
        <f t="shared" si="55"/>
        <v/>
      </c>
      <c r="U157" s="275"/>
      <c r="V157" s="288"/>
      <c r="W157" s="288"/>
      <c r="X157" s="288"/>
      <c r="Y157" s="908">
        <f t="shared" si="56"/>
        <v>0</v>
      </c>
      <c r="Z157" s="986">
        <f>tab!$D$62</f>
        <v>0.6</v>
      </c>
      <c r="AA157" s="944">
        <f t="shared" si="57"/>
        <v>0</v>
      </c>
      <c r="AB157" s="944">
        <f t="shared" si="58"/>
        <v>0</v>
      </c>
      <c r="AC157" s="944">
        <f t="shared" si="59"/>
        <v>0</v>
      </c>
      <c r="AD157" s="943" t="e">
        <f t="shared" si="60"/>
        <v>#VALUE!</v>
      </c>
      <c r="AE157" s="943">
        <f t="shared" si="61"/>
        <v>0</v>
      </c>
      <c r="AF157" s="916">
        <f>IF(H157&gt;8,tab!$D$63,tab!$D$65)</f>
        <v>0.5</v>
      </c>
      <c r="AG157" s="925">
        <f t="shared" si="62"/>
        <v>0</v>
      </c>
      <c r="AH157" s="940">
        <f t="shared" si="63"/>
        <v>0</v>
      </c>
      <c r="AM157" s="315"/>
    </row>
    <row r="158" spans="3:39" x14ac:dyDescent="0.2">
      <c r="C158" s="69"/>
      <c r="D158" s="75" t="str">
        <f>IF(obp!D126=0,"",obp!D126)</f>
        <v/>
      </c>
      <c r="E158" s="75" t="str">
        <f>IF(obp!E126=0,"-",obp!E126)</f>
        <v/>
      </c>
      <c r="F158" s="88" t="str">
        <f>IF(obp!F126="","",obp!F126+1)</f>
        <v/>
      </c>
      <c r="G158" s="290" t="str">
        <f>IF(obp!G126="","",obp!G126)</f>
        <v/>
      </c>
      <c r="H158" s="88" t="str">
        <f>IF(obp!H126=0,"",obp!H126)</f>
        <v/>
      </c>
      <c r="I158" s="99" t="str">
        <f>IF(J158="","",(IF(obp!I126+1&gt;LOOKUP(H158,schaal2019,regels2019),obp!I126,obp!I126+1)))</f>
        <v/>
      </c>
      <c r="J158" s="291" t="str">
        <f>IF(obp!J126="","",obp!J126)</f>
        <v/>
      </c>
      <c r="K158" s="304"/>
      <c r="L158" s="868">
        <f>IF(obp!L126="","",obp!L126)</f>
        <v>0</v>
      </c>
      <c r="M158" s="868">
        <f>IF(obp!M126="","",obp!M126)</f>
        <v>0</v>
      </c>
      <c r="N158" s="867" t="str">
        <f t="shared" si="52"/>
        <v/>
      </c>
      <c r="O158" s="867"/>
      <c r="P158" s="953" t="str">
        <f t="shared" si="53"/>
        <v/>
      </c>
      <c r="Q158" s="70"/>
      <c r="R158" s="739" t="str">
        <f t="shared" si="64"/>
        <v/>
      </c>
      <c r="S158" s="739" t="str">
        <f t="shared" si="54"/>
        <v/>
      </c>
      <c r="T158" s="740" t="str">
        <f t="shared" si="55"/>
        <v/>
      </c>
      <c r="U158" s="275"/>
      <c r="V158" s="288"/>
      <c r="W158" s="288"/>
      <c r="X158" s="288"/>
      <c r="Y158" s="908">
        <f t="shared" si="56"/>
        <v>0</v>
      </c>
      <c r="Z158" s="986">
        <f>tab!$D$62</f>
        <v>0.6</v>
      </c>
      <c r="AA158" s="944">
        <f t="shared" si="57"/>
        <v>0</v>
      </c>
      <c r="AB158" s="944">
        <f t="shared" si="58"/>
        <v>0</v>
      </c>
      <c r="AC158" s="944">
        <f t="shared" si="59"/>
        <v>0</v>
      </c>
      <c r="AD158" s="943" t="e">
        <f t="shared" si="60"/>
        <v>#VALUE!</v>
      </c>
      <c r="AE158" s="943">
        <f t="shared" si="61"/>
        <v>0</v>
      </c>
      <c r="AF158" s="916">
        <f>IF(H158&gt;8,tab!$D$63,tab!$D$65)</f>
        <v>0.5</v>
      </c>
      <c r="AG158" s="925">
        <f t="shared" si="62"/>
        <v>0</v>
      </c>
      <c r="AH158" s="940">
        <f t="shared" si="63"/>
        <v>0</v>
      </c>
      <c r="AM158" s="315"/>
    </row>
    <row r="159" spans="3:39" x14ac:dyDescent="0.2">
      <c r="C159" s="69"/>
      <c r="D159" s="75" t="str">
        <f>IF(obp!D127=0,"",obp!D127)</f>
        <v/>
      </c>
      <c r="E159" s="75" t="str">
        <f>IF(obp!E127=0,"-",obp!E127)</f>
        <v/>
      </c>
      <c r="F159" s="88" t="str">
        <f>IF(obp!F127="","",obp!F127+1)</f>
        <v/>
      </c>
      <c r="G159" s="290" t="str">
        <f>IF(obp!G127="","",obp!G127)</f>
        <v/>
      </c>
      <c r="H159" s="88" t="str">
        <f>IF(obp!H127=0,"",obp!H127)</f>
        <v/>
      </c>
      <c r="I159" s="99" t="str">
        <f>IF(J159="","",(IF(obp!I127+1&gt;LOOKUP(H159,schaal2019,regels2019),obp!I127,obp!I127+1)))</f>
        <v/>
      </c>
      <c r="J159" s="291" t="str">
        <f>IF(obp!J127="","",obp!J127)</f>
        <v/>
      </c>
      <c r="K159" s="304"/>
      <c r="L159" s="868">
        <f>IF(obp!L127="","",obp!L127)</f>
        <v>0</v>
      </c>
      <c r="M159" s="868">
        <f>IF(obp!M127="","",obp!M127)</f>
        <v>0</v>
      </c>
      <c r="N159" s="867" t="str">
        <f t="shared" si="52"/>
        <v/>
      </c>
      <c r="O159" s="867"/>
      <c r="P159" s="953" t="str">
        <f t="shared" si="53"/>
        <v/>
      </c>
      <c r="Q159" s="70"/>
      <c r="R159" s="739" t="str">
        <f t="shared" si="64"/>
        <v/>
      </c>
      <c r="S159" s="739" t="str">
        <f t="shared" si="54"/>
        <v/>
      </c>
      <c r="T159" s="740" t="str">
        <f t="shared" si="55"/>
        <v/>
      </c>
      <c r="U159" s="275"/>
      <c r="V159" s="288"/>
      <c r="W159" s="288"/>
      <c r="X159" s="288"/>
      <c r="Y159" s="908">
        <f t="shared" si="56"/>
        <v>0</v>
      </c>
      <c r="Z159" s="986">
        <f>tab!$D$62</f>
        <v>0.6</v>
      </c>
      <c r="AA159" s="944">
        <f t="shared" si="57"/>
        <v>0</v>
      </c>
      <c r="AB159" s="944">
        <f t="shared" si="58"/>
        <v>0</v>
      </c>
      <c r="AC159" s="944">
        <f t="shared" si="59"/>
        <v>0</v>
      </c>
      <c r="AD159" s="943" t="e">
        <f t="shared" si="60"/>
        <v>#VALUE!</v>
      </c>
      <c r="AE159" s="943">
        <f t="shared" si="61"/>
        <v>0</v>
      </c>
      <c r="AF159" s="916">
        <f>IF(H159&gt;8,tab!$D$63,tab!$D$65)</f>
        <v>0.5</v>
      </c>
      <c r="AG159" s="925">
        <f t="shared" si="62"/>
        <v>0</v>
      </c>
      <c r="AH159" s="940">
        <f t="shared" si="63"/>
        <v>0</v>
      </c>
      <c r="AM159" s="315"/>
    </row>
    <row r="160" spans="3:39" x14ac:dyDescent="0.2">
      <c r="C160" s="69"/>
      <c r="D160" s="75" t="str">
        <f>IF(obp!D128=0,"",obp!D128)</f>
        <v/>
      </c>
      <c r="E160" s="75" t="str">
        <f>IF(obp!E128=0,"-",obp!E128)</f>
        <v/>
      </c>
      <c r="F160" s="88" t="str">
        <f>IF(obp!F128="","",obp!F128+1)</f>
        <v/>
      </c>
      <c r="G160" s="290" t="str">
        <f>IF(obp!G128="","",obp!G128)</f>
        <v/>
      </c>
      <c r="H160" s="88" t="str">
        <f>IF(obp!H128=0,"",obp!H128)</f>
        <v/>
      </c>
      <c r="I160" s="99" t="str">
        <f>IF(J160="","",(IF(obp!I128+1&gt;LOOKUP(H160,schaal2019,regels2019),obp!I128,obp!I128+1)))</f>
        <v/>
      </c>
      <c r="J160" s="291" t="str">
        <f>IF(obp!J128="","",obp!J128)</f>
        <v/>
      </c>
      <c r="K160" s="304"/>
      <c r="L160" s="868">
        <f>IF(obp!L128="","",obp!L128)</f>
        <v>0</v>
      </c>
      <c r="M160" s="868">
        <f>IF(obp!M128="","",obp!M128)</f>
        <v>0</v>
      </c>
      <c r="N160" s="867" t="str">
        <f t="shared" si="52"/>
        <v/>
      </c>
      <c r="O160" s="867"/>
      <c r="P160" s="953" t="str">
        <f t="shared" si="53"/>
        <v/>
      </c>
      <c r="Q160" s="70"/>
      <c r="R160" s="739" t="str">
        <f t="shared" si="64"/>
        <v/>
      </c>
      <c r="S160" s="739" t="str">
        <f t="shared" si="54"/>
        <v/>
      </c>
      <c r="T160" s="740" t="str">
        <f t="shared" si="55"/>
        <v/>
      </c>
      <c r="U160" s="275"/>
      <c r="V160" s="288"/>
      <c r="W160" s="288"/>
      <c r="X160" s="288"/>
      <c r="Y160" s="908">
        <f t="shared" si="56"/>
        <v>0</v>
      </c>
      <c r="Z160" s="986">
        <f>tab!$D$62</f>
        <v>0.6</v>
      </c>
      <c r="AA160" s="944">
        <f t="shared" si="57"/>
        <v>0</v>
      </c>
      <c r="AB160" s="944">
        <f t="shared" si="58"/>
        <v>0</v>
      </c>
      <c r="AC160" s="944">
        <f t="shared" si="59"/>
        <v>0</v>
      </c>
      <c r="AD160" s="943" t="e">
        <f t="shared" si="60"/>
        <v>#VALUE!</v>
      </c>
      <c r="AE160" s="943">
        <f t="shared" si="61"/>
        <v>0</v>
      </c>
      <c r="AF160" s="916">
        <f>IF(H160&gt;8,tab!$D$63,tab!$D$65)</f>
        <v>0.5</v>
      </c>
      <c r="AG160" s="925">
        <f t="shared" si="62"/>
        <v>0</v>
      </c>
      <c r="AH160" s="940">
        <f t="shared" si="63"/>
        <v>0</v>
      </c>
      <c r="AM160" s="315"/>
    </row>
    <row r="161" spans="3:39" x14ac:dyDescent="0.2">
      <c r="C161" s="69"/>
      <c r="D161" s="75" t="str">
        <f>IF(obp!D129=0,"",obp!D129)</f>
        <v/>
      </c>
      <c r="E161" s="75" t="str">
        <f>IF(obp!E129=0,"-",obp!E129)</f>
        <v/>
      </c>
      <c r="F161" s="88" t="str">
        <f>IF(obp!F129="","",obp!F129+1)</f>
        <v/>
      </c>
      <c r="G161" s="290" t="str">
        <f>IF(obp!G129="","",obp!G129)</f>
        <v/>
      </c>
      <c r="H161" s="88" t="str">
        <f>IF(obp!H129=0,"",obp!H129)</f>
        <v/>
      </c>
      <c r="I161" s="99" t="str">
        <f>IF(J161="","",(IF(obp!I129+1&gt;LOOKUP(H161,schaal2019,regels2019),obp!I129,obp!I129+1)))</f>
        <v/>
      </c>
      <c r="J161" s="291" t="str">
        <f>IF(obp!J129="","",obp!J129)</f>
        <v/>
      </c>
      <c r="K161" s="304"/>
      <c r="L161" s="868">
        <f>IF(obp!L129="","",obp!L129)</f>
        <v>0</v>
      </c>
      <c r="M161" s="868">
        <f>IF(obp!M129="","",obp!M129)</f>
        <v>0</v>
      </c>
      <c r="N161" s="867" t="str">
        <f t="shared" si="52"/>
        <v/>
      </c>
      <c r="O161" s="867"/>
      <c r="P161" s="953" t="str">
        <f t="shared" si="53"/>
        <v/>
      </c>
      <c r="Q161" s="70"/>
      <c r="R161" s="739" t="str">
        <f t="shared" si="64"/>
        <v/>
      </c>
      <c r="S161" s="739" t="str">
        <f t="shared" si="54"/>
        <v/>
      </c>
      <c r="T161" s="740" t="str">
        <f t="shared" si="55"/>
        <v/>
      </c>
      <c r="U161" s="275"/>
      <c r="V161" s="288"/>
      <c r="W161" s="288"/>
      <c r="X161" s="288"/>
      <c r="Y161" s="908">
        <f t="shared" si="56"/>
        <v>0</v>
      </c>
      <c r="Z161" s="986">
        <f>tab!$D$62</f>
        <v>0.6</v>
      </c>
      <c r="AA161" s="944">
        <f t="shared" si="57"/>
        <v>0</v>
      </c>
      <c r="AB161" s="944">
        <f t="shared" si="58"/>
        <v>0</v>
      </c>
      <c r="AC161" s="944">
        <f t="shared" si="59"/>
        <v>0</v>
      </c>
      <c r="AD161" s="943" t="e">
        <f t="shared" si="60"/>
        <v>#VALUE!</v>
      </c>
      <c r="AE161" s="943">
        <f t="shared" si="61"/>
        <v>0</v>
      </c>
      <c r="AF161" s="916">
        <f>IF(H161&gt;8,tab!$D$63,tab!$D$65)</f>
        <v>0.5</v>
      </c>
      <c r="AG161" s="925">
        <f t="shared" si="62"/>
        <v>0</v>
      </c>
      <c r="AH161" s="940">
        <f t="shared" si="63"/>
        <v>0</v>
      </c>
      <c r="AM161" s="315"/>
    </row>
    <row r="162" spans="3:39" x14ac:dyDescent="0.2">
      <c r="C162" s="69"/>
      <c r="D162" s="75" t="str">
        <f>IF(obp!D130=0,"",obp!D130)</f>
        <v/>
      </c>
      <c r="E162" s="75" t="str">
        <f>IF(obp!E130=0,"-",obp!E130)</f>
        <v/>
      </c>
      <c r="F162" s="88" t="str">
        <f>IF(obp!F130="","",obp!F130+1)</f>
        <v/>
      </c>
      <c r="G162" s="290" t="str">
        <f>IF(obp!G130="","",obp!G130)</f>
        <v/>
      </c>
      <c r="H162" s="88" t="str">
        <f>IF(obp!H130=0,"",obp!H130)</f>
        <v/>
      </c>
      <c r="I162" s="99" t="str">
        <f>IF(J162="","",(IF(obp!I130+1&gt;LOOKUP(H162,schaal2019,regels2019),obp!I130,obp!I130+1)))</f>
        <v/>
      </c>
      <c r="J162" s="291" t="str">
        <f>IF(obp!J130="","",obp!J130)</f>
        <v/>
      </c>
      <c r="K162" s="304"/>
      <c r="L162" s="868">
        <f>IF(obp!L130="","",obp!L130)</f>
        <v>0</v>
      </c>
      <c r="M162" s="868">
        <f>IF(obp!M130="","",obp!M130)</f>
        <v>0</v>
      </c>
      <c r="N162" s="867" t="str">
        <f t="shared" si="52"/>
        <v/>
      </c>
      <c r="O162" s="867"/>
      <c r="P162" s="953" t="str">
        <f t="shared" si="53"/>
        <v/>
      </c>
      <c r="Q162" s="70"/>
      <c r="R162" s="739" t="str">
        <f t="shared" si="64"/>
        <v/>
      </c>
      <c r="S162" s="739" t="str">
        <f t="shared" si="54"/>
        <v/>
      </c>
      <c r="T162" s="740" t="str">
        <f t="shared" si="55"/>
        <v/>
      </c>
      <c r="U162" s="275"/>
      <c r="V162" s="288"/>
      <c r="W162" s="288"/>
      <c r="X162" s="288"/>
      <c r="Y162" s="908">
        <f t="shared" si="56"/>
        <v>0</v>
      </c>
      <c r="Z162" s="986">
        <f>tab!$D$62</f>
        <v>0.6</v>
      </c>
      <c r="AA162" s="944">
        <f t="shared" si="57"/>
        <v>0</v>
      </c>
      <c r="AB162" s="944">
        <f t="shared" si="58"/>
        <v>0</v>
      </c>
      <c r="AC162" s="944">
        <f t="shared" si="59"/>
        <v>0</v>
      </c>
      <c r="AD162" s="943" t="e">
        <f t="shared" si="60"/>
        <v>#VALUE!</v>
      </c>
      <c r="AE162" s="943">
        <f t="shared" si="61"/>
        <v>0</v>
      </c>
      <c r="AF162" s="916">
        <f>IF(H162&gt;8,tab!$D$63,tab!$D$65)</f>
        <v>0.5</v>
      </c>
      <c r="AG162" s="925">
        <f t="shared" si="62"/>
        <v>0</v>
      </c>
      <c r="AH162" s="940">
        <f t="shared" si="63"/>
        <v>0</v>
      </c>
      <c r="AM162" s="315"/>
    </row>
    <row r="163" spans="3:39" x14ac:dyDescent="0.2">
      <c r="C163" s="69"/>
      <c r="D163" s="75" t="str">
        <f>IF(obp!D131=0,"",obp!D131)</f>
        <v/>
      </c>
      <c r="E163" s="75" t="str">
        <f>IF(obp!E131=0,"-",obp!E131)</f>
        <v/>
      </c>
      <c r="F163" s="88" t="str">
        <f>IF(obp!F131="","",obp!F131+1)</f>
        <v/>
      </c>
      <c r="G163" s="290" t="str">
        <f>IF(obp!G131="","",obp!G131)</f>
        <v/>
      </c>
      <c r="H163" s="88" t="str">
        <f>IF(obp!H131=0,"",obp!H131)</f>
        <v/>
      </c>
      <c r="I163" s="99" t="str">
        <f>IF(J163="","",(IF(obp!I131+1&gt;LOOKUP(H163,schaal2019,regels2019),obp!I131,obp!I131+1)))</f>
        <v/>
      </c>
      <c r="J163" s="291" t="str">
        <f>IF(obp!J131="","",obp!J131)</f>
        <v/>
      </c>
      <c r="K163" s="304"/>
      <c r="L163" s="868">
        <f>IF(obp!L131="","",obp!L131)</f>
        <v>0</v>
      </c>
      <c r="M163" s="868">
        <f>IF(obp!M131="","",obp!M131)</f>
        <v>0</v>
      </c>
      <c r="N163" s="867" t="str">
        <f t="shared" si="52"/>
        <v/>
      </c>
      <c r="O163" s="867"/>
      <c r="P163" s="953" t="str">
        <f t="shared" si="53"/>
        <v/>
      </c>
      <c r="Q163" s="70"/>
      <c r="R163" s="739" t="str">
        <f t="shared" si="64"/>
        <v/>
      </c>
      <c r="S163" s="739" t="str">
        <f t="shared" si="54"/>
        <v/>
      </c>
      <c r="T163" s="740" t="str">
        <f t="shared" si="55"/>
        <v/>
      </c>
      <c r="U163" s="275"/>
      <c r="V163" s="288"/>
      <c r="W163" s="288"/>
      <c r="X163" s="288"/>
      <c r="Y163" s="908">
        <f t="shared" si="56"/>
        <v>0</v>
      </c>
      <c r="Z163" s="986">
        <f>tab!$D$62</f>
        <v>0.6</v>
      </c>
      <c r="AA163" s="944">
        <f t="shared" si="57"/>
        <v>0</v>
      </c>
      <c r="AB163" s="944">
        <f t="shared" si="58"/>
        <v>0</v>
      </c>
      <c r="AC163" s="944">
        <f t="shared" si="59"/>
        <v>0</v>
      </c>
      <c r="AD163" s="943" t="e">
        <f t="shared" si="60"/>
        <v>#VALUE!</v>
      </c>
      <c r="AE163" s="943">
        <f t="shared" si="61"/>
        <v>0</v>
      </c>
      <c r="AF163" s="916">
        <f>IF(H163&gt;8,tab!$D$63,tab!$D$65)</f>
        <v>0.5</v>
      </c>
      <c r="AG163" s="925">
        <f t="shared" si="62"/>
        <v>0</v>
      </c>
      <c r="AH163" s="940">
        <f t="shared" si="63"/>
        <v>0</v>
      </c>
      <c r="AM163" s="315"/>
    </row>
    <row r="164" spans="3:39" x14ac:dyDescent="0.2">
      <c r="C164" s="69"/>
      <c r="D164" s="75" t="str">
        <f>IF(obp!D132=0,"",obp!D132)</f>
        <v/>
      </c>
      <c r="E164" s="75" t="str">
        <f>IF(obp!E132=0,"-",obp!E132)</f>
        <v/>
      </c>
      <c r="F164" s="88" t="str">
        <f>IF(obp!F132="","",obp!F132+1)</f>
        <v/>
      </c>
      <c r="G164" s="290" t="str">
        <f>IF(obp!G132="","",obp!G132)</f>
        <v/>
      </c>
      <c r="H164" s="88" t="str">
        <f>IF(obp!H132=0,"",obp!H132)</f>
        <v/>
      </c>
      <c r="I164" s="99" t="str">
        <f>IF(J164="","",(IF(obp!I132+1&gt;LOOKUP(H164,schaal2019,regels2019),obp!I132,obp!I132+1)))</f>
        <v/>
      </c>
      <c r="J164" s="291" t="str">
        <f>IF(obp!J132="","",obp!J132)</f>
        <v/>
      </c>
      <c r="K164" s="304"/>
      <c r="L164" s="868">
        <f>IF(obp!L132="","",obp!L132)</f>
        <v>0</v>
      </c>
      <c r="M164" s="868">
        <f>IF(obp!M132="","",obp!M132)</f>
        <v>0</v>
      </c>
      <c r="N164" s="867" t="str">
        <f t="shared" si="52"/>
        <v/>
      </c>
      <c r="O164" s="867"/>
      <c r="P164" s="953" t="str">
        <f t="shared" si="53"/>
        <v/>
      </c>
      <c r="Q164" s="70"/>
      <c r="R164" s="739" t="str">
        <f t="shared" si="64"/>
        <v/>
      </c>
      <c r="S164" s="739" t="str">
        <f t="shared" si="54"/>
        <v/>
      </c>
      <c r="T164" s="740" t="str">
        <f t="shared" si="55"/>
        <v/>
      </c>
      <c r="U164" s="275"/>
      <c r="V164" s="288"/>
      <c r="W164" s="288"/>
      <c r="X164" s="288"/>
      <c r="Y164" s="908">
        <f t="shared" si="56"/>
        <v>0</v>
      </c>
      <c r="Z164" s="986">
        <f>tab!$D$62</f>
        <v>0.6</v>
      </c>
      <c r="AA164" s="944">
        <f t="shared" si="57"/>
        <v>0</v>
      </c>
      <c r="AB164" s="944">
        <f t="shared" si="58"/>
        <v>0</v>
      </c>
      <c r="AC164" s="944">
        <f t="shared" si="59"/>
        <v>0</v>
      </c>
      <c r="AD164" s="943" t="e">
        <f t="shared" si="60"/>
        <v>#VALUE!</v>
      </c>
      <c r="AE164" s="943">
        <f t="shared" si="61"/>
        <v>0</v>
      </c>
      <c r="AF164" s="916">
        <f>IF(H164&gt;8,tab!$D$63,tab!$D$65)</f>
        <v>0.5</v>
      </c>
      <c r="AG164" s="925">
        <f t="shared" si="62"/>
        <v>0</v>
      </c>
      <c r="AH164" s="940">
        <f t="shared" si="63"/>
        <v>0</v>
      </c>
      <c r="AM164" s="315"/>
    </row>
    <row r="165" spans="3:39" x14ac:dyDescent="0.2">
      <c r="C165" s="69"/>
      <c r="D165" s="89"/>
      <c r="E165" s="89"/>
      <c r="F165" s="98"/>
      <c r="G165" s="299"/>
      <c r="H165" s="98"/>
      <c r="I165" s="362"/>
      <c r="J165" s="742">
        <f>SUM(J145:J164)</f>
        <v>0</v>
      </c>
      <c r="K165" s="292"/>
      <c r="L165" s="869">
        <f>SUM(L145:L164)</f>
        <v>0</v>
      </c>
      <c r="M165" s="869">
        <f>SUM(M145:M164)</f>
        <v>0</v>
      </c>
      <c r="N165" s="869">
        <f>SUM(N145:N164)</f>
        <v>0</v>
      </c>
      <c r="O165" s="869"/>
      <c r="P165" s="869">
        <f>SUM(P145:P164)</f>
        <v>0</v>
      </c>
      <c r="Q165" s="292"/>
      <c r="R165" s="743">
        <f>SUM(R145:R164)</f>
        <v>0</v>
      </c>
      <c r="S165" s="743">
        <f>SUM(S145:S164)</f>
        <v>0</v>
      </c>
      <c r="T165" s="743">
        <f>SUM(T145:T164)</f>
        <v>0</v>
      </c>
      <c r="U165" s="106"/>
      <c r="Y165" s="909">
        <f>SUM(Y145:Y164)</f>
        <v>2857</v>
      </c>
      <c r="Z165" s="983"/>
      <c r="AA165" s="983"/>
      <c r="AB165" s="983"/>
      <c r="AC165" s="983"/>
      <c r="AD165" s="917" t="e">
        <f>SUM(AD145:AD164)</f>
        <v>#VALUE!</v>
      </c>
      <c r="AE165" s="930">
        <f>SUM(AE145:AE164)</f>
        <v>0</v>
      </c>
      <c r="AF165" s="909"/>
      <c r="AG165" s="928">
        <f>SUM(AG145:AG164)</f>
        <v>0</v>
      </c>
      <c r="AH165" s="937">
        <f>SUM(AH145:AH164)</f>
        <v>0</v>
      </c>
    </row>
    <row r="166" spans="3:39" x14ac:dyDescent="0.2">
      <c r="C166" s="76"/>
      <c r="D166" s="107"/>
      <c r="E166" s="107"/>
      <c r="F166" s="143"/>
      <c r="G166" s="303"/>
      <c r="H166" s="143"/>
      <c r="I166" s="304"/>
      <c r="J166" s="305"/>
      <c r="K166" s="304"/>
      <c r="L166" s="304"/>
      <c r="M166" s="304"/>
      <c r="N166" s="304"/>
      <c r="O166" s="304"/>
      <c r="P166" s="304"/>
      <c r="Q166" s="304"/>
      <c r="R166" s="364"/>
      <c r="S166" s="300"/>
      <c r="T166" s="300"/>
      <c r="U166" s="365"/>
      <c r="Y166" s="881"/>
      <c r="Z166" s="983"/>
      <c r="AA166" s="983"/>
      <c r="AB166" s="983"/>
      <c r="AC166" s="983"/>
      <c r="AF166" s="909"/>
      <c r="AG166" s="928"/>
      <c r="AH166" s="937"/>
    </row>
    <row r="169" spans="3:39" x14ac:dyDescent="0.2">
      <c r="C169" s="48" t="s">
        <v>165</v>
      </c>
      <c r="E169" s="327" t="str">
        <f>dir!E123</f>
        <v>2024/25</v>
      </c>
      <c r="AE169" s="911"/>
    </row>
    <row r="170" spans="3:39" x14ac:dyDescent="0.2">
      <c r="C170" s="48" t="s">
        <v>187</v>
      </c>
      <c r="E170" s="327">
        <f>dir!E124</f>
        <v>45566</v>
      </c>
      <c r="AE170" s="911"/>
    </row>
    <row r="171" spans="3:39" x14ac:dyDescent="0.2">
      <c r="AE171" s="911"/>
    </row>
    <row r="172" spans="3:39" x14ac:dyDescent="0.2">
      <c r="C172" s="757"/>
      <c r="D172" s="724"/>
      <c r="E172" s="723"/>
      <c r="F172" s="704"/>
      <c r="G172" s="725"/>
      <c r="H172" s="726"/>
      <c r="I172" s="726"/>
      <c r="J172" s="727"/>
      <c r="K172" s="728"/>
      <c r="L172" s="726"/>
      <c r="M172" s="726"/>
      <c r="N172" s="726"/>
      <c r="O172" s="726"/>
      <c r="P172" s="726"/>
      <c r="Q172" s="728"/>
      <c r="R172" s="728"/>
      <c r="S172" s="728"/>
      <c r="T172" s="626"/>
      <c r="U172" s="119"/>
      <c r="Z172" s="709"/>
      <c r="AA172" s="709"/>
      <c r="AB172" s="709"/>
      <c r="AC172" s="709"/>
      <c r="AE172" s="911"/>
      <c r="AI172" s="260"/>
      <c r="AJ172" s="260"/>
      <c r="AK172" s="260"/>
      <c r="AL172" s="212"/>
      <c r="AM172" s="211"/>
    </row>
    <row r="173" spans="3:39" x14ac:dyDescent="0.2">
      <c r="C173" s="758"/>
      <c r="D173" s="864" t="s">
        <v>298</v>
      </c>
      <c r="E173" s="865"/>
      <c r="F173" s="865"/>
      <c r="G173" s="865"/>
      <c r="H173" s="866"/>
      <c r="I173" s="866"/>
      <c r="J173" s="866"/>
      <c r="K173" s="968"/>
      <c r="L173" s="864" t="s">
        <v>492</v>
      </c>
      <c r="M173" s="858"/>
      <c r="N173" s="864"/>
      <c r="O173" s="864"/>
      <c r="P173" s="951"/>
      <c r="Q173" s="730"/>
      <c r="R173" s="864" t="s">
        <v>494</v>
      </c>
      <c r="S173" s="866"/>
      <c r="T173" s="935"/>
      <c r="U173" s="746"/>
      <c r="V173" s="279"/>
      <c r="W173" s="279"/>
      <c r="X173" s="279"/>
      <c r="Y173" s="882"/>
      <c r="Z173" s="913"/>
      <c r="AA173" s="882"/>
      <c r="AB173" s="882"/>
      <c r="AC173" s="882"/>
      <c r="AD173" s="912"/>
      <c r="AE173" s="912"/>
      <c r="AF173" s="913"/>
      <c r="AG173" s="933"/>
      <c r="AH173" s="941"/>
      <c r="AI173" s="923"/>
      <c r="AJ173" s="923"/>
      <c r="AK173" s="923"/>
      <c r="AL173" s="923"/>
      <c r="AM173" s="923"/>
    </row>
    <row r="174" spans="3:39" x14ac:dyDescent="0.2">
      <c r="C174" s="758"/>
      <c r="D174" s="693" t="s">
        <v>480</v>
      </c>
      <c r="E174" s="693" t="s">
        <v>171</v>
      </c>
      <c r="F174" s="732" t="s">
        <v>119</v>
      </c>
      <c r="G174" s="733" t="s">
        <v>289</v>
      </c>
      <c r="H174" s="732" t="s">
        <v>201</v>
      </c>
      <c r="I174" s="732" t="s">
        <v>229</v>
      </c>
      <c r="J174" s="734" t="s">
        <v>122</v>
      </c>
      <c r="K174" s="969"/>
      <c r="L174" s="735" t="s">
        <v>475</v>
      </c>
      <c r="M174" s="735" t="s">
        <v>468</v>
      </c>
      <c r="N174" s="735" t="s">
        <v>482</v>
      </c>
      <c r="O174" s="735" t="s">
        <v>475</v>
      </c>
      <c r="P174" s="952" t="s">
        <v>487</v>
      </c>
      <c r="Q174" s="702"/>
      <c r="R174" s="863" t="s">
        <v>186</v>
      </c>
      <c r="S174" s="737" t="s">
        <v>493</v>
      </c>
      <c r="T174" s="738" t="s">
        <v>186</v>
      </c>
      <c r="U174" s="747"/>
      <c r="V174" s="282"/>
      <c r="W174" s="282"/>
      <c r="X174" s="282"/>
      <c r="Y174" s="914" t="s">
        <v>322</v>
      </c>
      <c r="Z174" s="960" t="s">
        <v>479</v>
      </c>
      <c r="AA174" s="903" t="s">
        <v>488</v>
      </c>
      <c r="AB174" s="903" t="s">
        <v>488</v>
      </c>
      <c r="AC174" s="903" t="s">
        <v>491</v>
      </c>
      <c r="AD174" s="915" t="s">
        <v>473</v>
      </c>
      <c r="AE174" s="915" t="s">
        <v>474</v>
      </c>
      <c r="AF174" s="902" t="s">
        <v>470</v>
      </c>
      <c r="AG174" s="934" t="s">
        <v>306</v>
      </c>
      <c r="AH174" s="941" t="s">
        <v>415</v>
      </c>
      <c r="AI174" s="902" t="s">
        <v>292</v>
      </c>
      <c r="AJ174" s="902" t="s">
        <v>293</v>
      </c>
      <c r="AK174" s="902" t="s">
        <v>121</v>
      </c>
      <c r="AL174" s="902" t="s">
        <v>198</v>
      </c>
      <c r="AM174" s="915" t="s">
        <v>173</v>
      </c>
    </row>
    <row r="175" spans="3:39" x14ac:dyDescent="0.2">
      <c r="C175" s="758"/>
      <c r="D175" s="865"/>
      <c r="E175" s="693"/>
      <c r="F175" s="732" t="s">
        <v>120</v>
      </c>
      <c r="G175" s="733" t="s">
        <v>290</v>
      </c>
      <c r="H175" s="732"/>
      <c r="I175" s="732"/>
      <c r="J175" s="734"/>
      <c r="K175" s="969"/>
      <c r="L175" s="735" t="s">
        <v>476</v>
      </c>
      <c r="M175" s="735" t="s">
        <v>478</v>
      </c>
      <c r="N175" s="735" t="s">
        <v>483</v>
      </c>
      <c r="O175" s="735" t="s">
        <v>477</v>
      </c>
      <c r="P175" s="952" t="s">
        <v>284</v>
      </c>
      <c r="Q175" s="702"/>
      <c r="R175" s="706" t="s">
        <v>485</v>
      </c>
      <c r="S175" s="737" t="s">
        <v>469</v>
      </c>
      <c r="T175" s="738" t="s">
        <v>284</v>
      </c>
      <c r="U175" s="710"/>
      <c r="V175" s="81"/>
      <c r="W175" s="81"/>
      <c r="X175" s="81"/>
      <c r="Y175" s="914" t="s">
        <v>193</v>
      </c>
      <c r="Z175" s="961">
        <f>tab!$D$62</f>
        <v>0.6</v>
      </c>
      <c r="AA175" s="903" t="s">
        <v>489</v>
      </c>
      <c r="AB175" s="903" t="s">
        <v>490</v>
      </c>
      <c r="AC175" s="903" t="s">
        <v>486</v>
      </c>
      <c r="AD175" s="915" t="s">
        <v>472</v>
      </c>
      <c r="AE175" s="915" t="s">
        <v>472</v>
      </c>
      <c r="AF175" s="902" t="s">
        <v>471</v>
      </c>
      <c r="AG175" s="934"/>
      <c r="AH175" s="940" t="s">
        <v>228</v>
      </c>
      <c r="AI175" s="915" t="s">
        <v>291</v>
      </c>
      <c r="AJ175" s="915" t="s">
        <v>291</v>
      </c>
      <c r="AK175" s="902"/>
      <c r="AL175" s="902" t="s">
        <v>173</v>
      </c>
      <c r="AM175" s="915"/>
    </row>
    <row r="176" spans="3:39" x14ac:dyDescent="0.2">
      <c r="C176" s="758"/>
      <c r="D176" s="865"/>
      <c r="E176" s="865"/>
      <c r="F176" s="703"/>
      <c r="G176" s="748"/>
      <c r="H176" s="732"/>
      <c r="I176" s="732"/>
      <c r="J176" s="734"/>
      <c r="K176" s="736"/>
      <c r="L176" s="735"/>
      <c r="M176" s="735"/>
      <c r="N176" s="735"/>
      <c r="O176" s="735"/>
      <c r="P176" s="735"/>
      <c r="Q176" s="736"/>
      <c r="R176" s="749"/>
      <c r="S176" s="749"/>
      <c r="T176" s="363"/>
      <c r="U176" s="344"/>
      <c r="Y176" s="914"/>
      <c r="Z176" s="982"/>
      <c r="AA176" s="982"/>
      <c r="AB176" s="982"/>
      <c r="AC176" s="982"/>
      <c r="AD176" s="915"/>
      <c r="AE176" s="915"/>
      <c r="AF176" s="901"/>
      <c r="AG176" s="934"/>
      <c r="AH176" s="940"/>
    </row>
    <row r="177" spans="3:39" x14ac:dyDescent="0.2">
      <c r="C177" s="69"/>
      <c r="D177" s="75" t="str">
        <f>IF(obp!D145=0,"",obp!D145)</f>
        <v/>
      </c>
      <c r="E177" s="75" t="str">
        <f>IF(obp!E145=0,"-",obp!E145)</f>
        <v>piet</v>
      </c>
      <c r="F177" s="88">
        <f>IF(obp!F145="","",obp!F145+1)</f>
        <v>45</v>
      </c>
      <c r="G177" s="290" t="str">
        <f>IF(obp!G145="","",obp!G145)</f>
        <v/>
      </c>
      <c r="H177" s="88">
        <f>IF(obp!H145=0,"",obp!H145)</f>
        <v>8</v>
      </c>
      <c r="I177" s="99">
        <f>IF(J177="","",(IF(obp!I145+1&gt;LOOKUP(H177,schaal2019,regels2019),obp!I145,obp!I145+1)))</f>
        <v>9</v>
      </c>
      <c r="J177" s="291">
        <f>IF(obp!J145="","",obp!J145)</f>
        <v>0</v>
      </c>
      <c r="K177" s="304"/>
      <c r="L177" s="868">
        <f>IF(obp!L145="","",obp!L145)</f>
        <v>0</v>
      </c>
      <c r="M177" s="868">
        <f>IF(obp!M145="","",obp!M145)</f>
        <v>0</v>
      </c>
      <c r="N177" s="867">
        <f t="shared" ref="N177:N196" si="65">IF(J177="","",IF((J177*40)&gt;40,40,((J177*40))))</f>
        <v>0</v>
      </c>
      <c r="O177" s="867"/>
      <c r="P177" s="953">
        <f t="shared" ref="P177:P196" si="66">IF(J177="","",(SUM(L177:O177)))</f>
        <v>0</v>
      </c>
      <c r="Q177" s="70"/>
      <c r="R177" s="739">
        <f>IF(J177="","",(((1659*J177)-P177)*AB177))</f>
        <v>0</v>
      </c>
      <c r="S177" s="739">
        <f t="shared" ref="S177:S196" si="67">IF(J177="","",(P177*AC177)+(AA177*AD177)+((AE177*AA177*(1-AF177))))</f>
        <v>0</v>
      </c>
      <c r="T177" s="740">
        <f t="shared" ref="T177:T196" si="68">IF(J177="","",(R177+S177))</f>
        <v>0</v>
      </c>
      <c r="U177" s="275"/>
      <c r="V177" s="288"/>
      <c r="W177" s="288"/>
      <c r="X177" s="288"/>
      <c r="Y177" s="908">
        <f t="shared" ref="Y177:Y196" si="69">IF(H177="",0,5/12*VLOOKUP(H177,salaris2020,I177+1,FALSE)+7/12*VLOOKUP(H177,salaris2020,I177+1,FALSE))</f>
        <v>2916</v>
      </c>
      <c r="Z177" s="986">
        <f>tab!$D$62</f>
        <v>0.6</v>
      </c>
      <c r="AA177" s="944">
        <f t="shared" ref="AA177:AA196" si="70">(Y177*12/1659)</f>
        <v>21.092224231464737</v>
      </c>
      <c r="AB177" s="944">
        <f t="shared" ref="AB177:AB196" si="71">(Y177*12*(1+Z177))/1659</f>
        <v>33.747558770343581</v>
      </c>
      <c r="AC177" s="944">
        <f t="shared" ref="AC177:AC196" si="72">AB177-AA177</f>
        <v>12.655334538878844</v>
      </c>
      <c r="AD177" s="943">
        <f t="shared" ref="AD177:AD196" si="73">(N177+O177)</f>
        <v>0</v>
      </c>
      <c r="AE177" s="943">
        <f t="shared" ref="AE177:AE196" si="74">(L177+M177)</f>
        <v>0</v>
      </c>
      <c r="AF177" s="916">
        <f>IF(H177&gt;8,tab!$D$63,tab!$D$65)</f>
        <v>0.4</v>
      </c>
      <c r="AG177" s="925">
        <f t="shared" ref="AG177:AG196" si="75">IF(F177&lt;25,0,IF(F177=25,25,IF(F177&lt;40,0,IF(F177=40,40,IF(F177&gt;=40,0)))))</f>
        <v>0</v>
      </c>
      <c r="AH177" s="940">
        <f t="shared" ref="AH177:AH196" si="76">IF(AG177=25,(Y177*1.08*(J177)/2),IF(AG177=40,(Y177*1.08*(J177)),IF(AG177=0,0)))</f>
        <v>0</v>
      </c>
      <c r="AM177" s="315"/>
    </row>
    <row r="178" spans="3:39" x14ac:dyDescent="0.2">
      <c r="C178" s="69"/>
      <c r="D178" s="75" t="str">
        <f>IF(obp!D146=0,"",obp!D146)</f>
        <v/>
      </c>
      <c r="E178" s="75" t="str">
        <f>IF(obp!E146=0,"-",obp!E146)</f>
        <v/>
      </c>
      <c r="F178" s="88" t="str">
        <f>IF(obp!F146="","",obp!F146+1)</f>
        <v/>
      </c>
      <c r="G178" s="290" t="str">
        <f>IF(obp!G146="","",obp!G146)</f>
        <v/>
      </c>
      <c r="H178" s="88" t="str">
        <f>IF(obp!H146=0,"",obp!H146)</f>
        <v/>
      </c>
      <c r="I178" s="99" t="str">
        <f>IF(J178="","",(IF(obp!I146+1&gt;LOOKUP(H178,schaal2019,regels2019),obp!I146,obp!I146+1)))</f>
        <v/>
      </c>
      <c r="J178" s="291" t="str">
        <f>IF(obp!J146="","",obp!J146)</f>
        <v/>
      </c>
      <c r="K178" s="304"/>
      <c r="L178" s="868">
        <f>IF(obp!L146="","",obp!L146)</f>
        <v>0</v>
      </c>
      <c r="M178" s="868">
        <f>IF(obp!M146="","",obp!M146)</f>
        <v>0</v>
      </c>
      <c r="N178" s="867" t="str">
        <f t="shared" si="65"/>
        <v/>
      </c>
      <c r="O178" s="867"/>
      <c r="P178" s="953" t="str">
        <f t="shared" si="66"/>
        <v/>
      </c>
      <c r="Q178" s="70"/>
      <c r="R178" s="739" t="str">
        <f t="shared" ref="R178:R196" si="77">IF(J178="","",(((1659*J178)-P178)*AB178))</f>
        <v/>
      </c>
      <c r="S178" s="739" t="str">
        <f t="shared" si="67"/>
        <v/>
      </c>
      <c r="T178" s="740" t="str">
        <f t="shared" si="68"/>
        <v/>
      </c>
      <c r="U178" s="275"/>
      <c r="V178" s="288"/>
      <c r="W178" s="288"/>
      <c r="X178" s="288"/>
      <c r="Y178" s="908">
        <f t="shared" si="69"/>
        <v>0</v>
      </c>
      <c r="Z178" s="986">
        <f>tab!$D$62</f>
        <v>0.6</v>
      </c>
      <c r="AA178" s="944">
        <f t="shared" si="70"/>
        <v>0</v>
      </c>
      <c r="AB178" s="944">
        <f t="shared" si="71"/>
        <v>0</v>
      </c>
      <c r="AC178" s="944">
        <f t="shared" si="72"/>
        <v>0</v>
      </c>
      <c r="AD178" s="943" t="e">
        <f t="shared" si="73"/>
        <v>#VALUE!</v>
      </c>
      <c r="AE178" s="943">
        <f t="shared" si="74"/>
        <v>0</v>
      </c>
      <c r="AF178" s="916">
        <f>IF(H178&gt;8,tab!$D$63,tab!$D$65)</f>
        <v>0.5</v>
      </c>
      <c r="AG178" s="925">
        <f t="shared" si="75"/>
        <v>0</v>
      </c>
      <c r="AH178" s="940">
        <f t="shared" si="76"/>
        <v>0</v>
      </c>
      <c r="AM178" s="315"/>
    </row>
    <row r="179" spans="3:39" x14ac:dyDescent="0.2">
      <c r="C179" s="69"/>
      <c r="D179" s="75" t="str">
        <f>IF(obp!D147=0,"",obp!D147)</f>
        <v/>
      </c>
      <c r="E179" s="75" t="str">
        <f>IF(obp!E147=0,"-",obp!E147)</f>
        <v/>
      </c>
      <c r="F179" s="88" t="str">
        <f>IF(obp!F147="","",obp!F147+1)</f>
        <v/>
      </c>
      <c r="G179" s="290" t="str">
        <f>IF(obp!G147="","",obp!G147)</f>
        <v/>
      </c>
      <c r="H179" s="88" t="str">
        <f>IF(obp!H147=0,"",obp!H147)</f>
        <v/>
      </c>
      <c r="I179" s="99" t="str">
        <f>IF(J179="","",(IF(obp!I147+1&gt;LOOKUP(H179,schaal2019,regels2019),obp!I147,obp!I147+1)))</f>
        <v/>
      </c>
      <c r="J179" s="291" t="str">
        <f>IF(obp!J147="","",obp!J147)</f>
        <v/>
      </c>
      <c r="K179" s="304"/>
      <c r="L179" s="868">
        <f>IF(obp!L147="","",obp!L147)</f>
        <v>0</v>
      </c>
      <c r="M179" s="868">
        <f>IF(obp!M147="","",obp!M147)</f>
        <v>0</v>
      </c>
      <c r="N179" s="867" t="str">
        <f t="shared" si="65"/>
        <v/>
      </c>
      <c r="O179" s="867"/>
      <c r="P179" s="953" t="str">
        <f t="shared" si="66"/>
        <v/>
      </c>
      <c r="Q179" s="70"/>
      <c r="R179" s="739" t="str">
        <f t="shared" si="77"/>
        <v/>
      </c>
      <c r="S179" s="739" t="str">
        <f t="shared" si="67"/>
        <v/>
      </c>
      <c r="T179" s="740" t="str">
        <f t="shared" si="68"/>
        <v/>
      </c>
      <c r="U179" s="275"/>
      <c r="V179" s="288"/>
      <c r="W179" s="288"/>
      <c r="X179" s="288"/>
      <c r="Y179" s="908">
        <f t="shared" si="69"/>
        <v>0</v>
      </c>
      <c r="Z179" s="986">
        <f>tab!$D$62</f>
        <v>0.6</v>
      </c>
      <c r="AA179" s="944">
        <f t="shared" si="70"/>
        <v>0</v>
      </c>
      <c r="AB179" s="944">
        <f t="shared" si="71"/>
        <v>0</v>
      </c>
      <c r="AC179" s="944">
        <f t="shared" si="72"/>
        <v>0</v>
      </c>
      <c r="AD179" s="943" t="e">
        <f t="shared" si="73"/>
        <v>#VALUE!</v>
      </c>
      <c r="AE179" s="943">
        <f t="shared" si="74"/>
        <v>0</v>
      </c>
      <c r="AF179" s="916">
        <f>IF(H179&gt;8,tab!$D$63,tab!$D$65)</f>
        <v>0.5</v>
      </c>
      <c r="AG179" s="925">
        <f t="shared" si="75"/>
        <v>0</v>
      </c>
      <c r="AH179" s="940">
        <f t="shared" si="76"/>
        <v>0</v>
      </c>
      <c r="AM179" s="315"/>
    </row>
    <row r="180" spans="3:39" x14ac:dyDescent="0.2">
      <c r="C180" s="69"/>
      <c r="D180" s="75" t="str">
        <f>IF(obp!D148=0,"",obp!D148)</f>
        <v/>
      </c>
      <c r="E180" s="75" t="str">
        <f>IF(obp!E148=0,"-",obp!E148)</f>
        <v/>
      </c>
      <c r="F180" s="88" t="str">
        <f>IF(obp!F148="","",obp!F148+1)</f>
        <v/>
      </c>
      <c r="G180" s="290" t="str">
        <f>IF(obp!G148="","",obp!G148)</f>
        <v/>
      </c>
      <c r="H180" s="88" t="str">
        <f>IF(obp!H148=0,"",obp!H148)</f>
        <v/>
      </c>
      <c r="I180" s="99" t="str">
        <f>IF(J180="","",(IF(obp!I148+1&gt;LOOKUP(H180,schaal2019,regels2019),obp!I148,obp!I148+1)))</f>
        <v/>
      </c>
      <c r="J180" s="291" t="str">
        <f>IF(obp!J148="","",obp!J148)</f>
        <v/>
      </c>
      <c r="K180" s="304"/>
      <c r="L180" s="868">
        <f>IF(obp!L148="","",obp!L148)</f>
        <v>0</v>
      </c>
      <c r="M180" s="868">
        <f>IF(obp!M148="","",obp!M148)</f>
        <v>0</v>
      </c>
      <c r="N180" s="867" t="str">
        <f t="shared" si="65"/>
        <v/>
      </c>
      <c r="O180" s="867"/>
      <c r="P180" s="953" t="str">
        <f t="shared" si="66"/>
        <v/>
      </c>
      <c r="Q180" s="70"/>
      <c r="R180" s="739" t="str">
        <f t="shared" si="77"/>
        <v/>
      </c>
      <c r="S180" s="739" t="str">
        <f t="shared" si="67"/>
        <v/>
      </c>
      <c r="T180" s="740" t="str">
        <f t="shared" si="68"/>
        <v/>
      </c>
      <c r="U180" s="275"/>
      <c r="V180" s="288"/>
      <c r="W180" s="288"/>
      <c r="X180" s="288"/>
      <c r="Y180" s="908">
        <f t="shared" si="69"/>
        <v>0</v>
      </c>
      <c r="Z180" s="986">
        <f>tab!$D$62</f>
        <v>0.6</v>
      </c>
      <c r="AA180" s="944">
        <f t="shared" si="70"/>
        <v>0</v>
      </c>
      <c r="AB180" s="944">
        <f t="shared" si="71"/>
        <v>0</v>
      </c>
      <c r="AC180" s="944">
        <f t="shared" si="72"/>
        <v>0</v>
      </c>
      <c r="AD180" s="943" t="e">
        <f t="shared" si="73"/>
        <v>#VALUE!</v>
      </c>
      <c r="AE180" s="943">
        <f t="shared" si="74"/>
        <v>0</v>
      </c>
      <c r="AF180" s="916">
        <f>IF(H180&gt;8,tab!$D$63,tab!$D$65)</f>
        <v>0.5</v>
      </c>
      <c r="AG180" s="925">
        <f t="shared" si="75"/>
        <v>0</v>
      </c>
      <c r="AH180" s="940">
        <f t="shared" si="76"/>
        <v>0</v>
      </c>
      <c r="AM180" s="315"/>
    </row>
    <row r="181" spans="3:39" x14ac:dyDescent="0.2">
      <c r="C181" s="69"/>
      <c r="D181" s="75" t="str">
        <f>IF(obp!D149=0,"",obp!D149)</f>
        <v/>
      </c>
      <c r="E181" s="75" t="str">
        <f>IF(obp!E149=0,"-",obp!E149)</f>
        <v/>
      </c>
      <c r="F181" s="88" t="str">
        <f>IF(obp!F149="","",obp!F149+1)</f>
        <v/>
      </c>
      <c r="G181" s="290" t="str">
        <f>IF(obp!G149="","",obp!G149)</f>
        <v/>
      </c>
      <c r="H181" s="88" t="str">
        <f>IF(obp!H149=0,"",obp!H149)</f>
        <v/>
      </c>
      <c r="I181" s="99" t="str">
        <f>IF(J181="","",(IF(obp!I149+1&gt;LOOKUP(H181,schaal2019,regels2019),obp!I149,obp!I149+1)))</f>
        <v/>
      </c>
      <c r="J181" s="291" t="str">
        <f>IF(obp!J149="","",obp!J149)</f>
        <v/>
      </c>
      <c r="K181" s="304"/>
      <c r="L181" s="868">
        <f>IF(obp!L149="","",obp!L149)</f>
        <v>0</v>
      </c>
      <c r="M181" s="868">
        <f>IF(obp!M149="","",obp!M149)</f>
        <v>0</v>
      </c>
      <c r="N181" s="867" t="str">
        <f t="shared" si="65"/>
        <v/>
      </c>
      <c r="O181" s="867"/>
      <c r="P181" s="953" t="str">
        <f t="shared" si="66"/>
        <v/>
      </c>
      <c r="Q181" s="70"/>
      <c r="R181" s="739" t="str">
        <f t="shared" si="77"/>
        <v/>
      </c>
      <c r="S181" s="739" t="str">
        <f t="shared" si="67"/>
        <v/>
      </c>
      <c r="T181" s="740" t="str">
        <f t="shared" si="68"/>
        <v/>
      </c>
      <c r="U181" s="275"/>
      <c r="V181" s="288"/>
      <c r="W181" s="288"/>
      <c r="X181" s="288"/>
      <c r="Y181" s="908">
        <f t="shared" si="69"/>
        <v>0</v>
      </c>
      <c r="Z181" s="986">
        <f>tab!$D$62</f>
        <v>0.6</v>
      </c>
      <c r="AA181" s="944">
        <f t="shared" si="70"/>
        <v>0</v>
      </c>
      <c r="AB181" s="944">
        <f t="shared" si="71"/>
        <v>0</v>
      </c>
      <c r="AC181" s="944">
        <f t="shared" si="72"/>
        <v>0</v>
      </c>
      <c r="AD181" s="943" t="e">
        <f t="shared" si="73"/>
        <v>#VALUE!</v>
      </c>
      <c r="AE181" s="943">
        <f t="shared" si="74"/>
        <v>0</v>
      </c>
      <c r="AF181" s="916">
        <f>IF(H181&gt;8,tab!$D$63,tab!$D$65)</f>
        <v>0.5</v>
      </c>
      <c r="AG181" s="925">
        <f t="shared" si="75"/>
        <v>0</v>
      </c>
      <c r="AH181" s="940">
        <f t="shared" si="76"/>
        <v>0</v>
      </c>
      <c r="AM181" s="315"/>
    </row>
    <row r="182" spans="3:39" x14ac:dyDescent="0.2">
      <c r="C182" s="69"/>
      <c r="D182" s="75" t="str">
        <f>IF(obp!D150=0,"",obp!D150)</f>
        <v/>
      </c>
      <c r="E182" s="75" t="str">
        <f>IF(obp!E150=0,"-",obp!E150)</f>
        <v/>
      </c>
      <c r="F182" s="88" t="str">
        <f>IF(obp!F150="","",obp!F150+1)</f>
        <v/>
      </c>
      <c r="G182" s="290" t="str">
        <f>IF(obp!G150="","",obp!G150)</f>
        <v/>
      </c>
      <c r="H182" s="88" t="str">
        <f>IF(obp!H150=0,"",obp!H150)</f>
        <v/>
      </c>
      <c r="I182" s="99" t="str">
        <f>IF(J182="","",(IF(obp!I150+1&gt;LOOKUP(H182,schaal2019,regels2019),obp!I150,obp!I150+1)))</f>
        <v/>
      </c>
      <c r="J182" s="291" t="str">
        <f>IF(obp!J150="","",obp!J150)</f>
        <v/>
      </c>
      <c r="K182" s="304"/>
      <c r="L182" s="868">
        <f>IF(obp!L150="","",obp!L150)</f>
        <v>0</v>
      </c>
      <c r="M182" s="868">
        <f>IF(obp!M150="","",obp!M150)</f>
        <v>0</v>
      </c>
      <c r="N182" s="867" t="str">
        <f t="shared" si="65"/>
        <v/>
      </c>
      <c r="O182" s="867"/>
      <c r="P182" s="953" t="str">
        <f t="shared" si="66"/>
        <v/>
      </c>
      <c r="Q182" s="70"/>
      <c r="R182" s="739" t="str">
        <f t="shared" si="77"/>
        <v/>
      </c>
      <c r="S182" s="739" t="str">
        <f t="shared" si="67"/>
        <v/>
      </c>
      <c r="T182" s="740" t="str">
        <f t="shared" si="68"/>
        <v/>
      </c>
      <c r="U182" s="275"/>
      <c r="V182" s="288"/>
      <c r="W182" s="288"/>
      <c r="X182" s="288"/>
      <c r="Y182" s="908">
        <f t="shared" si="69"/>
        <v>0</v>
      </c>
      <c r="Z182" s="986">
        <f>tab!$D$62</f>
        <v>0.6</v>
      </c>
      <c r="AA182" s="944">
        <f t="shared" si="70"/>
        <v>0</v>
      </c>
      <c r="AB182" s="944">
        <f t="shared" si="71"/>
        <v>0</v>
      </c>
      <c r="AC182" s="944">
        <f t="shared" si="72"/>
        <v>0</v>
      </c>
      <c r="AD182" s="943" t="e">
        <f t="shared" si="73"/>
        <v>#VALUE!</v>
      </c>
      <c r="AE182" s="943">
        <f t="shared" si="74"/>
        <v>0</v>
      </c>
      <c r="AF182" s="916">
        <f>IF(H182&gt;8,tab!$D$63,tab!$D$65)</f>
        <v>0.5</v>
      </c>
      <c r="AG182" s="925">
        <f t="shared" si="75"/>
        <v>0</v>
      </c>
      <c r="AH182" s="940">
        <f t="shared" si="76"/>
        <v>0</v>
      </c>
      <c r="AM182" s="315"/>
    </row>
    <row r="183" spans="3:39" x14ac:dyDescent="0.2">
      <c r="C183" s="69"/>
      <c r="D183" s="75" t="str">
        <f>IF(obp!D151=0,"",obp!D151)</f>
        <v/>
      </c>
      <c r="E183" s="75" t="str">
        <f>IF(obp!E151=0,"-",obp!E151)</f>
        <v/>
      </c>
      <c r="F183" s="88" t="str">
        <f>IF(obp!F151="","",obp!F151+1)</f>
        <v/>
      </c>
      <c r="G183" s="290" t="str">
        <f>IF(obp!G151="","",obp!G151)</f>
        <v/>
      </c>
      <c r="H183" s="88" t="str">
        <f>IF(obp!H151=0,"",obp!H151)</f>
        <v/>
      </c>
      <c r="I183" s="99" t="str">
        <f>IF(J183="","",(IF(obp!I151+1&gt;LOOKUP(H183,schaal2019,regels2019),obp!I151,obp!I151+1)))</f>
        <v/>
      </c>
      <c r="J183" s="291" t="str">
        <f>IF(obp!J151="","",obp!J151)</f>
        <v/>
      </c>
      <c r="K183" s="304"/>
      <c r="L183" s="868">
        <f>IF(obp!L151="","",obp!L151)</f>
        <v>0</v>
      </c>
      <c r="M183" s="868">
        <f>IF(obp!M151="","",obp!M151)</f>
        <v>0</v>
      </c>
      <c r="N183" s="867" t="str">
        <f t="shared" si="65"/>
        <v/>
      </c>
      <c r="O183" s="867"/>
      <c r="P183" s="953" t="str">
        <f t="shared" si="66"/>
        <v/>
      </c>
      <c r="Q183" s="70"/>
      <c r="R183" s="739" t="str">
        <f t="shared" si="77"/>
        <v/>
      </c>
      <c r="S183" s="739" t="str">
        <f t="shared" si="67"/>
        <v/>
      </c>
      <c r="T183" s="740" t="str">
        <f t="shared" si="68"/>
        <v/>
      </c>
      <c r="U183" s="275"/>
      <c r="V183" s="288"/>
      <c r="W183" s="288"/>
      <c r="X183" s="288"/>
      <c r="Y183" s="908">
        <f t="shared" si="69"/>
        <v>0</v>
      </c>
      <c r="Z183" s="986">
        <f>tab!$D$62</f>
        <v>0.6</v>
      </c>
      <c r="AA183" s="944">
        <f t="shared" si="70"/>
        <v>0</v>
      </c>
      <c r="AB183" s="944">
        <f t="shared" si="71"/>
        <v>0</v>
      </c>
      <c r="AC183" s="944">
        <f t="shared" si="72"/>
        <v>0</v>
      </c>
      <c r="AD183" s="943" t="e">
        <f t="shared" si="73"/>
        <v>#VALUE!</v>
      </c>
      <c r="AE183" s="943">
        <f t="shared" si="74"/>
        <v>0</v>
      </c>
      <c r="AF183" s="916">
        <f>IF(H183&gt;8,tab!$D$63,tab!$D$65)</f>
        <v>0.5</v>
      </c>
      <c r="AG183" s="925">
        <f t="shared" si="75"/>
        <v>0</v>
      </c>
      <c r="AH183" s="940">
        <f t="shared" si="76"/>
        <v>0</v>
      </c>
      <c r="AM183" s="315"/>
    </row>
    <row r="184" spans="3:39" x14ac:dyDescent="0.2">
      <c r="C184" s="69"/>
      <c r="D184" s="75" t="str">
        <f>IF(obp!D152=0,"",obp!D152)</f>
        <v/>
      </c>
      <c r="E184" s="75" t="str">
        <f>IF(obp!E152=0,"-",obp!E152)</f>
        <v/>
      </c>
      <c r="F184" s="88" t="str">
        <f>IF(obp!F152="","",obp!F152+1)</f>
        <v/>
      </c>
      <c r="G184" s="290" t="str">
        <f>IF(obp!G152="","",obp!G152)</f>
        <v/>
      </c>
      <c r="H184" s="88" t="str">
        <f>IF(obp!H152=0,"",obp!H152)</f>
        <v/>
      </c>
      <c r="I184" s="99" t="str">
        <f>IF(J184="","",(IF(obp!I152+1&gt;LOOKUP(H184,schaal2019,regels2019),obp!I152,obp!I152+1)))</f>
        <v/>
      </c>
      <c r="J184" s="291" t="str">
        <f>IF(obp!J152="","",obp!J152)</f>
        <v/>
      </c>
      <c r="K184" s="304"/>
      <c r="L184" s="868">
        <f>IF(obp!L152="","",obp!L152)</f>
        <v>0</v>
      </c>
      <c r="M184" s="868">
        <f>IF(obp!M152="","",obp!M152)</f>
        <v>0</v>
      </c>
      <c r="N184" s="867" t="str">
        <f t="shared" si="65"/>
        <v/>
      </c>
      <c r="O184" s="867"/>
      <c r="P184" s="953" t="str">
        <f t="shared" si="66"/>
        <v/>
      </c>
      <c r="Q184" s="70"/>
      <c r="R184" s="739" t="str">
        <f t="shared" si="77"/>
        <v/>
      </c>
      <c r="S184" s="739" t="str">
        <f t="shared" si="67"/>
        <v/>
      </c>
      <c r="T184" s="740" t="str">
        <f t="shared" si="68"/>
        <v/>
      </c>
      <c r="U184" s="275"/>
      <c r="V184" s="288"/>
      <c r="W184" s="288"/>
      <c r="X184" s="288"/>
      <c r="Y184" s="908">
        <f t="shared" si="69"/>
        <v>0</v>
      </c>
      <c r="Z184" s="986">
        <f>tab!$D$62</f>
        <v>0.6</v>
      </c>
      <c r="AA184" s="944">
        <f t="shared" si="70"/>
        <v>0</v>
      </c>
      <c r="AB184" s="944">
        <f t="shared" si="71"/>
        <v>0</v>
      </c>
      <c r="AC184" s="944">
        <f t="shared" si="72"/>
        <v>0</v>
      </c>
      <c r="AD184" s="943" t="e">
        <f t="shared" si="73"/>
        <v>#VALUE!</v>
      </c>
      <c r="AE184" s="943">
        <f t="shared" si="74"/>
        <v>0</v>
      </c>
      <c r="AF184" s="916">
        <f>IF(H184&gt;8,tab!$D$63,tab!$D$65)</f>
        <v>0.5</v>
      </c>
      <c r="AG184" s="925">
        <f t="shared" si="75"/>
        <v>0</v>
      </c>
      <c r="AH184" s="940">
        <f t="shared" si="76"/>
        <v>0</v>
      </c>
      <c r="AM184" s="315"/>
    </row>
    <row r="185" spans="3:39" x14ac:dyDescent="0.2">
      <c r="C185" s="69"/>
      <c r="D185" s="75" t="str">
        <f>IF(obp!D153=0,"",obp!D153)</f>
        <v/>
      </c>
      <c r="E185" s="75" t="str">
        <f>IF(obp!E153=0,"-",obp!E153)</f>
        <v/>
      </c>
      <c r="F185" s="88" t="str">
        <f>IF(obp!F153="","",obp!F153+1)</f>
        <v/>
      </c>
      <c r="G185" s="290" t="str">
        <f>IF(obp!G153="","",obp!G153)</f>
        <v/>
      </c>
      <c r="H185" s="88" t="str">
        <f>IF(obp!H153=0,"",obp!H153)</f>
        <v/>
      </c>
      <c r="I185" s="99" t="str">
        <f>IF(J185="","",(IF(obp!I153+1&gt;LOOKUP(H185,schaal2019,regels2019),obp!I153,obp!I153+1)))</f>
        <v/>
      </c>
      <c r="J185" s="291" t="str">
        <f>IF(obp!J153="","",obp!J153)</f>
        <v/>
      </c>
      <c r="K185" s="304"/>
      <c r="L185" s="868">
        <f>IF(obp!L153="","",obp!L153)</f>
        <v>0</v>
      </c>
      <c r="M185" s="868">
        <f>IF(obp!M153="","",obp!M153)</f>
        <v>0</v>
      </c>
      <c r="N185" s="867" t="str">
        <f t="shared" si="65"/>
        <v/>
      </c>
      <c r="O185" s="867"/>
      <c r="P185" s="953" t="str">
        <f t="shared" si="66"/>
        <v/>
      </c>
      <c r="Q185" s="70"/>
      <c r="R185" s="739" t="str">
        <f t="shared" si="77"/>
        <v/>
      </c>
      <c r="S185" s="739" t="str">
        <f t="shared" si="67"/>
        <v/>
      </c>
      <c r="T185" s="740" t="str">
        <f t="shared" si="68"/>
        <v/>
      </c>
      <c r="U185" s="275"/>
      <c r="V185" s="288"/>
      <c r="W185" s="288"/>
      <c r="X185" s="288"/>
      <c r="Y185" s="908">
        <f t="shared" si="69"/>
        <v>0</v>
      </c>
      <c r="Z185" s="986">
        <f>tab!$D$62</f>
        <v>0.6</v>
      </c>
      <c r="AA185" s="944">
        <f t="shared" si="70"/>
        <v>0</v>
      </c>
      <c r="AB185" s="944">
        <f t="shared" si="71"/>
        <v>0</v>
      </c>
      <c r="AC185" s="944">
        <f t="shared" si="72"/>
        <v>0</v>
      </c>
      <c r="AD185" s="943" t="e">
        <f t="shared" si="73"/>
        <v>#VALUE!</v>
      </c>
      <c r="AE185" s="943">
        <f t="shared" si="74"/>
        <v>0</v>
      </c>
      <c r="AF185" s="916">
        <f>IF(H185&gt;8,tab!$D$63,tab!$D$65)</f>
        <v>0.5</v>
      </c>
      <c r="AG185" s="925">
        <f t="shared" si="75"/>
        <v>0</v>
      </c>
      <c r="AH185" s="940">
        <f t="shared" si="76"/>
        <v>0</v>
      </c>
      <c r="AM185" s="315"/>
    </row>
    <row r="186" spans="3:39" x14ac:dyDescent="0.2">
      <c r="C186" s="69"/>
      <c r="D186" s="75" t="str">
        <f>IF(obp!D154=0,"",obp!D154)</f>
        <v/>
      </c>
      <c r="E186" s="75" t="str">
        <f>IF(obp!E154=0,"-",obp!E154)</f>
        <v/>
      </c>
      <c r="F186" s="88" t="str">
        <f>IF(obp!F154="","",obp!F154+1)</f>
        <v/>
      </c>
      <c r="G186" s="290" t="str">
        <f>IF(obp!G154="","",obp!G154)</f>
        <v/>
      </c>
      <c r="H186" s="88" t="str">
        <f>IF(obp!H154=0,"",obp!H154)</f>
        <v/>
      </c>
      <c r="I186" s="99" t="str">
        <f>IF(J186="","",(IF(obp!I154+1&gt;LOOKUP(H186,schaal2019,regels2019),obp!I154,obp!I154+1)))</f>
        <v/>
      </c>
      <c r="J186" s="291" t="str">
        <f>IF(obp!J154="","",obp!J154)</f>
        <v/>
      </c>
      <c r="K186" s="304"/>
      <c r="L186" s="868">
        <f>IF(obp!L154="","",obp!L154)</f>
        <v>0</v>
      </c>
      <c r="M186" s="868">
        <f>IF(obp!M154="","",obp!M154)</f>
        <v>0</v>
      </c>
      <c r="N186" s="867" t="str">
        <f t="shared" si="65"/>
        <v/>
      </c>
      <c r="O186" s="867"/>
      <c r="P186" s="953" t="str">
        <f t="shared" si="66"/>
        <v/>
      </c>
      <c r="Q186" s="70"/>
      <c r="R186" s="739" t="str">
        <f t="shared" si="77"/>
        <v/>
      </c>
      <c r="S186" s="739" t="str">
        <f t="shared" si="67"/>
        <v/>
      </c>
      <c r="T186" s="740" t="str">
        <f t="shared" si="68"/>
        <v/>
      </c>
      <c r="U186" s="275"/>
      <c r="V186" s="288"/>
      <c r="W186" s="288"/>
      <c r="X186" s="288"/>
      <c r="Y186" s="908">
        <f t="shared" si="69"/>
        <v>0</v>
      </c>
      <c r="Z186" s="986">
        <f>tab!$D$62</f>
        <v>0.6</v>
      </c>
      <c r="AA186" s="944">
        <f t="shared" si="70"/>
        <v>0</v>
      </c>
      <c r="AB186" s="944">
        <f t="shared" si="71"/>
        <v>0</v>
      </c>
      <c r="AC186" s="944">
        <f t="shared" si="72"/>
        <v>0</v>
      </c>
      <c r="AD186" s="943" t="e">
        <f t="shared" si="73"/>
        <v>#VALUE!</v>
      </c>
      <c r="AE186" s="943">
        <f t="shared" si="74"/>
        <v>0</v>
      </c>
      <c r="AF186" s="916">
        <f>IF(H186&gt;8,tab!$D$63,tab!$D$65)</f>
        <v>0.5</v>
      </c>
      <c r="AG186" s="925">
        <f t="shared" si="75"/>
        <v>0</v>
      </c>
      <c r="AH186" s="940">
        <f t="shared" si="76"/>
        <v>0</v>
      </c>
      <c r="AM186" s="315"/>
    </row>
    <row r="187" spans="3:39" x14ac:dyDescent="0.2">
      <c r="C187" s="69"/>
      <c r="D187" s="75" t="str">
        <f>IF(obp!D155=0,"",obp!D155)</f>
        <v/>
      </c>
      <c r="E187" s="75" t="str">
        <f>IF(obp!E155=0,"-",obp!E155)</f>
        <v/>
      </c>
      <c r="F187" s="88" t="str">
        <f>IF(obp!F155="","",obp!F155+1)</f>
        <v/>
      </c>
      <c r="G187" s="290" t="str">
        <f>IF(obp!G155="","",obp!G155)</f>
        <v/>
      </c>
      <c r="H187" s="88" t="str">
        <f>IF(obp!H155=0,"",obp!H155)</f>
        <v/>
      </c>
      <c r="I187" s="99" t="str">
        <f>IF(J187="","",(IF(obp!I155+1&gt;LOOKUP(H187,schaal2019,regels2019),obp!I155,obp!I155+1)))</f>
        <v/>
      </c>
      <c r="J187" s="291" t="str">
        <f>IF(obp!J155="","",obp!J155)</f>
        <v/>
      </c>
      <c r="K187" s="304"/>
      <c r="L187" s="868">
        <f>IF(obp!L155="","",obp!L155)</f>
        <v>0</v>
      </c>
      <c r="M187" s="868">
        <f>IF(obp!M155="","",obp!M155)</f>
        <v>0</v>
      </c>
      <c r="N187" s="867" t="str">
        <f t="shared" si="65"/>
        <v/>
      </c>
      <c r="O187" s="867"/>
      <c r="P187" s="953" t="str">
        <f t="shared" si="66"/>
        <v/>
      </c>
      <c r="Q187" s="70"/>
      <c r="R187" s="739" t="str">
        <f t="shared" si="77"/>
        <v/>
      </c>
      <c r="S187" s="739" t="str">
        <f t="shared" si="67"/>
        <v/>
      </c>
      <c r="T187" s="740" t="str">
        <f t="shared" si="68"/>
        <v/>
      </c>
      <c r="U187" s="275"/>
      <c r="V187" s="288"/>
      <c r="W187" s="288"/>
      <c r="X187" s="288"/>
      <c r="Y187" s="908">
        <f t="shared" si="69"/>
        <v>0</v>
      </c>
      <c r="Z187" s="986">
        <f>tab!$D$62</f>
        <v>0.6</v>
      </c>
      <c r="AA187" s="944">
        <f t="shared" si="70"/>
        <v>0</v>
      </c>
      <c r="AB187" s="944">
        <f t="shared" si="71"/>
        <v>0</v>
      </c>
      <c r="AC187" s="944">
        <f t="shared" si="72"/>
        <v>0</v>
      </c>
      <c r="AD187" s="943" t="e">
        <f t="shared" si="73"/>
        <v>#VALUE!</v>
      </c>
      <c r="AE187" s="943">
        <f t="shared" si="74"/>
        <v>0</v>
      </c>
      <c r="AF187" s="916">
        <f>IF(H187&gt;8,tab!$D$63,tab!$D$65)</f>
        <v>0.5</v>
      </c>
      <c r="AG187" s="925">
        <f t="shared" si="75"/>
        <v>0</v>
      </c>
      <c r="AH187" s="940">
        <f t="shared" si="76"/>
        <v>0</v>
      </c>
      <c r="AM187" s="315"/>
    </row>
    <row r="188" spans="3:39" x14ac:dyDescent="0.2">
      <c r="C188" s="69"/>
      <c r="D188" s="75" t="str">
        <f>IF(obp!D156=0,"",obp!D156)</f>
        <v/>
      </c>
      <c r="E188" s="75" t="str">
        <f>IF(obp!E156=0,"-",obp!E156)</f>
        <v/>
      </c>
      <c r="F188" s="88" t="str">
        <f>IF(obp!F156="","",obp!F156+1)</f>
        <v/>
      </c>
      <c r="G188" s="290" t="str">
        <f>IF(obp!G156="","",obp!G156)</f>
        <v/>
      </c>
      <c r="H188" s="88" t="str">
        <f>IF(obp!H156=0,"",obp!H156)</f>
        <v/>
      </c>
      <c r="I188" s="99" t="str">
        <f>IF(J188="","",(IF(obp!I156+1&gt;LOOKUP(H188,schaal2019,regels2019),obp!I156,obp!I156+1)))</f>
        <v/>
      </c>
      <c r="J188" s="291" t="str">
        <f>IF(obp!J156="","",obp!J156)</f>
        <v/>
      </c>
      <c r="K188" s="304"/>
      <c r="L188" s="868">
        <f>IF(obp!L156="","",obp!L156)</f>
        <v>0</v>
      </c>
      <c r="M188" s="868">
        <f>IF(obp!M156="","",obp!M156)</f>
        <v>0</v>
      </c>
      <c r="N188" s="867" t="str">
        <f t="shared" si="65"/>
        <v/>
      </c>
      <c r="O188" s="867"/>
      <c r="P188" s="953" t="str">
        <f t="shared" si="66"/>
        <v/>
      </c>
      <c r="Q188" s="70"/>
      <c r="R188" s="739" t="str">
        <f t="shared" si="77"/>
        <v/>
      </c>
      <c r="S188" s="739" t="str">
        <f t="shared" si="67"/>
        <v/>
      </c>
      <c r="T188" s="740" t="str">
        <f t="shared" si="68"/>
        <v/>
      </c>
      <c r="U188" s="275"/>
      <c r="V188" s="288"/>
      <c r="W188" s="288"/>
      <c r="X188" s="288"/>
      <c r="Y188" s="908">
        <f t="shared" si="69"/>
        <v>0</v>
      </c>
      <c r="Z188" s="986">
        <f>tab!$D$62</f>
        <v>0.6</v>
      </c>
      <c r="AA188" s="944">
        <f t="shared" si="70"/>
        <v>0</v>
      </c>
      <c r="AB188" s="944">
        <f t="shared" si="71"/>
        <v>0</v>
      </c>
      <c r="AC188" s="944">
        <f t="shared" si="72"/>
        <v>0</v>
      </c>
      <c r="AD188" s="943" t="e">
        <f t="shared" si="73"/>
        <v>#VALUE!</v>
      </c>
      <c r="AE188" s="943">
        <f t="shared" si="74"/>
        <v>0</v>
      </c>
      <c r="AF188" s="916">
        <f>IF(H188&gt;8,tab!$D$63,tab!$D$65)</f>
        <v>0.5</v>
      </c>
      <c r="AG188" s="925">
        <f t="shared" si="75"/>
        <v>0</v>
      </c>
      <c r="AH188" s="940">
        <f t="shared" si="76"/>
        <v>0</v>
      </c>
      <c r="AM188" s="315"/>
    </row>
    <row r="189" spans="3:39" x14ac:dyDescent="0.2">
      <c r="C189" s="69"/>
      <c r="D189" s="75" t="str">
        <f>IF(obp!D157=0,"",obp!D157)</f>
        <v/>
      </c>
      <c r="E189" s="75" t="str">
        <f>IF(obp!E157=0,"-",obp!E157)</f>
        <v/>
      </c>
      <c r="F189" s="88" t="str">
        <f>IF(obp!F157="","",obp!F157+1)</f>
        <v/>
      </c>
      <c r="G189" s="290" t="str">
        <f>IF(obp!G157="","",obp!G157)</f>
        <v/>
      </c>
      <c r="H189" s="88" t="str">
        <f>IF(obp!H157=0,"",obp!H157)</f>
        <v/>
      </c>
      <c r="I189" s="99" t="str">
        <f>IF(J189="","",(IF(obp!I157+1&gt;LOOKUP(H189,schaal2019,regels2019),obp!I157,obp!I157+1)))</f>
        <v/>
      </c>
      <c r="J189" s="291" t="str">
        <f>IF(obp!J157="","",obp!J157)</f>
        <v/>
      </c>
      <c r="K189" s="304"/>
      <c r="L189" s="868">
        <f>IF(obp!L157="","",obp!L157)</f>
        <v>0</v>
      </c>
      <c r="M189" s="868">
        <f>IF(obp!M157="","",obp!M157)</f>
        <v>0</v>
      </c>
      <c r="N189" s="867" t="str">
        <f t="shared" si="65"/>
        <v/>
      </c>
      <c r="O189" s="867"/>
      <c r="P189" s="953" t="str">
        <f t="shared" si="66"/>
        <v/>
      </c>
      <c r="Q189" s="70"/>
      <c r="R189" s="739" t="str">
        <f t="shared" si="77"/>
        <v/>
      </c>
      <c r="S189" s="739" t="str">
        <f t="shared" si="67"/>
        <v/>
      </c>
      <c r="T189" s="740" t="str">
        <f t="shared" si="68"/>
        <v/>
      </c>
      <c r="U189" s="275"/>
      <c r="V189" s="288"/>
      <c r="W189" s="288"/>
      <c r="X189" s="288"/>
      <c r="Y189" s="908">
        <f t="shared" si="69"/>
        <v>0</v>
      </c>
      <c r="Z189" s="986">
        <f>tab!$D$62</f>
        <v>0.6</v>
      </c>
      <c r="AA189" s="944">
        <f t="shared" si="70"/>
        <v>0</v>
      </c>
      <c r="AB189" s="944">
        <f t="shared" si="71"/>
        <v>0</v>
      </c>
      <c r="AC189" s="944">
        <f t="shared" si="72"/>
        <v>0</v>
      </c>
      <c r="AD189" s="943" t="e">
        <f t="shared" si="73"/>
        <v>#VALUE!</v>
      </c>
      <c r="AE189" s="943">
        <f t="shared" si="74"/>
        <v>0</v>
      </c>
      <c r="AF189" s="916">
        <f>IF(H189&gt;8,tab!$D$63,tab!$D$65)</f>
        <v>0.5</v>
      </c>
      <c r="AG189" s="925">
        <f t="shared" si="75"/>
        <v>0</v>
      </c>
      <c r="AH189" s="940">
        <f t="shared" si="76"/>
        <v>0</v>
      </c>
      <c r="AM189" s="315"/>
    </row>
    <row r="190" spans="3:39" x14ac:dyDescent="0.2">
      <c r="C190" s="69"/>
      <c r="D190" s="75" t="str">
        <f>IF(obp!D158=0,"",obp!D158)</f>
        <v/>
      </c>
      <c r="E190" s="75" t="str">
        <f>IF(obp!E158=0,"-",obp!E158)</f>
        <v/>
      </c>
      <c r="F190" s="88" t="str">
        <f>IF(obp!F158="","",obp!F158+1)</f>
        <v/>
      </c>
      <c r="G190" s="290" t="str">
        <f>IF(obp!G158="","",obp!G158)</f>
        <v/>
      </c>
      <c r="H190" s="88" t="str">
        <f>IF(obp!H158=0,"",obp!H158)</f>
        <v/>
      </c>
      <c r="I190" s="99" t="str">
        <f>IF(J190="","",(IF(obp!I158+1&gt;LOOKUP(H190,schaal2019,regels2019),obp!I158,obp!I158+1)))</f>
        <v/>
      </c>
      <c r="J190" s="291" t="str">
        <f>IF(obp!J158="","",obp!J158)</f>
        <v/>
      </c>
      <c r="K190" s="304"/>
      <c r="L190" s="868">
        <f>IF(obp!L158="","",obp!L158)</f>
        <v>0</v>
      </c>
      <c r="M190" s="868">
        <f>IF(obp!M158="","",obp!M158)</f>
        <v>0</v>
      </c>
      <c r="N190" s="867" t="str">
        <f t="shared" si="65"/>
        <v/>
      </c>
      <c r="O190" s="867"/>
      <c r="P190" s="953" t="str">
        <f t="shared" si="66"/>
        <v/>
      </c>
      <c r="Q190" s="70"/>
      <c r="R190" s="739" t="str">
        <f t="shared" si="77"/>
        <v/>
      </c>
      <c r="S190" s="739" t="str">
        <f t="shared" si="67"/>
        <v/>
      </c>
      <c r="T190" s="740" t="str">
        <f t="shared" si="68"/>
        <v/>
      </c>
      <c r="U190" s="275"/>
      <c r="V190" s="288"/>
      <c r="W190" s="288"/>
      <c r="X190" s="288"/>
      <c r="Y190" s="908">
        <f t="shared" si="69"/>
        <v>0</v>
      </c>
      <c r="Z190" s="986">
        <f>tab!$D$62</f>
        <v>0.6</v>
      </c>
      <c r="AA190" s="944">
        <f t="shared" si="70"/>
        <v>0</v>
      </c>
      <c r="AB190" s="944">
        <f t="shared" si="71"/>
        <v>0</v>
      </c>
      <c r="AC190" s="944">
        <f t="shared" si="72"/>
        <v>0</v>
      </c>
      <c r="AD190" s="943" t="e">
        <f t="shared" si="73"/>
        <v>#VALUE!</v>
      </c>
      <c r="AE190" s="943">
        <f t="shared" si="74"/>
        <v>0</v>
      </c>
      <c r="AF190" s="916">
        <f>IF(H190&gt;8,tab!$D$63,tab!$D$65)</f>
        <v>0.5</v>
      </c>
      <c r="AG190" s="925">
        <f t="shared" si="75"/>
        <v>0</v>
      </c>
      <c r="AH190" s="940">
        <f t="shared" si="76"/>
        <v>0</v>
      </c>
      <c r="AM190" s="315"/>
    </row>
    <row r="191" spans="3:39" x14ac:dyDescent="0.2">
      <c r="C191" s="69"/>
      <c r="D191" s="75" t="str">
        <f>IF(obp!D159=0,"",obp!D159)</f>
        <v/>
      </c>
      <c r="E191" s="75" t="str">
        <f>IF(obp!E159=0,"-",obp!E159)</f>
        <v/>
      </c>
      <c r="F191" s="88" t="str">
        <f>IF(obp!F159="","",obp!F159+1)</f>
        <v/>
      </c>
      <c r="G191" s="290" t="str">
        <f>IF(obp!G159="","",obp!G159)</f>
        <v/>
      </c>
      <c r="H191" s="88" t="str">
        <f>IF(obp!H159=0,"",obp!H159)</f>
        <v/>
      </c>
      <c r="I191" s="99" t="str">
        <f>IF(J191="","",(IF(obp!I159+1&gt;LOOKUP(H191,schaal2019,regels2019),obp!I159,obp!I159+1)))</f>
        <v/>
      </c>
      <c r="J191" s="291" t="str">
        <f>IF(obp!J159="","",obp!J159)</f>
        <v/>
      </c>
      <c r="K191" s="304"/>
      <c r="L191" s="868">
        <f>IF(obp!L159="","",obp!L159)</f>
        <v>0</v>
      </c>
      <c r="M191" s="868">
        <f>IF(obp!M159="","",obp!M159)</f>
        <v>0</v>
      </c>
      <c r="N191" s="867" t="str">
        <f t="shared" si="65"/>
        <v/>
      </c>
      <c r="O191" s="867"/>
      <c r="P191" s="953" t="str">
        <f t="shared" si="66"/>
        <v/>
      </c>
      <c r="Q191" s="70"/>
      <c r="R191" s="739" t="str">
        <f t="shared" si="77"/>
        <v/>
      </c>
      <c r="S191" s="739" t="str">
        <f t="shared" si="67"/>
        <v/>
      </c>
      <c r="T191" s="740" t="str">
        <f t="shared" si="68"/>
        <v/>
      </c>
      <c r="U191" s="275"/>
      <c r="V191" s="288"/>
      <c r="W191" s="288"/>
      <c r="X191" s="288"/>
      <c r="Y191" s="908">
        <f t="shared" si="69"/>
        <v>0</v>
      </c>
      <c r="Z191" s="986">
        <f>tab!$D$62</f>
        <v>0.6</v>
      </c>
      <c r="AA191" s="944">
        <f t="shared" si="70"/>
        <v>0</v>
      </c>
      <c r="AB191" s="944">
        <f t="shared" si="71"/>
        <v>0</v>
      </c>
      <c r="AC191" s="944">
        <f t="shared" si="72"/>
        <v>0</v>
      </c>
      <c r="AD191" s="943" t="e">
        <f t="shared" si="73"/>
        <v>#VALUE!</v>
      </c>
      <c r="AE191" s="943">
        <f t="shared" si="74"/>
        <v>0</v>
      </c>
      <c r="AF191" s="916">
        <f>IF(H191&gt;8,tab!$D$63,tab!$D$65)</f>
        <v>0.5</v>
      </c>
      <c r="AG191" s="925">
        <f t="shared" si="75"/>
        <v>0</v>
      </c>
      <c r="AH191" s="940">
        <f t="shared" si="76"/>
        <v>0</v>
      </c>
      <c r="AM191" s="315"/>
    </row>
    <row r="192" spans="3:39" x14ac:dyDescent="0.2">
      <c r="C192" s="69"/>
      <c r="D192" s="75" t="str">
        <f>IF(obp!D160=0,"",obp!D160)</f>
        <v/>
      </c>
      <c r="E192" s="75" t="str">
        <f>IF(obp!E160=0,"-",obp!E160)</f>
        <v/>
      </c>
      <c r="F192" s="88" t="str">
        <f>IF(obp!F160="","",obp!F160+1)</f>
        <v/>
      </c>
      <c r="G192" s="290" t="str">
        <f>IF(obp!G160="","",obp!G160)</f>
        <v/>
      </c>
      <c r="H192" s="88" t="str">
        <f>IF(obp!H160=0,"",obp!H160)</f>
        <v/>
      </c>
      <c r="I192" s="99" t="str">
        <f>IF(J192="","",(IF(obp!I160+1&gt;LOOKUP(H192,schaal2019,regels2019),obp!I160,obp!I160+1)))</f>
        <v/>
      </c>
      <c r="J192" s="291" t="str">
        <f>IF(obp!J160="","",obp!J160)</f>
        <v/>
      </c>
      <c r="K192" s="304"/>
      <c r="L192" s="868">
        <f>IF(obp!L160="","",obp!L160)</f>
        <v>0</v>
      </c>
      <c r="M192" s="868">
        <f>IF(obp!M160="","",obp!M160)</f>
        <v>0</v>
      </c>
      <c r="N192" s="867" t="str">
        <f t="shared" si="65"/>
        <v/>
      </c>
      <c r="O192" s="867"/>
      <c r="P192" s="953" t="str">
        <f t="shared" si="66"/>
        <v/>
      </c>
      <c r="Q192" s="70"/>
      <c r="R192" s="739" t="str">
        <f t="shared" si="77"/>
        <v/>
      </c>
      <c r="S192" s="739" t="str">
        <f t="shared" si="67"/>
        <v/>
      </c>
      <c r="T192" s="740" t="str">
        <f t="shared" si="68"/>
        <v/>
      </c>
      <c r="U192" s="275"/>
      <c r="V192" s="288"/>
      <c r="W192" s="288"/>
      <c r="X192" s="288"/>
      <c r="Y192" s="908">
        <f t="shared" si="69"/>
        <v>0</v>
      </c>
      <c r="Z192" s="986">
        <f>tab!$D$62</f>
        <v>0.6</v>
      </c>
      <c r="AA192" s="944">
        <f t="shared" si="70"/>
        <v>0</v>
      </c>
      <c r="AB192" s="944">
        <f t="shared" si="71"/>
        <v>0</v>
      </c>
      <c r="AC192" s="944">
        <f t="shared" si="72"/>
        <v>0</v>
      </c>
      <c r="AD192" s="943" t="e">
        <f t="shared" si="73"/>
        <v>#VALUE!</v>
      </c>
      <c r="AE192" s="943">
        <f t="shared" si="74"/>
        <v>0</v>
      </c>
      <c r="AF192" s="916">
        <f>IF(H192&gt;8,tab!$D$63,tab!$D$65)</f>
        <v>0.5</v>
      </c>
      <c r="AG192" s="925">
        <f t="shared" si="75"/>
        <v>0</v>
      </c>
      <c r="AH192" s="940">
        <f t="shared" si="76"/>
        <v>0</v>
      </c>
      <c r="AM192" s="315"/>
    </row>
    <row r="193" spans="3:39" x14ac:dyDescent="0.2">
      <c r="C193" s="69"/>
      <c r="D193" s="75" t="str">
        <f>IF(obp!D161=0,"",obp!D161)</f>
        <v/>
      </c>
      <c r="E193" s="75" t="str">
        <f>IF(obp!E161=0,"-",obp!E161)</f>
        <v/>
      </c>
      <c r="F193" s="88" t="str">
        <f>IF(obp!F161="","",obp!F161+1)</f>
        <v/>
      </c>
      <c r="G193" s="290" t="str">
        <f>IF(obp!G161="","",obp!G161)</f>
        <v/>
      </c>
      <c r="H193" s="88" t="str">
        <f>IF(obp!H161=0,"",obp!H161)</f>
        <v/>
      </c>
      <c r="I193" s="99" t="str">
        <f>IF(J193="","",(IF(obp!I161+1&gt;LOOKUP(H193,schaal2019,regels2019),obp!I161,obp!I161+1)))</f>
        <v/>
      </c>
      <c r="J193" s="291" t="str">
        <f>IF(obp!J161="","",obp!J161)</f>
        <v/>
      </c>
      <c r="K193" s="304"/>
      <c r="L193" s="868">
        <f>IF(obp!L161="","",obp!L161)</f>
        <v>0</v>
      </c>
      <c r="M193" s="868">
        <f>IF(obp!M161="","",obp!M161)</f>
        <v>0</v>
      </c>
      <c r="N193" s="867" t="str">
        <f t="shared" si="65"/>
        <v/>
      </c>
      <c r="O193" s="867"/>
      <c r="P193" s="953" t="str">
        <f t="shared" si="66"/>
        <v/>
      </c>
      <c r="Q193" s="70"/>
      <c r="R193" s="739" t="str">
        <f t="shared" si="77"/>
        <v/>
      </c>
      <c r="S193" s="739" t="str">
        <f t="shared" si="67"/>
        <v/>
      </c>
      <c r="T193" s="740" t="str">
        <f t="shared" si="68"/>
        <v/>
      </c>
      <c r="U193" s="275"/>
      <c r="V193" s="288"/>
      <c r="W193" s="288"/>
      <c r="X193" s="288"/>
      <c r="Y193" s="908">
        <f t="shared" si="69"/>
        <v>0</v>
      </c>
      <c r="Z193" s="986">
        <f>tab!$D$62</f>
        <v>0.6</v>
      </c>
      <c r="AA193" s="944">
        <f t="shared" si="70"/>
        <v>0</v>
      </c>
      <c r="AB193" s="944">
        <f t="shared" si="71"/>
        <v>0</v>
      </c>
      <c r="AC193" s="944">
        <f t="shared" si="72"/>
        <v>0</v>
      </c>
      <c r="AD193" s="943" t="e">
        <f t="shared" si="73"/>
        <v>#VALUE!</v>
      </c>
      <c r="AE193" s="943">
        <f t="shared" si="74"/>
        <v>0</v>
      </c>
      <c r="AF193" s="916">
        <f>IF(H193&gt;8,tab!$D$63,tab!$D$65)</f>
        <v>0.5</v>
      </c>
      <c r="AG193" s="925">
        <f t="shared" si="75"/>
        <v>0</v>
      </c>
      <c r="AH193" s="940">
        <f t="shared" si="76"/>
        <v>0</v>
      </c>
      <c r="AM193" s="315"/>
    </row>
    <row r="194" spans="3:39" x14ac:dyDescent="0.2">
      <c r="C194" s="69"/>
      <c r="D194" s="75" t="str">
        <f>IF(obp!D162=0,"",obp!D162)</f>
        <v/>
      </c>
      <c r="E194" s="75" t="str">
        <f>IF(obp!E162=0,"-",obp!E162)</f>
        <v/>
      </c>
      <c r="F194" s="88" t="str">
        <f>IF(obp!F162="","",obp!F162+1)</f>
        <v/>
      </c>
      <c r="G194" s="290" t="str">
        <f>IF(obp!G162="","",obp!G162)</f>
        <v/>
      </c>
      <c r="H194" s="88" t="str">
        <f>IF(obp!H162=0,"",obp!H162)</f>
        <v/>
      </c>
      <c r="I194" s="99" t="str">
        <f>IF(J194="","",(IF(obp!I162+1&gt;LOOKUP(H194,schaal2019,regels2019),obp!I162,obp!I162+1)))</f>
        <v/>
      </c>
      <c r="J194" s="291" t="str">
        <f>IF(obp!J162="","",obp!J162)</f>
        <v/>
      </c>
      <c r="K194" s="304"/>
      <c r="L194" s="868">
        <f>IF(obp!L162="","",obp!L162)</f>
        <v>0</v>
      </c>
      <c r="M194" s="868">
        <f>IF(obp!M162="","",obp!M162)</f>
        <v>0</v>
      </c>
      <c r="N194" s="867" t="str">
        <f t="shared" si="65"/>
        <v/>
      </c>
      <c r="O194" s="867"/>
      <c r="P194" s="953" t="str">
        <f t="shared" si="66"/>
        <v/>
      </c>
      <c r="Q194" s="70"/>
      <c r="R194" s="739" t="str">
        <f t="shared" si="77"/>
        <v/>
      </c>
      <c r="S194" s="739" t="str">
        <f t="shared" si="67"/>
        <v/>
      </c>
      <c r="T194" s="740" t="str">
        <f t="shared" si="68"/>
        <v/>
      </c>
      <c r="U194" s="275"/>
      <c r="V194" s="288"/>
      <c r="W194" s="288"/>
      <c r="X194" s="288"/>
      <c r="Y194" s="908">
        <f t="shared" si="69"/>
        <v>0</v>
      </c>
      <c r="Z194" s="986">
        <f>tab!$D$62</f>
        <v>0.6</v>
      </c>
      <c r="AA194" s="944">
        <f t="shared" si="70"/>
        <v>0</v>
      </c>
      <c r="AB194" s="944">
        <f t="shared" si="71"/>
        <v>0</v>
      </c>
      <c r="AC194" s="944">
        <f t="shared" si="72"/>
        <v>0</v>
      </c>
      <c r="AD194" s="943" t="e">
        <f t="shared" si="73"/>
        <v>#VALUE!</v>
      </c>
      <c r="AE194" s="943">
        <f t="shared" si="74"/>
        <v>0</v>
      </c>
      <c r="AF194" s="916">
        <f>IF(H194&gt;8,tab!$D$63,tab!$D$65)</f>
        <v>0.5</v>
      </c>
      <c r="AG194" s="925">
        <f t="shared" si="75"/>
        <v>0</v>
      </c>
      <c r="AH194" s="940">
        <f t="shared" si="76"/>
        <v>0</v>
      </c>
      <c r="AM194" s="315"/>
    </row>
    <row r="195" spans="3:39" x14ac:dyDescent="0.2">
      <c r="C195" s="69"/>
      <c r="D195" s="75" t="str">
        <f>IF(obp!D163=0,"",obp!D163)</f>
        <v/>
      </c>
      <c r="E195" s="75" t="str">
        <f>IF(obp!E163=0,"-",obp!E163)</f>
        <v/>
      </c>
      <c r="F195" s="88" t="str">
        <f>IF(obp!F163="","",obp!F163+1)</f>
        <v/>
      </c>
      <c r="G195" s="290" t="str">
        <f>IF(obp!G163="","",obp!G163)</f>
        <v/>
      </c>
      <c r="H195" s="88" t="str">
        <f>IF(obp!H163=0,"",obp!H163)</f>
        <v/>
      </c>
      <c r="I195" s="99" t="str">
        <f>IF(J195="","",(IF(obp!I163+1&gt;LOOKUP(H195,schaal2019,regels2019),obp!I163,obp!I163+1)))</f>
        <v/>
      </c>
      <c r="J195" s="291" t="str">
        <f>IF(obp!J163="","",obp!J163)</f>
        <v/>
      </c>
      <c r="K195" s="304"/>
      <c r="L195" s="868">
        <f>IF(obp!L163="","",obp!L163)</f>
        <v>0</v>
      </c>
      <c r="M195" s="868">
        <f>IF(obp!M163="","",obp!M163)</f>
        <v>0</v>
      </c>
      <c r="N195" s="867" t="str">
        <f t="shared" si="65"/>
        <v/>
      </c>
      <c r="O195" s="867"/>
      <c r="P195" s="953" t="str">
        <f t="shared" si="66"/>
        <v/>
      </c>
      <c r="Q195" s="70"/>
      <c r="R195" s="739" t="str">
        <f t="shared" si="77"/>
        <v/>
      </c>
      <c r="S195" s="739" t="str">
        <f t="shared" si="67"/>
        <v/>
      </c>
      <c r="T195" s="740" t="str">
        <f t="shared" si="68"/>
        <v/>
      </c>
      <c r="U195" s="275"/>
      <c r="V195" s="288"/>
      <c r="W195" s="288"/>
      <c r="X195" s="288"/>
      <c r="Y195" s="908">
        <f t="shared" si="69"/>
        <v>0</v>
      </c>
      <c r="Z195" s="986">
        <f>tab!$D$62</f>
        <v>0.6</v>
      </c>
      <c r="AA195" s="944">
        <f t="shared" si="70"/>
        <v>0</v>
      </c>
      <c r="AB195" s="944">
        <f t="shared" si="71"/>
        <v>0</v>
      </c>
      <c r="AC195" s="944">
        <f t="shared" si="72"/>
        <v>0</v>
      </c>
      <c r="AD195" s="943" t="e">
        <f t="shared" si="73"/>
        <v>#VALUE!</v>
      </c>
      <c r="AE195" s="943">
        <f t="shared" si="74"/>
        <v>0</v>
      </c>
      <c r="AF195" s="916">
        <f>IF(H195&gt;8,tab!$D$63,tab!$D$65)</f>
        <v>0.5</v>
      </c>
      <c r="AG195" s="925">
        <f t="shared" si="75"/>
        <v>0</v>
      </c>
      <c r="AH195" s="940">
        <f t="shared" si="76"/>
        <v>0</v>
      </c>
      <c r="AM195" s="315"/>
    </row>
    <row r="196" spans="3:39" x14ac:dyDescent="0.2">
      <c r="C196" s="69"/>
      <c r="D196" s="75" t="str">
        <f>IF(obp!D164=0,"",obp!D164)</f>
        <v/>
      </c>
      <c r="E196" s="75" t="str">
        <f>IF(obp!E164=0,"-",obp!E164)</f>
        <v/>
      </c>
      <c r="F196" s="88" t="str">
        <f>IF(obp!F164="","",obp!F164+1)</f>
        <v/>
      </c>
      <c r="G196" s="290" t="str">
        <f>IF(obp!G164="","",obp!G164)</f>
        <v/>
      </c>
      <c r="H196" s="88" t="str">
        <f>IF(obp!H164=0,"",obp!H164)</f>
        <v/>
      </c>
      <c r="I196" s="99" t="str">
        <f>IF(J196="","",(IF(obp!I164+1&gt;LOOKUP(H196,schaal2019,regels2019),obp!I164,obp!I164+1)))</f>
        <v/>
      </c>
      <c r="J196" s="291" t="str">
        <f>IF(obp!J164="","",obp!J164)</f>
        <v/>
      </c>
      <c r="K196" s="304"/>
      <c r="L196" s="868">
        <f>IF(obp!L164="","",obp!L164)</f>
        <v>0</v>
      </c>
      <c r="M196" s="868">
        <f>IF(obp!M164="","",obp!M164)</f>
        <v>0</v>
      </c>
      <c r="N196" s="867" t="str">
        <f t="shared" si="65"/>
        <v/>
      </c>
      <c r="O196" s="867"/>
      <c r="P196" s="953" t="str">
        <f t="shared" si="66"/>
        <v/>
      </c>
      <c r="Q196" s="70"/>
      <c r="R196" s="739" t="str">
        <f t="shared" si="77"/>
        <v/>
      </c>
      <c r="S196" s="739" t="str">
        <f t="shared" si="67"/>
        <v/>
      </c>
      <c r="T196" s="740" t="str">
        <f t="shared" si="68"/>
        <v/>
      </c>
      <c r="U196" s="275"/>
      <c r="V196" s="288"/>
      <c r="W196" s="288"/>
      <c r="X196" s="288"/>
      <c r="Y196" s="908">
        <f t="shared" si="69"/>
        <v>0</v>
      </c>
      <c r="Z196" s="986">
        <f>tab!$D$62</f>
        <v>0.6</v>
      </c>
      <c r="AA196" s="944">
        <f t="shared" si="70"/>
        <v>0</v>
      </c>
      <c r="AB196" s="944">
        <f t="shared" si="71"/>
        <v>0</v>
      </c>
      <c r="AC196" s="944">
        <f t="shared" si="72"/>
        <v>0</v>
      </c>
      <c r="AD196" s="943" t="e">
        <f t="shared" si="73"/>
        <v>#VALUE!</v>
      </c>
      <c r="AE196" s="943">
        <f t="shared" si="74"/>
        <v>0</v>
      </c>
      <c r="AF196" s="916">
        <f>IF(H196&gt;8,tab!$D$63,tab!$D$65)</f>
        <v>0.5</v>
      </c>
      <c r="AG196" s="925">
        <f t="shared" si="75"/>
        <v>0</v>
      </c>
      <c r="AH196" s="940">
        <f t="shared" si="76"/>
        <v>0</v>
      </c>
      <c r="AM196" s="315"/>
    </row>
    <row r="197" spans="3:39" x14ac:dyDescent="0.2">
      <c r="C197" s="69"/>
      <c r="D197" s="89"/>
      <c r="E197" s="89"/>
      <c r="F197" s="98"/>
      <c r="G197" s="299"/>
      <c r="H197" s="98"/>
      <c r="I197" s="362"/>
      <c r="J197" s="742">
        <f>SUM(J177:J196)</f>
        <v>0</v>
      </c>
      <c r="K197" s="292"/>
      <c r="L197" s="869">
        <f>SUM(L177:L196)</f>
        <v>0</v>
      </c>
      <c r="M197" s="869">
        <f>SUM(M177:M196)</f>
        <v>0</v>
      </c>
      <c r="N197" s="869">
        <f>SUM(N177:N196)</f>
        <v>0</v>
      </c>
      <c r="O197" s="869"/>
      <c r="P197" s="869">
        <f>SUM(P177:P196)</f>
        <v>0</v>
      </c>
      <c r="Q197" s="292"/>
      <c r="R197" s="743">
        <f>SUM(R177:R196)</f>
        <v>0</v>
      </c>
      <c r="S197" s="743">
        <f>SUM(S177:S196)</f>
        <v>0</v>
      </c>
      <c r="T197" s="743">
        <f>SUM(T177:T196)</f>
        <v>0</v>
      </c>
      <c r="U197" s="106"/>
      <c r="Y197" s="909">
        <f>SUM(Y177:Y196)</f>
        <v>2916</v>
      </c>
      <c r="Z197" s="983"/>
      <c r="AA197" s="983"/>
      <c r="AB197" s="983"/>
      <c r="AC197" s="983"/>
      <c r="AD197" s="917" t="e">
        <f>SUM(AD177:AD196)</f>
        <v>#VALUE!</v>
      </c>
      <c r="AE197" s="930">
        <f>SUM(AE177:AE196)</f>
        <v>0</v>
      </c>
      <c r="AF197" s="909"/>
      <c r="AG197" s="928">
        <f>SUM(AG177:AG196)</f>
        <v>0</v>
      </c>
      <c r="AH197" s="937">
        <f>SUM(AH177:AH196)</f>
        <v>0</v>
      </c>
    </row>
    <row r="198" spans="3:39" x14ac:dyDescent="0.2">
      <c r="C198" s="76"/>
      <c r="D198" s="107"/>
      <c r="E198" s="107"/>
      <c r="F198" s="143"/>
      <c r="G198" s="303"/>
      <c r="H198" s="143"/>
      <c r="I198" s="304"/>
      <c r="J198" s="305"/>
      <c r="K198" s="304"/>
      <c r="L198" s="304"/>
      <c r="M198" s="304"/>
      <c r="N198" s="304"/>
      <c r="O198" s="304"/>
      <c r="P198" s="304"/>
      <c r="Q198" s="304"/>
      <c r="R198" s="364"/>
      <c r="S198" s="300"/>
      <c r="T198" s="300"/>
      <c r="U198" s="365"/>
      <c r="Y198" s="881"/>
      <c r="Z198" s="983"/>
      <c r="AA198" s="983"/>
      <c r="AB198" s="983"/>
      <c r="AC198" s="983"/>
      <c r="AF198" s="909"/>
      <c r="AG198" s="928"/>
      <c r="AH198" s="937"/>
    </row>
    <row r="201" spans="3:39" x14ac:dyDescent="0.2">
      <c r="C201" s="48" t="s">
        <v>165</v>
      </c>
      <c r="E201" s="327" t="str">
        <f>dir!E145</f>
        <v>2025/26</v>
      </c>
      <c r="AE201" s="911"/>
    </row>
    <row r="202" spans="3:39" x14ac:dyDescent="0.2">
      <c r="C202" s="48" t="s">
        <v>187</v>
      </c>
      <c r="E202" s="327">
        <f>dir!E146</f>
        <v>45931</v>
      </c>
      <c r="AE202" s="911"/>
    </row>
    <row r="203" spans="3:39" x14ac:dyDescent="0.2">
      <c r="AE203" s="911"/>
    </row>
    <row r="204" spans="3:39" x14ac:dyDescent="0.2">
      <c r="C204" s="757"/>
      <c r="D204" s="724"/>
      <c r="E204" s="723"/>
      <c r="F204" s="704"/>
      <c r="G204" s="725"/>
      <c r="H204" s="726"/>
      <c r="I204" s="726"/>
      <c r="J204" s="727"/>
      <c r="K204" s="728"/>
      <c r="L204" s="726"/>
      <c r="M204" s="726"/>
      <c r="N204" s="726"/>
      <c r="O204" s="726"/>
      <c r="P204" s="726"/>
      <c r="Q204" s="728"/>
      <c r="R204" s="728"/>
      <c r="S204" s="728"/>
      <c r="T204" s="626"/>
      <c r="U204" s="119"/>
      <c r="Z204" s="709"/>
      <c r="AA204" s="709"/>
      <c r="AB204" s="709"/>
      <c r="AC204" s="709"/>
      <c r="AE204" s="911"/>
      <c r="AI204" s="260"/>
      <c r="AJ204" s="260"/>
      <c r="AK204" s="260"/>
      <c r="AL204" s="212"/>
      <c r="AM204" s="211"/>
    </row>
    <row r="205" spans="3:39" x14ac:dyDescent="0.2">
      <c r="C205" s="758"/>
      <c r="D205" s="864" t="s">
        <v>298</v>
      </c>
      <c r="E205" s="865"/>
      <c r="F205" s="865"/>
      <c r="G205" s="865"/>
      <c r="H205" s="866"/>
      <c r="I205" s="866"/>
      <c r="J205" s="866"/>
      <c r="K205" s="968"/>
      <c r="L205" s="864" t="s">
        <v>492</v>
      </c>
      <c r="M205" s="858"/>
      <c r="N205" s="864"/>
      <c r="O205" s="864"/>
      <c r="P205" s="951"/>
      <c r="Q205" s="730"/>
      <c r="R205" s="864" t="s">
        <v>494</v>
      </c>
      <c r="S205" s="866"/>
      <c r="T205" s="935"/>
      <c r="U205" s="746"/>
      <c r="V205" s="279"/>
      <c r="W205" s="279"/>
      <c r="X205" s="279"/>
      <c r="Y205" s="882"/>
      <c r="Z205" s="913"/>
      <c r="AA205" s="882"/>
      <c r="AB205" s="882"/>
      <c r="AC205" s="882"/>
      <c r="AD205" s="912"/>
      <c r="AE205" s="912"/>
      <c r="AF205" s="913"/>
      <c r="AG205" s="933"/>
      <c r="AH205" s="941"/>
      <c r="AI205" s="923"/>
      <c r="AJ205" s="923"/>
      <c r="AK205" s="923"/>
      <c r="AL205" s="923"/>
      <c r="AM205" s="923"/>
    </row>
    <row r="206" spans="3:39" x14ac:dyDescent="0.2">
      <c r="C206" s="758"/>
      <c r="D206" s="693" t="s">
        <v>480</v>
      </c>
      <c r="E206" s="693" t="s">
        <v>171</v>
      </c>
      <c r="F206" s="732" t="s">
        <v>119</v>
      </c>
      <c r="G206" s="733" t="s">
        <v>289</v>
      </c>
      <c r="H206" s="732" t="s">
        <v>201</v>
      </c>
      <c r="I206" s="732" t="s">
        <v>229</v>
      </c>
      <c r="J206" s="734" t="s">
        <v>122</v>
      </c>
      <c r="K206" s="969"/>
      <c r="L206" s="735" t="s">
        <v>475</v>
      </c>
      <c r="M206" s="735" t="s">
        <v>468</v>
      </c>
      <c r="N206" s="735" t="s">
        <v>482</v>
      </c>
      <c r="O206" s="735" t="s">
        <v>475</v>
      </c>
      <c r="P206" s="952" t="s">
        <v>487</v>
      </c>
      <c r="Q206" s="702"/>
      <c r="R206" s="863" t="s">
        <v>186</v>
      </c>
      <c r="S206" s="737" t="s">
        <v>493</v>
      </c>
      <c r="T206" s="738" t="s">
        <v>186</v>
      </c>
      <c r="U206" s="747"/>
      <c r="V206" s="282"/>
      <c r="W206" s="282"/>
      <c r="X206" s="282"/>
      <c r="Y206" s="914" t="s">
        <v>322</v>
      </c>
      <c r="Z206" s="960" t="s">
        <v>479</v>
      </c>
      <c r="AA206" s="903" t="s">
        <v>488</v>
      </c>
      <c r="AB206" s="903" t="s">
        <v>488</v>
      </c>
      <c r="AC206" s="903" t="s">
        <v>491</v>
      </c>
      <c r="AD206" s="915" t="s">
        <v>473</v>
      </c>
      <c r="AE206" s="915" t="s">
        <v>474</v>
      </c>
      <c r="AF206" s="902" t="s">
        <v>470</v>
      </c>
      <c r="AG206" s="934" t="s">
        <v>306</v>
      </c>
      <c r="AH206" s="941" t="s">
        <v>415</v>
      </c>
      <c r="AI206" s="902" t="s">
        <v>292</v>
      </c>
      <c r="AJ206" s="902" t="s">
        <v>293</v>
      </c>
      <c r="AK206" s="902" t="s">
        <v>121</v>
      </c>
      <c r="AL206" s="902" t="s">
        <v>198</v>
      </c>
      <c r="AM206" s="915" t="s">
        <v>173</v>
      </c>
    </row>
    <row r="207" spans="3:39" x14ac:dyDescent="0.2">
      <c r="C207" s="758"/>
      <c r="D207" s="865"/>
      <c r="E207" s="693"/>
      <c r="F207" s="732" t="s">
        <v>120</v>
      </c>
      <c r="G207" s="733" t="s">
        <v>290</v>
      </c>
      <c r="H207" s="732"/>
      <c r="I207" s="732"/>
      <c r="J207" s="734"/>
      <c r="K207" s="969"/>
      <c r="L207" s="735" t="s">
        <v>476</v>
      </c>
      <c r="M207" s="735" t="s">
        <v>478</v>
      </c>
      <c r="N207" s="735" t="s">
        <v>483</v>
      </c>
      <c r="O207" s="735" t="s">
        <v>477</v>
      </c>
      <c r="P207" s="952" t="s">
        <v>284</v>
      </c>
      <c r="Q207" s="702"/>
      <c r="R207" s="706" t="s">
        <v>485</v>
      </c>
      <c r="S207" s="737" t="s">
        <v>469</v>
      </c>
      <c r="T207" s="738" t="s">
        <v>284</v>
      </c>
      <c r="U207" s="710"/>
      <c r="V207" s="81"/>
      <c r="W207" s="81"/>
      <c r="X207" s="81"/>
      <c r="Y207" s="914" t="s">
        <v>193</v>
      </c>
      <c r="Z207" s="961">
        <f>tab!$D$62</f>
        <v>0.6</v>
      </c>
      <c r="AA207" s="903" t="s">
        <v>489</v>
      </c>
      <c r="AB207" s="903" t="s">
        <v>490</v>
      </c>
      <c r="AC207" s="903" t="s">
        <v>486</v>
      </c>
      <c r="AD207" s="915" t="s">
        <v>472</v>
      </c>
      <c r="AE207" s="915" t="s">
        <v>472</v>
      </c>
      <c r="AF207" s="902" t="s">
        <v>471</v>
      </c>
      <c r="AG207" s="934"/>
      <c r="AH207" s="940" t="s">
        <v>228</v>
      </c>
      <c r="AI207" s="915" t="s">
        <v>291</v>
      </c>
      <c r="AJ207" s="915" t="s">
        <v>291</v>
      </c>
      <c r="AK207" s="902"/>
      <c r="AL207" s="902" t="s">
        <v>173</v>
      </c>
      <c r="AM207" s="915"/>
    </row>
    <row r="208" spans="3:39" x14ac:dyDescent="0.2">
      <c r="C208" s="758"/>
      <c r="D208" s="865"/>
      <c r="E208" s="865"/>
      <c r="F208" s="703"/>
      <c r="G208" s="748"/>
      <c r="H208" s="732"/>
      <c r="I208" s="732"/>
      <c r="J208" s="734"/>
      <c r="K208" s="736"/>
      <c r="L208" s="735"/>
      <c r="M208" s="735"/>
      <c r="N208" s="735"/>
      <c r="O208" s="735"/>
      <c r="P208" s="735"/>
      <c r="Q208" s="736"/>
      <c r="R208" s="749"/>
      <c r="S208" s="749"/>
      <c r="T208" s="363"/>
      <c r="U208" s="344"/>
      <c r="Y208" s="914"/>
      <c r="Z208" s="982"/>
      <c r="AA208" s="982"/>
      <c r="AB208" s="982"/>
      <c r="AC208" s="982"/>
      <c r="AD208" s="915"/>
      <c r="AE208" s="915"/>
      <c r="AF208" s="901"/>
      <c r="AG208" s="934"/>
      <c r="AH208" s="940"/>
    </row>
    <row r="209" spans="3:39" x14ac:dyDescent="0.2">
      <c r="C209" s="69"/>
      <c r="D209" s="75" t="str">
        <f>IF(obp!D177=0,"",obp!D177)</f>
        <v/>
      </c>
      <c r="E209" s="75" t="str">
        <f>IF(obp!E177=0,"-",obp!E177)</f>
        <v>piet</v>
      </c>
      <c r="F209" s="88">
        <f>IF(obp!F177="","",obp!F177+1)</f>
        <v>46</v>
      </c>
      <c r="G209" s="290" t="str">
        <f>IF(obp!G177="","",obp!G177)</f>
        <v/>
      </c>
      <c r="H209" s="88">
        <f>IF(obp!H177=0,"",obp!H177)</f>
        <v>8</v>
      </c>
      <c r="I209" s="99">
        <f>IF(J209="","",(IF(obp!I177+1&gt;LOOKUP(H209,schaal2019,regels2019),obp!I177,obp!I177+1)))</f>
        <v>10</v>
      </c>
      <c r="J209" s="291">
        <f>IF(obp!J177="","",obp!J177)</f>
        <v>0</v>
      </c>
      <c r="K209" s="304"/>
      <c r="L209" s="868">
        <f>IF(obp!L177="","",obp!L177)</f>
        <v>0</v>
      </c>
      <c r="M209" s="868">
        <f>IF(obp!M177="","",obp!M177)</f>
        <v>0</v>
      </c>
      <c r="N209" s="867">
        <f t="shared" ref="N209:N228" si="78">IF(J209="","",IF((J209*40)&gt;40,40,((J209*40))))</f>
        <v>0</v>
      </c>
      <c r="O209" s="867"/>
      <c r="P209" s="953">
        <f t="shared" ref="P209:P228" si="79">IF(J209="","",(SUM(L209:O209)))</f>
        <v>0</v>
      </c>
      <c r="Q209" s="70"/>
      <c r="R209" s="739">
        <f>IF(J209="","",(((1659*J209)-P209)*AB209))</f>
        <v>0</v>
      </c>
      <c r="S209" s="739">
        <f t="shared" ref="S209:S228" si="80">IF(J209="","",(P209*AC209)+(AA209*AD209)+((AE209*AA209*(1-AF209))))</f>
        <v>0</v>
      </c>
      <c r="T209" s="740">
        <f t="shared" ref="T209:T228" si="81">IF(J209="","",(R209+S209))</f>
        <v>0</v>
      </c>
      <c r="U209" s="275"/>
      <c r="V209" s="288"/>
      <c r="W209" s="288"/>
      <c r="X209" s="288"/>
      <c r="Y209" s="908">
        <f t="shared" ref="Y209:Y228" si="82">IF(H209="",0,5/12*VLOOKUP(H209,salaris2020,I209+1,FALSE)+7/12*VLOOKUP(H209,salaris2020,I209+1,FALSE))</f>
        <v>2979</v>
      </c>
      <c r="Z209" s="986">
        <f>tab!$D$62</f>
        <v>0.6</v>
      </c>
      <c r="AA209" s="944">
        <f t="shared" ref="AA209:AA228" si="83">(Y209*12/1659)</f>
        <v>21.547920433996385</v>
      </c>
      <c r="AB209" s="944">
        <f t="shared" ref="AB209:AB228" si="84">(Y209*12*(1+Z209))/1659</f>
        <v>34.476672694394217</v>
      </c>
      <c r="AC209" s="944">
        <f t="shared" ref="AC209:AC228" si="85">AB209-AA209</f>
        <v>12.928752260397832</v>
      </c>
      <c r="AD209" s="943">
        <f t="shared" ref="AD209:AD228" si="86">(N209+O209)</f>
        <v>0</v>
      </c>
      <c r="AE209" s="943">
        <f t="shared" ref="AE209:AE228" si="87">(L209+M209)</f>
        <v>0</v>
      </c>
      <c r="AF209" s="916">
        <f>IF(H209&gt;8,tab!$D$63,tab!$D$65)</f>
        <v>0.4</v>
      </c>
      <c r="AG209" s="925">
        <f t="shared" ref="AG209:AG228" si="88">IF(F209&lt;25,0,IF(F209=25,25,IF(F209&lt;40,0,IF(F209=40,40,IF(F209&gt;=40,0)))))</f>
        <v>0</v>
      </c>
      <c r="AH209" s="940">
        <f t="shared" ref="AH209:AH228" si="89">IF(AG209=25,(Y209*1.08*(J209)/2),IF(AG209=40,(Y209*1.08*(J209)),IF(AG209=0,0)))</f>
        <v>0</v>
      </c>
      <c r="AM209" s="315"/>
    </row>
    <row r="210" spans="3:39" x14ac:dyDescent="0.2">
      <c r="C210" s="69"/>
      <c r="D210" s="75" t="str">
        <f>IF(obp!D178=0,"",obp!D178)</f>
        <v/>
      </c>
      <c r="E210" s="75" t="str">
        <f>IF(obp!E178=0,"-",obp!E178)</f>
        <v/>
      </c>
      <c r="F210" s="88" t="str">
        <f>IF(obp!F178="","",obp!F178+1)</f>
        <v/>
      </c>
      <c r="G210" s="290" t="str">
        <f>IF(obp!G178="","",obp!G178)</f>
        <v/>
      </c>
      <c r="H210" s="88" t="str">
        <f>IF(obp!H178=0,"",obp!H178)</f>
        <v/>
      </c>
      <c r="I210" s="99" t="str">
        <f>IF(J210="","",(IF(obp!I178+1&gt;LOOKUP(H210,schaal2019,regels2019),obp!I178,obp!I178+1)))</f>
        <v/>
      </c>
      <c r="J210" s="291" t="str">
        <f>IF(obp!J178="","",obp!J178)</f>
        <v/>
      </c>
      <c r="K210" s="304"/>
      <c r="L210" s="868">
        <f>IF(obp!L178="","",obp!L178)</f>
        <v>0</v>
      </c>
      <c r="M210" s="868">
        <f>IF(obp!M178="","",obp!M178)</f>
        <v>0</v>
      </c>
      <c r="N210" s="867" t="str">
        <f t="shared" si="78"/>
        <v/>
      </c>
      <c r="O210" s="867"/>
      <c r="P210" s="953" t="str">
        <f t="shared" si="79"/>
        <v/>
      </c>
      <c r="Q210" s="70"/>
      <c r="R210" s="739" t="str">
        <f t="shared" ref="R210:R228" si="90">IF(J210="","",(((1659*J210)-P210)*AB210))</f>
        <v/>
      </c>
      <c r="S210" s="739" t="str">
        <f t="shared" si="80"/>
        <v/>
      </c>
      <c r="T210" s="740" t="str">
        <f t="shared" si="81"/>
        <v/>
      </c>
      <c r="U210" s="275"/>
      <c r="V210" s="288"/>
      <c r="W210" s="288"/>
      <c r="X210" s="288"/>
      <c r="Y210" s="908">
        <f t="shared" si="82"/>
        <v>0</v>
      </c>
      <c r="Z210" s="986">
        <f>tab!$D$62</f>
        <v>0.6</v>
      </c>
      <c r="AA210" s="944">
        <f t="shared" si="83"/>
        <v>0</v>
      </c>
      <c r="AB210" s="944">
        <f t="shared" si="84"/>
        <v>0</v>
      </c>
      <c r="AC210" s="944">
        <f t="shared" si="85"/>
        <v>0</v>
      </c>
      <c r="AD210" s="943" t="e">
        <f t="shared" si="86"/>
        <v>#VALUE!</v>
      </c>
      <c r="AE210" s="943">
        <f t="shared" si="87"/>
        <v>0</v>
      </c>
      <c r="AF210" s="916">
        <f>IF(H210&gt;8,tab!$D$63,tab!$D$65)</f>
        <v>0.5</v>
      </c>
      <c r="AG210" s="925">
        <f t="shared" si="88"/>
        <v>0</v>
      </c>
      <c r="AH210" s="940">
        <f t="shared" si="89"/>
        <v>0</v>
      </c>
      <c r="AM210" s="315"/>
    </row>
    <row r="211" spans="3:39" x14ac:dyDescent="0.2">
      <c r="C211" s="69"/>
      <c r="D211" s="75" t="str">
        <f>IF(obp!D179=0,"",obp!D179)</f>
        <v/>
      </c>
      <c r="E211" s="75" t="str">
        <f>IF(obp!E179=0,"-",obp!E179)</f>
        <v/>
      </c>
      <c r="F211" s="88" t="str">
        <f>IF(obp!F179="","",obp!F179+1)</f>
        <v/>
      </c>
      <c r="G211" s="290" t="str">
        <f>IF(obp!G179="","",obp!G179)</f>
        <v/>
      </c>
      <c r="H211" s="88" t="str">
        <f>IF(obp!H179=0,"",obp!H179)</f>
        <v/>
      </c>
      <c r="I211" s="99" t="str">
        <f>IF(J211="","",(IF(obp!I179+1&gt;LOOKUP(H211,schaal2019,regels2019),obp!I179,obp!I179+1)))</f>
        <v/>
      </c>
      <c r="J211" s="291" t="str">
        <f>IF(obp!J179="","",obp!J179)</f>
        <v/>
      </c>
      <c r="K211" s="304"/>
      <c r="L211" s="868">
        <f>IF(obp!L179="","",obp!L179)</f>
        <v>0</v>
      </c>
      <c r="M211" s="868">
        <f>IF(obp!M179="","",obp!M179)</f>
        <v>0</v>
      </c>
      <c r="N211" s="867" t="str">
        <f t="shared" si="78"/>
        <v/>
      </c>
      <c r="O211" s="867"/>
      <c r="P211" s="953" t="str">
        <f t="shared" si="79"/>
        <v/>
      </c>
      <c r="Q211" s="70"/>
      <c r="R211" s="739" t="str">
        <f t="shared" si="90"/>
        <v/>
      </c>
      <c r="S211" s="739" t="str">
        <f t="shared" si="80"/>
        <v/>
      </c>
      <c r="T211" s="740" t="str">
        <f t="shared" si="81"/>
        <v/>
      </c>
      <c r="U211" s="275"/>
      <c r="V211" s="288"/>
      <c r="W211" s="288"/>
      <c r="X211" s="288"/>
      <c r="Y211" s="908">
        <f t="shared" si="82"/>
        <v>0</v>
      </c>
      <c r="Z211" s="986">
        <f>tab!$D$62</f>
        <v>0.6</v>
      </c>
      <c r="AA211" s="944">
        <f t="shared" si="83"/>
        <v>0</v>
      </c>
      <c r="AB211" s="944">
        <f t="shared" si="84"/>
        <v>0</v>
      </c>
      <c r="AC211" s="944">
        <f t="shared" si="85"/>
        <v>0</v>
      </c>
      <c r="AD211" s="943" t="e">
        <f t="shared" si="86"/>
        <v>#VALUE!</v>
      </c>
      <c r="AE211" s="943">
        <f t="shared" si="87"/>
        <v>0</v>
      </c>
      <c r="AF211" s="916">
        <f>IF(H211&gt;8,tab!$D$63,tab!$D$65)</f>
        <v>0.5</v>
      </c>
      <c r="AG211" s="925">
        <f t="shared" si="88"/>
        <v>0</v>
      </c>
      <c r="AH211" s="940">
        <f t="shared" si="89"/>
        <v>0</v>
      </c>
      <c r="AM211" s="315"/>
    </row>
    <row r="212" spans="3:39" x14ac:dyDescent="0.2">
      <c r="C212" s="69"/>
      <c r="D212" s="75" t="str">
        <f>IF(obp!D180=0,"",obp!D180)</f>
        <v/>
      </c>
      <c r="E212" s="75" t="str">
        <f>IF(obp!E180=0,"-",obp!E180)</f>
        <v/>
      </c>
      <c r="F212" s="88" t="str">
        <f>IF(obp!F180="","",obp!F180+1)</f>
        <v/>
      </c>
      <c r="G212" s="290" t="str">
        <f>IF(obp!G180="","",obp!G180)</f>
        <v/>
      </c>
      <c r="H212" s="88" t="str">
        <f>IF(obp!H180=0,"",obp!H180)</f>
        <v/>
      </c>
      <c r="I212" s="99" t="str">
        <f>IF(J212="","",(IF(obp!I180+1&gt;LOOKUP(H212,schaal2019,regels2019),obp!I180,obp!I180+1)))</f>
        <v/>
      </c>
      <c r="J212" s="291" t="str">
        <f>IF(obp!J180="","",obp!J180)</f>
        <v/>
      </c>
      <c r="K212" s="304"/>
      <c r="L212" s="868">
        <f>IF(obp!L180="","",obp!L180)</f>
        <v>0</v>
      </c>
      <c r="M212" s="868">
        <f>IF(obp!M180="","",obp!M180)</f>
        <v>0</v>
      </c>
      <c r="N212" s="867" t="str">
        <f t="shared" si="78"/>
        <v/>
      </c>
      <c r="O212" s="867"/>
      <c r="P212" s="953" t="str">
        <f t="shared" si="79"/>
        <v/>
      </c>
      <c r="Q212" s="70"/>
      <c r="R212" s="739" t="str">
        <f t="shared" si="90"/>
        <v/>
      </c>
      <c r="S212" s="739" t="str">
        <f t="shared" si="80"/>
        <v/>
      </c>
      <c r="T212" s="740" t="str">
        <f t="shared" si="81"/>
        <v/>
      </c>
      <c r="U212" s="275"/>
      <c r="V212" s="288"/>
      <c r="W212" s="288"/>
      <c r="X212" s="288"/>
      <c r="Y212" s="908">
        <f t="shared" si="82"/>
        <v>0</v>
      </c>
      <c r="Z212" s="986">
        <f>tab!$D$62</f>
        <v>0.6</v>
      </c>
      <c r="AA212" s="944">
        <f t="shared" si="83"/>
        <v>0</v>
      </c>
      <c r="AB212" s="944">
        <f t="shared" si="84"/>
        <v>0</v>
      </c>
      <c r="AC212" s="944">
        <f t="shared" si="85"/>
        <v>0</v>
      </c>
      <c r="AD212" s="943" t="e">
        <f t="shared" si="86"/>
        <v>#VALUE!</v>
      </c>
      <c r="AE212" s="943">
        <f t="shared" si="87"/>
        <v>0</v>
      </c>
      <c r="AF212" s="916">
        <f>IF(H212&gt;8,tab!$D$63,tab!$D$65)</f>
        <v>0.5</v>
      </c>
      <c r="AG212" s="925">
        <f t="shared" si="88"/>
        <v>0</v>
      </c>
      <c r="AH212" s="940">
        <f t="shared" si="89"/>
        <v>0</v>
      </c>
      <c r="AM212" s="315"/>
    </row>
    <row r="213" spans="3:39" x14ac:dyDescent="0.2">
      <c r="C213" s="69"/>
      <c r="D213" s="75" t="str">
        <f>IF(obp!D181=0,"",obp!D181)</f>
        <v/>
      </c>
      <c r="E213" s="75" t="str">
        <f>IF(obp!E181=0,"-",obp!E181)</f>
        <v/>
      </c>
      <c r="F213" s="88" t="str">
        <f>IF(obp!F181="","",obp!F181+1)</f>
        <v/>
      </c>
      <c r="G213" s="290" t="str">
        <f>IF(obp!G181="","",obp!G181)</f>
        <v/>
      </c>
      <c r="H213" s="88" t="str">
        <f>IF(obp!H181=0,"",obp!H181)</f>
        <v/>
      </c>
      <c r="I213" s="99" t="str">
        <f>IF(J213="","",(IF(obp!I181+1&gt;LOOKUP(H213,schaal2019,regels2019),obp!I181,obp!I181+1)))</f>
        <v/>
      </c>
      <c r="J213" s="291" t="str">
        <f>IF(obp!J181="","",obp!J181)</f>
        <v/>
      </c>
      <c r="K213" s="304"/>
      <c r="L213" s="868">
        <f>IF(obp!L181="","",obp!L181)</f>
        <v>0</v>
      </c>
      <c r="M213" s="868">
        <f>IF(obp!M181="","",obp!M181)</f>
        <v>0</v>
      </c>
      <c r="N213" s="867" t="str">
        <f t="shared" si="78"/>
        <v/>
      </c>
      <c r="O213" s="867"/>
      <c r="P213" s="953" t="str">
        <f t="shared" si="79"/>
        <v/>
      </c>
      <c r="Q213" s="70"/>
      <c r="R213" s="739" t="str">
        <f t="shared" si="90"/>
        <v/>
      </c>
      <c r="S213" s="739" t="str">
        <f t="shared" si="80"/>
        <v/>
      </c>
      <c r="T213" s="740" t="str">
        <f t="shared" si="81"/>
        <v/>
      </c>
      <c r="U213" s="275"/>
      <c r="V213" s="288"/>
      <c r="W213" s="288"/>
      <c r="X213" s="288"/>
      <c r="Y213" s="908">
        <f t="shared" si="82"/>
        <v>0</v>
      </c>
      <c r="Z213" s="986">
        <f>tab!$D$62</f>
        <v>0.6</v>
      </c>
      <c r="AA213" s="944">
        <f t="shared" si="83"/>
        <v>0</v>
      </c>
      <c r="AB213" s="944">
        <f t="shared" si="84"/>
        <v>0</v>
      </c>
      <c r="AC213" s="944">
        <f t="shared" si="85"/>
        <v>0</v>
      </c>
      <c r="AD213" s="943" t="e">
        <f t="shared" si="86"/>
        <v>#VALUE!</v>
      </c>
      <c r="AE213" s="943">
        <f t="shared" si="87"/>
        <v>0</v>
      </c>
      <c r="AF213" s="916">
        <f>IF(H213&gt;8,tab!$D$63,tab!$D$65)</f>
        <v>0.5</v>
      </c>
      <c r="AG213" s="925">
        <f t="shared" si="88"/>
        <v>0</v>
      </c>
      <c r="AH213" s="940">
        <f t="shared" si="89"/>
        <v>0</v>
      </c>
      <c r="AM213" s="315"/>
    </row>
    <row r="214" spans="3:39" x14ac:dyDescent="0.2">
      <c r="C214" s="69"/>
      <c r="D214" s="75" t="str">
        <f>IF(obp!D182=0,"",obp!D182)</f>
        <v/>
      </c>
      <c r="E214" s="75" t="str">
        <f>IF(obp!E182=0,"-",obp!E182)</f>
        <v/>
      </c>
      <c r="F214" s="88" t="str">
        <f>IF(obp!F182="","",obp!F182+1)</f>
        <v/>
      </c>
      <c r="G214" s="290" t="str">
        <f>IF(obp!G182="","",obp!G182)</f>
        <v/>
      </c>
      <c r="H214" s="88" t="str">
        <f>IF(obp!H182=0,"",obp!H182)</f>
        <v/>
      </c>
      <c r="I214" s="99" t="str">
        <f>IF(J214="","",(IF(obp!I182+1&gt;LOOKUP(H214,schaal2019,regels2019),obp!I182,obp!I182+1)))</f>
        <v/>
      </c>
      <c r="J214" s="291" t="str">
        <f>IF(obp!J182="","",obp!J182)</f>
        <v/>
      </c>
      <c r="K214" s="304"/>
      <c r="L214" s="868">
        <f>IF(obp!L182="","",obp!L182)</f>
        <v>0</v>
      </c>
      <c r="M214" s="868">
        <f>IF(obp!M182="","",obp!M182)</f>
        <v>0</v>
      </c>
      <c r="N214" s="867" t="str">
        <f t="shared" si="78"/>
        <v/>
      </c>
      <c r="O214" s="867"/>
      <c r="P214" s="953" t="str">
        <f t="shared" si="79"/>
        <v/>
      </c>
      <c r="Q214" s="70"/>
      <c r="R214" s="739" t="str">
        <f t="shared" si="90"/>
        <v/>
      </c>
      <c r="S214" s="739" t="str">
        <f t="shared" si="80"/>
        <v/>
      </c>
      <c r="T214" s="740" t="str">
        <f t="shared" si="81"/>
        <v/>
      </c>
      <c r="U214" s="275"/>
      <c r="V214" s="288"/>
      <c r="W214" s="288"/>
      <c r="X214" s="288"/>
      <c r="Y214" s="908">
        <f t="shared" si="82"/>
        <v>0</v>
      </c>
      <c r="Z214" s="986">
        <f>tab!$D$62</f>
        <v>0.6</v>
      </c>
      <c r="AA214" s="944">
        <f t="shared" si="83"/>
        <v>0</v>
      </c>
      <c r="AB214" s="944">
        <f t="shared" si="84"/>
        <v>0</v>
      </c>
      <c r="AC214" s="944">
        <f t="shared" si="85"/>
        <v>0</v>
      </c>
      <c r="AD214" s="943" t="e">
        <f t="shared" si="86"/>
        <v>#VALUE!</v>
      </c>
      <c r="AE214" s="943">
        <f t="shared" si="87"/>
        <v>0</v>
      </c>
      <c r="AF214" s="916">
        <f>IF(H214&gt;8,tab!$D$63,tab!$D$65)</f>
        <v>0.5</v>
      </c>
      <c r="AG214" s="925">
        <f t="shared" si="88"/>
        <v>0</v>
      </c>
      <c r="AH214" s="940">
        <f t="shared" si="89"/>
        <v>0</v>
      </c>
      <c r="AM214" s="315"/>
    </row>
    <row r="215" spans="3:39" x14ac:dyDescent="0.2">
      <c r="C215" s="69"/>
      <c r="D215" s="75" t="str">
        <f>IF(obp!D183=0,"",obp!D183)</f>
        <v/>
      </c>
      <c r="E215" s="75" t="str">
        <f>IF(obp!E183=0,"-",obp!E183)</f>
        <v/>
      </c>
      <c r="F215" s="88" t="str">
        <f>IF(obp!F183="","",obp!F183+1)</f>
        <v/>
      </c>
      <c r="G215" s="290" t="str">
        <f>IF(obp!G183="","",obp!G183)</f>
        <v/>
      </c>
      <c r="H215" s="88" t="str">
        <f>IF(obp!H183=0,"",obp!H183)</f>
        <v/>
      </c>
      <c r="I215" s="99" t="str">
        <f>IF(J215="","",(IF(obp!I183+1&gt;LOOKUP(H215,schaal2019,regels2019),obp!I183,obp!I183+1)))</f>
        <v/>
      </c>
      <c r="J215" s="291" t="str">
        <f>IF(obp!J183="","",obp!J183)</f>
        <v/>
      </c>
      <c r="K215" s="304"/>
      <c r="L215" s="868">
        <f>IF(obp!L183="","",obp!L183)</f>
        <v>0</v>
      </c>
      <c r="M215" s="868">
        <f>IF(obp!M183="","",obp!M183)</f>
        <v>0</v>
      </c>
      <c r="N215" s="867" t="str">
        <f t="shared" si="78"/>
        <v/>
      </c>
      <c r="O215" s="867"/>
      <c r="P215" s="953" t="str">
        <f t="shared" si="79"/>
        <v/>
      </c>
      <c r="Q215" s="70"/>
      <c r="R215" s="739" t="str">
        <f t="shared" si="90"/>
        <v/>
      </c>
      <c r="S215" s="739" t="str">
        <f t="shared" si="80"/>
        <v/>
      </c>
      <c r="T215" s="740" t="str">
        <f t="shared" si="81"/>
        <v/>
      </c>
      <c r="U215" s="275"/>
      <c r="V215" s="288"/>
      <c r="W215" s="288"/>
      <c r="X215" s="288"/>
      <c r="Y215" s="908">
        <f t="shared" si="82"/>
        <v>0</v>
      </c>
      <c r="Z215" s="986">
        <f>tab!$D$62</f>
        <v>0.6</v>
      </c>
      <c r="AA215" s="944">
        <f t="shared" si="83"/>
        <v>0</v>
      </c>
      <c r="AB215" s="944">
        <f t="shared" si="84"/>
        <v>0</v>
      </c>
      <c r="AC215" s="944">
        <f t="shared" si="85"/>
        <v>0</v>
      </c>
      <c r="AD215" s="943" t="e">
        <f t="shared" si="86"/>
        <v>#VALUE!</v>
      </c>
      <c r="AE215" s="943">
        <f t="shared" si="87"/>
        <v>0</v>
      </c>
      <c r="AF215" s="916">
        <f>IF(H215&gt;8,tab!$D$63,tab!$D$65)</f>
        <v>0.5</v>
      </c>
      <c r="AG215" s="925">
        <f t="shared" si="88"/>
        <v>0</v>
      </c>
      <c r="AH215" s="940">
        <f t="shared" si="89"/>
        <v>0</v>
      </c>
      <c r="AM215" s="315"/>
    </row>
    <row r="216" spans="3:39" x14ac:dyDescent="0.2">
      <c r="C216" s="69"/>
      <c r="D216" s="75" t="str">
        <f>IF(obp!D184=0,"",obp!D184)</f>
        <v/>
      </c>
      <c r="E216" s="75" t="str">
        <f>IF(obp!E184=0,"-",obp!E184)</f>
        <v/>
      </c>
      <c r="F216" s="88" t="str">
        <f>IF(obp!F184="","",obp!F184+1)</f>
        <v/>
      </c>
      <c r="G216" s="290" t="str">
        <f>IF(obp!G184="","",obp!G184)</f>
        <v/>
      </c>
      <c r="H216" s="88" t="str">
        <f>IF(obp!H184=0,"",obp!H184)</f>
        <v/>
      </c>
      <c r="I216" s="99" t="str">
        <f>IF(J216="","",(IF(obp!I184+1&gt;LOOKUP(H216,schaal2019,regels2019),obp!I184,obp!I184+1)))</f>
        <v/>
      </c>
      <c r="J216" s="291" t="str">
        <f>IF(obp!J184="","",obp!J184)</f>
        <v/>
      </c>
      <c r="K216" s="304"/>
      <c r="L216" s="868">
        <f>IF(obp!L184="","",obp!L184)</f>
        <v>0</v>
      </c>
      <c r="M216" s="868">
        <f>IF(obp!M184="","",obp!M184)</f>
        <v>0</v>
      </c>
      <c r="N216" s="867" t="str">
        <f t="shared" si="78"/>
        <v/>
      </c>
      <c r="O216" s="867"/>
      <c r="P216" s="953" t="str">
        <f t="shared" si="79"/>
        <v/>
      </c>
      <c r="Q216" s="70"/>
      <c r="R216" s="739" t="str">
        <f t="shared" si="90"/>
        <v/>
      </c>
      <c r="S216" s="739" t="str">
        <f t="shared" si="80"/>
        <v/>
      </c>
      <c r="T216" s="740" t="str">
        <f t="shared" si="81"/>
        <v/>
      </c>
      <c r="U216" s="275"/>
      <c r="V216" s="288"/>
      <c r="W216" s="288"/>
      <c r="X216" s="288"/>
      <c r="Y216" s="908">
        <f t="shared" si="82"/>
        <v>0</v>
      </c>
      <c r="Z216" s="986">
        <f>tab!$D$62</f>
        <v>0.6</v>
      </c>
      <c r="AA216" s="944">
        <f t="shared" si="83"/>
        <v>0</v>
      </c>
      <c r="AB216" s="944">
        <f t="shared" si="84"/>
        <v>0</v>
      </c>
      <c r="AC216" s="944">
        <f t="shared" si="85"/>
        <v>0</v>
      </c>
      <c r="AD216" s="943" t="e">
        <f t="shared" si="86"/>
        <v>#VALUE!</v>
      </c>
      <c r="AE216" s="943">
        <f t="shared" si="87"/>
        <v>0</v>
      </c>
      <c r="AF216" s="916">
        <f>IF(H216&gt;8,tab!$D$63,tab!$D$65)</f>
        <v>0.5</v>
      </c>
      <c r="AG216" s="925">
        <f t="shared" si="88"/>
        <v>0</v>
      </c>
      <c r="AH216" s="940">
        <f t="shared" si="89"/>
        <v>0</v>
      </c>
      <c r="AM216" s="315"/>
    </row>
    <row r="217" spans="3:39" x14ac:dyDescent="0.2">
      <c r="C217" s="69"/>
      <c r="D217" s="75" t="str">
        <f>IF(obp!D185=0,"",obp!D185)</f>
        <v/>
      </c>
      <c r="E217" s="75" t="str">
        <f>IF(obp!E185=0,"-",obp!E185)</f>
        <v/>
      </c>
      <c r="F217" s="88" t="str">
        <f>IF(obp!F185="","",obp!F185+1)</f>
        <v/>
      </c>
      <c r="G217" s="290" t="str">
        <f>IF(obp!G185="","",obp!G185)</f>
        <v/>
      </c>
      <c r="H217" s="88" t="str">
        <f>IF(obp!H185=0,"",obp!H185)</f>
        <v/>
      </c>
      <c r="I217" s="99" t="str">
        <f>IF(J217="","",(IF(obp!I185+1&gt;LOOKUP(H217,schaal2019,regels2019),obp!I185,obp!I185+1)))</f>
        <v/>
      </c>
      <c r="J217" s="291" t="str">
        <f>IF(obp!J185="","",obp!J185)</f>
        <v/>
      </c>
      <c r="K217" s="304"/>
      <c r="L217" s="868">
        <f>IF(obp!L185="","",obp!L185)</f>
        <v>0</v>
      </c>
      <c r="M217" s="868">
        <f>IF(obp!M185="","",obp!M185)</f>
        <v>0</v>
      </c>
      <c r="N217" s="867" t="str">
        <f t="shared" si="78"/>
        <v/>
      </c>
      <c r="O217" s="867"/>
      <c r="P217" s="953" t="str">
        <f t="shared" si="79"/>
        <v/>
      </c>
      <c r="Q217" s="70"/>
      <c r="R217" s="739" t="str">
        <f t="shared" si="90"/>
        <v/>
      </c>
      <c r="S217" s="739" t="str">
        <f t="shared" si="80"/>
        <v/>
      </c>
      <c r="T217" s="740" t="str">
        <f t="shared" si="81"/>
        <v/>
      </c>
      <c r="U217" s="275"/>
      <c r="V217" s="288"/>
      <c r="W217" s="288"/>
      <c r="X217" s="288"/>
      <c r="Y217" s="908">
        <f t="shared" si="82"/>
        <v>0</v>
      </c>
      <c r="Z217" s="986">
        <f>tab!$D$62</f>
        <v>0.6</v>
      </c>
      <c r="AA217" s="944">
        <f t="shared" si="83"/>
        <v>0</v>
      </c>
      <c r="AB217" s="944">
        <f t="shared" si="84"/>
        <v>0</v>
      </c>
      <c r="AC217" s="944">
        <f t="shared" si="85"/>
        <v>0</v>
      </c>
      <c r="AD217" s="943" t="e">
        <f t="shared" si="86"/>
        <v>#VALUE!</v>
      </c>
      <c r="AE217" s="943">
        <f t="shared" si="87"/>
        <v>0</v>
      </c>
      <c r="AF217" s="916">
        <f>IF(H217&gt;8,tab!$D$63,tab!$D$65)</f>
        <v>0.5</v>
      </c>
      <c r="AG217" s="925">
        <f t="shared" si="88"/>
        <v>0</v>
      </c>
      <c r="AH217" s="940">
        <f t="shared" si="89"/>
        <v>0</v>
      </c>
      <c r="AM217" s="315"/>
    </row>
    <row r="218" spans="3:39" x14ac:dyDescent="0.2">
      <c r="C218" s="69"/>
      <c r="D218" s="75" t="str">
        <f>IF(obp!D186=0,"",obp!D186)</f>
        <v/>
      </c>
      <c r="E218" s="75" t="str">
        <f>IF(obp!E186=0,"-",obp!E186)</f>
        <v/>
      </c>
      <c r="F218" s="88" t="str">
        <f>IF(obp!F186="","",obp!F186+1)</f>
        <v/>
      </c>
      <c r="G218" s="290" t="str">
        <f>IF(obp!G186="","",obp!G186)</f>
        <v/>
      </c>
      <c r="H218" s="88" t="str">
        <f>IF(obp!H186=0,"",obp!H186)</f>
        <v/>
      </c>
      <c r="I218" s="99" t="str">
        <f>IF(J218="","",(IF(obp!I186+1&gt;LOOKUP(H218,schaal2019,regels2019),obp!I186,obp!I186+1)))</f>
        <v/>
      </c>
      <c r="J218" s="291" t="str">
        <f>IF(obp!J186="","",obp!J186)</f>
        <v/>
      </c>
      <c r="K218" s="304"/>
      <c r="L218" s="868">
        <f>IF(obp!L186="","",obp!L186)</f>
        <v>0</v>
      </c>
      <c r="M218" s="868">
        <f>IF(obp!M186="","",obp!M186)</f>
        <v>0</v>
      </c>
      <c r="N218" s="867" t="str">
        <f t="shared" si="78"/>
        <v/>
      </c>
      <c r="O218" s="867"/>
      <c r="P218" s="953" t="str">
        <f t="shared" si="79"/>
        <v/>
      </c>
      <c r="Q218" s="70"/>
      <c r="R218" s="739" t="str">
        <f t="shared" si="90"/>
        <v/>
      </c>
      <c r="S218" s="739" t="str">
        <f t="shared" si="80"/>
        <v/>
      </c>
      <c r="T218" s="740" t="str">
        <f t="shared" si="81"/>
        <v/>
      </c>
      <c r="U218" s="275"/>
      <c r="V218" s="288"/>
      <c r="W218" s="288"/>
      <c r="X218" s="288"/>
      <c r="Y218" s="908">
        <f t="shared" si="82"/>
        <v>0</v>
      </c>
      <c r="Z218" s="986">
        <f>tab!$D$62</f>
        <v>0.6</v>
      </c>
      <c r="AA218" s="944">
        <f t="shared" si="83"/>
        <v>0</v>
      </c>
      <c r="AB218" s="944">
        <f t="shared" si="84"/>
        <v>0</v>
      </c>
      <c r="AC218" s="944">
        <f t="shared" si="85"/>
        <v>0</v>
      </c>
      <c r="AD218" s="943" t="e">
        <f t="shared" si="86"/>
        <v>#VALUE!</v>
      </c>
      <c r="AE218" s="943">
        <f t="shared" si="87"/>
        <v>0</v>
      </c>
      <c r="AF218" s="916">
        <f>IF(H218&gt;8,tab!$D$63,tab!$D$65)</f>
        <v>0.5</v>
      </c>
      <c r="AG218" s="925">
        <f t="shared" si="88"/>
        <v>0</v>
      </c>
      <c r="AH218" s="940">
        <f t="shared" si="89"/>
        <v>0</v>
      </c>
      <c r="AM218" s="315"/>
    </row>
    <row r="219" spans="3:39" x14ac:dyDescent="0.2">
      <c r="C219" s="69"/>
      <c r="D219" s="75" t="str">
        <f>IF(obp!D187=0,"",obp!D187)</f>
        <v/>
      </c>
      <c r="E219" s="75" t="str">
        <f>IF(obp!E187=0,"-",obp!E187)</f>
        <v/>
      </c>
      <c r="F219" s="88" t="str">
        <f>IF(obp!F187="","",obp!F187+1)</f>
        <v/>
      </c>
      <c r="G219" s="290" t="str">
        <f>IF(obp!G187="","",obp!G187)</f>
        <v/>
      </c>
      <c r="H219" s="88" t="str">
        <f>IF(obp!H187=0,"",obp!H187)</f>
        <v/>
      </c>
      <c r="I219" s="99" t="str">
        <f>IF(J219="","",(IF(obp!I187+1&gt;LOOKUP(H219,schaal2019,regels2019),obp!I187,obp!I187+1)))</f>
        <v/>
      </c>
      <c r="J219" s="291" t="str">
        <f>IF(obp!J187="","",obp!J187)</f>
        <v/>
      </c>
      <c r="K219" s="304"/>
      <c r="L219" s="868">
        <f>IF(obp!L187="","",obp!L187)</f>
        <v>0</v>
      </c>
      <c r="M219" s="868">
        <f>IF(obp!M187="","",obp!M187)</f>
        <v>0</v>
      </c>
      <c r="N219" s="867" t="str">
        <f t="shared" si="78"/>
        <v/>
      </c>
      <c r="O219" s="867"/>
      <c r="P219" s="953" t="str">
        <f t="shared" si="79"/>
        <v/>
      </c>
      <c r="Q219" s="70"/>
      <c r="R219" s="739" t="str">
        <f t="shared" si="90"/>
        <v/>
      </c>
      <c r="S219" s="739" t="str">
        <f t="shared" si="80"/>
        <v/>
      </c>
      <c r="T219" s="740" t="str">
        <f t="shared" si="81"/>
        <v/>
      </c>
      <c r="U219" s="275"/>
      <c r="V219" s="288"/>
      <c r="W219" s="288"/>
      <c r="X219" s="288"/>
      <c r="Y219" s="908">
        <f t="shared" si="82"/>
        <v>0</v>
      </c>
      <c r="Z219" s="986">
        <f>tab!$D$62</f>
        <v>0.6</v>
      </c>
      <c r="AA219" s="944">
        <f t="shared" si="83"/>
        <v>0</v>
      </c>
      <c r="AB219" s="944">
        <f t="shared" si="84"/>
        <v>0</v>
      </c>
      <c r="AC219" s="944">
        <f t="shared" si="85"/>
        <v>0</v>
      </c>
      <c r="AD219" s="943" t="e">
        <f t="shared" si="86"/>
        <v>#VALUE!</v>
      </c>
      <c r="AE219" s="943">
        <f t="shared" si="87"/>
        <v>0</v>
      </c>
      <c r="AF219" s="916">
        <f>IF(H219&gt;8,tab!$D$63,tab!$D$65)</f>
        <v>0.5</v>
      </c>
      <c r="AG219" s="925">
        <f t="shared" si="88"/>
        <v>0</v>
      </c>
      <c r="AH219" s="940">
        <f t="shared" si="89"/>
        <v>0</v>
      </c>
      <c r="AM219" s="315"/>
    </row>
    <row r="220" spans="3:39" x14ac:dyDescent="0.2">
      <c r="C220" s="69"/>
      <c r="D220" s="75" t="str">
        <f>IF(obp!D188=0,"",obp!D188)</f>
        <v/>
      </c>
      <c r="E220" s="75" t="str">
        <f>IF(obp!E188=0,"-",obp!E188)</f>
        <v/>
      </c>
      <c r="F220" s="88" t="str">
        <f>IF(obp!F188="","",obp!F188+1)</f>
        <v/>
      </c>
      <c r="G220" s="290" t="str">
        <f>IF(obp!G188="","",obp!G188)</f>
        <v/>
      </c>
      <c r="H220" s="88" t="str">
        <f>IF(obp!H188=0,"",obp!H188)</f>
        <v/>
      </c>
      <c r="I220" s="99" t="str">
        <f>IF(J220="","",(IF(obp!I188+1&gt;LOOKUP(H220,schaal2019,regels2019),obp!I188,obp!I188+1)))</f>
        <v/>
      </c>
      <c r="J220" s="291" t="str">
        <f>IF(obp!J188="","",obp!J188)</f>
        <v/>
      </c>
      <c r="K220" s="304"/>
      <c r="L220" s="868">
        <f>IF(obp!L188="","",obp!L188)</f>
        <v>0</v>
      </c>
      <c r="M220" s="868">
        <f>IF(obp!M188="","",obp!M188)</f>
        <v>0</v>
      </c>
      <c r="N220" s="867" t="str">
        <f t="shared" si="78"/>
        <v/>
      </c>
      <c r="O220" s="867"/>
      <c r="P220" s="953" t="str">
        <f t="shared" si="79"/>
        <v/>
      </c>
      <c r="Q220" s="70"/>
      <c r="R220" s="739" t="str">
        <f t="shared" si="90"/>
        <v/>
      </c>
      <c r="S220" s="739" t="str">
        <f t="shared" si="80"/>
        <v/>
      </c>
      <c r="T220" s="740" t="str">
        <f t="shared" si="81"/>
        <v/>
      </c>
      <c r="U220" s="275"/>
      <c r="V220" s="288"/>
      <c r="W220" s="288"/>
      <c r="X220" s="288"/>
      <c r="Y220" s="908">
        <f t="shared" si="82"/>
        <v>0</v>
      </c>
      <c r="Z220" s="986">
        <f>tab!$D$62</f>
        <v>0.6</v>
      </c>
      <c r="AA220" s="944">
        <f t="shared" si="83"/>
        <v>0</v>
      </c>
      <c r="AB220" s="944">
        <f t="shared" si="84"/>
        <v>0</v>
      </c>
      <c r="AC220" s="944">
        <f t="shared" si="85"/>
        <v>0</v>
      </c>
      <c r="AD220" s="943" t="e">
        <f t="shared" si="86"/>
        <v>#VALUE!</v>
      </c>
      <c r="AE220" s="943">
        <f t="shared" si="87"/>
        <v>0</v>
      </c>
      <c r="AF220" s="916">
        <f>IF(H220&gt;8,tab!$D$63,tab!$D$65)</f>
        <v>0.5</v>
      </c>
      <c r="AG220" s="925">
        <f t="shared" si="88"/>
        <v>0</v>
      </c>
      <c r="AH220" s="940">
        <f t="shared" si="89"/>
        <v>0</v>
      </c>
      <c r="AM220" s="315"/>
    </row>
    <row r="221" spans="3:39" x14ac:dyDescent="0.2">
      <c r="C221" s="69"/>
      <c r="D221" s="75" t="str">
        <f>IF(obp!D189=0,"",obp!D189)</f>
        <v/>
      </c>
      <c r="E221" s="75" t="str">
        <f>IF(obp!E189=0,"-",obp!E189)</f>
        <v/>
      </c>
      <c r="F221" s="88" t="str">
        <f>IF(obp!F189="","",obp!F189+1)</f>
        <v/>
      </c>
      <c r="G221" s="290" t="str">
        <f>IF(obp!G189="","",obp!G189)</f>
        <v/>
      </c>
      <c r="H221" s="88" t="str">
        <f>IF(obp!H189=0,"",obp!H189)</f>
        <v/>
      </c>
      <c r="I221" s="99" t="str">
        <f>IF(J221="","",(IF(obp!I189+1&gt;LOOKUP(H221,schaal2019,regels2019),obp!I189,obp!I189+1)))</f>
        <v/>
      </c>
      <c r="J221" s="291" t="str">
        <f>IF(obp!J189="","",obp!J189)</f>
        <v/>
      </c>
      <c r="K221" s="304"/>
      <c r="L221" s="868">
        <f>IF(obp!L189="","",obp!L189)</f>
        <v>0</v>
      </c>
      <c r="M221" s="868">
        <f>IF(obp!M189="","",obp!M189)</f>
        <v>0</v>
      </c>
      <c r="N221" s="867" t="str">
        <f t="shared" si="78"/>
        <v/>
      </c>
      <c r="O221" s="867"/>
      <c r="P221" s="953" t="str">
        <f t="shared" si="79"/>
        <v/>
      </c>
      <c r="Q221" s="70"/>
      <c r="R221" s="739" t="str">
        <f t="shared" si="90"/>
        <v/>
      </c>
      <c r="S221" s="739" t="str">
        <f t="shared" si="80"/>
        <v/>
      </c>
      <c r="T221" s="740" t="str">
        <f t="shared" si="81"/>
        <v/>
      </c>
      <c r="U221" s="275"/>
      <c r="V221" s="288"/>
      <c r="W221" s="288"/>
      <c r="X221" s="288"/>
      <c r="Y221" s="908">
        <f t="shared" si="82"/>
        <v>0</v>
      </c>
      <c r="Z221" s="986">
        <f>tab!$D$62</f>
        <v>0.6</v>
      </c>
      <c r="AA221" s="944">
        <f t="shared" si="83"/>
        <v>0</v>
      </c>
      <c r="AB221" s="944">
        <f t="shared" si="84"/>
        <v>0</v>
      </c>
      <c r="AC221" s="944">
        <f t="shared" si="85"/>
        <v>0</v>
      </c>
      <c r="AD221" s="943" t="e">
        <f t="shared" si="86"/>
        <v>#VALUE!</v>
      </c>
      <c r="AE221" s="943">
        <f t="shared" si="87"/>
        <v>0</v>
      </c>
      <c r="AF221" s="916">
        <f>IF(H221&gt;8,tab!$D$63,tab!$D$65)</f>
        <v>0.5</v>
      </c>
      <c r="AG221" s="925">
        <f t="shared" si="88"/>
        <v>0</v>
      </c>
      <c r="AH221" s="940">
        <f t="shared" si="89"/>
        <v>0</v>
      </c>
      <c r="AM221" s="315"/>
    </row>
    <row r="222" spans="3:39" x14ac:dyDescent="0.2">
      <c r="C222" s="69"/>
      <c r="D222" s="75" t="str">
        <f>IF(obp!D190=0,"",obp!D190)</f>
        <v/>
      </c>
      <c r="E222" s="75" t="str">
        <f>IF(obp!E190=0,"-",obp!E190)</f>
        <v/>
      </c>
      <c r="F222" s="88" t="str">
        <f>IF(obp!F190="","",obp!F190+1)</f>
        <v/>
      </c>
      <c r="G222" s="290" t="str">
        <f>IF(obp!G190="","",obp!G190)</f>
        <v/>
      </c>
      <c r="H222" s="88" t="str">
        <f>IF(obp!H190=0,"",obp!H190)</f>
        <v/>
      </c>
      <c r="I222" s="99" t="str">
        <f>IF(J222="","",(IF(obp!I190+1&gt;LOOKUP(H222,schaal2019,regels2019),obp!I190,obp!I190+1)))</f>
        <v/>
      </c>
      <c r="J222" s="291" t="str">
        <f>IF(obp!J190="","",obp!J190)</f>
        <v/>
      </c>
      <c r="K222" s="304"/>
      <c r="L222" s="868">
        <f>IF(obp!L190="","",obp!L190)</f>
        <v>0</v>
      </c>
      <c r="M222" s="868">
        <f>IF(obp!M190="","",obp!M190)</f>
        <v>0</v>
      </c>
      <c r="N222" s="867" t="str">
        <f t="shared" si="78"/>
        <v/>
      </c>
      <c r="O222" s="867"/>
      <c r="P222" s="953" t="str">
        <f t="shared" si="79"/>
        <v/>
      </c>
      <c r="Q222" s="70"/>
      <c r="R222" s="739" t="str">
        <f t="shared" si="90"/>
        <v/>
      </c>
      <c r="S222" s="739" t="str">
        <f t="shared" si="80"/>
        <v/>
      </c>
      <c r="T222" s="740" t="str">
        <f t="shared" si="81"/>
        <v/>
      </c>
      <c r="U222" s="275"/>
      <c r="V222" s="288"/>
      <c r="W222" s="288"/>
      <c r="X222" s="288"/>
      <c r="Y222" s="908">
        <f t="shared" si="82"/>
        <v>0</v>
      </c>
      <c r="Z222" s="986">
        <f>tab!$D$62</f>
        <v>0.6</v>
      </c>
      <c r="AA222" s="944">
        <f t="shared" si="83"/>
        <v>0</v>
      </c>
      <c r="AB222" s="944">
        <f t="shared" si="84"/>
        <v>0</v>
      </c>
      <c r="AC222" s="944">
        <f t="shared" si="85"/>
        <v>0</v>
      </c>
      <c r="AD222" s="943" t="e">
        <f t="shared" si="86"/>
        <v>#VALUE!</v>
      </c>
      <c r="AE222" s="943">
        <f t="shared" si="87"/>
        <v>0</v>
      </c>
      <c r="AF222" s="916">
        <f>IF(H222&gt;8,tab!$D$63,tab!$D$65)</f>
        <v>0.5</v>
      </c>
      <c r="AG222" s="925">
        <f t="shared" si="88"/>
        <v>0</v>
      </c>
      <c r="AH222" s="940">
        <f t="shared" si="89"/>
        <v>0</v>
      </c>
      <c r="AM222" s="315"/>
    </row>
    <row r="223" spans="3:39" x14ac:dyDescent="0.2">
      <c r="C223" s="69"/>
      <c r="D223" s="75" t="str">
        <f>IF(obp!D191=0,"",obp!D191)</f>
        <v/>
      </c>
      <c r="E223" s="75" t="str">
        <f>IF(obp!E191=0,"-",obp!E191)</f>
        <v/>
      </c>
      <c r="F223" s="88" t="str">
        <f>IF(obp!F191="","",obp!F191+1)</f>
        <v/>
      </c>
      <c r="G223" s="290" t="str">
        <f>IF(obp!G191="","",obp!G191)</f>
        <v/>
      </c>
      <c r="H223" s="88" t="str">
        <f>IF(obp!H191=0,"",obp!H191)</f>
        <v/>
      </c>
      <c r="I223" s="99" t="str">
        <f>IF(J223="","",(IF(obp!I191+1&gt;LOOKUP(H223,schaal2019,regels2019),obp!I191,obp!I191+1)))</f>
        <v/>
      </c>
      <c r="J223" s="291" t="str">
        <f>IF(obp!J191="","",obp!J191)</f>
        <v/>
      </c>
      <c r="K223" s="304"/>
      <c r="L223" s="868">
        <f>IF(obp!L191="","",obp!L191)</f>
        <v>0</v>
      </c>
      <c r="M223" s="868">
        <f>IF(obp!M191="","",obp!M191)</f>
        <v>0</v>
      </c>
      <c r="N223" s="867" t="str">
        <f t="shared" si="78"/>
        <v/>
      </c>
      <c r="O223" s="867"/>
      <c r="P223" s="953" t="str">
        <f t="shared" si="79"/>
        <v/>
      </c>
      <c r="Q223" s="70"/>
      <c r="R223" s="739" t="str">
        <f t="shared" si="90"/>
        <v/>
      </c>
      <c r="S223" s="739" t="str">
        <f t="shared" si="80"/>
        <v/>
      </c>
      <c r="T223" s="740" t="str">
        <f t="shared" si="81"/>
        <v/>
      </c>
      <c r="U223" s="275"/>
      <c r="V223" s="288"/>
      <c r="W223" s="288"/>
      <c r="X223" s="288"/>
      <c r="Y223" s="908">
        <f t="shared" si="82"/>
        <v>0</v>
      </c>
      <c r="Z223" s="986">
        <f>tab!$D$62</f>
        <v>0.6</v>
      </c>
      <c r="AA223" s="944">
        <f t="shared" si="83"/>
        <v>0</v>
      </c>
      <c r="AB223" s="944">
        <f t="shared" si="84"/>
        <v>0</v>
      </c>
      <c r="AC223" s="944">
        <f t="shared" si="85"/>
        <v>0</v>
      </c>
      <c r="AD223" s="943" t="e">
        <f t="shared" si="86"/>
        <v>#VALUE!</v>
      </c>
      <c r="AE223" s="943">
        <f t="shared" si="87"/>
        <v>0</v>
      </c>
      <c r="AF223" s="916">
        <f>IF(H223&gt;8,tab!$D$63,tab!$D$65)</f>
        <v>0.5</v>
      </c>
      <c r="AG223" s="925">
        <f t="shared" si="88"/>
        <v>0</v>
      </c>
      <c r="AH223" s="940">
        <f t="shared" si="89"/>
        <v>0</v>
      </c>
      <c r="AM223" s="315"/>
    </row>
    <row r="224" spans="3:39" x14ac:dyDescent="0.2">
      <c r="C224" s="69"/>
      <c r="D224" s="75" t="str">
        <f>IF(obp!D192=0,"",obp!D192)</f>
        <v/>
      </c>
      <c r="E224" s="75" t="str">
        <f>IF(obp!E192=0,"-",obp!E192)</f>
        <v/>
      </c>
      <c r="F224" s="88" t="str">
        <f>IF(obp!F192="","",obp!F192+1)</f>
        <v/>
      </c>
      <c r="G224" s="290" t="str">
        <f>IF(obp!G192="","",obp!G192)</f>
        <v/>
      </c>
      <c r="H224" s="88" t="str">
        <f>IF(obp!H192=0,"",obp!H192)</f>
        <v/>
      </c>
      <c r="I224" s="99" t="str">
        <f>IF(J224="","",(IF(obp!I192+1&gt;LOOKUP(H224,schaal2019,regels2019),obp!I192,obp!I192+1)))</f>
        <v/>
      </c>
      <c r="J224" s="291" t="str">
        <f>IF(obp!J192="","",obp!J192)</f>
        <v/>
      </c>
      <c r="K224" s="304"/>
      <c r="L224" s="868">
        <f>IF(obp!L192="","",obp!L192)</f>
        <v>0</v>
      </c>
      <c r="M224" s="868">
        <f>IF(obp!M192="","",obp!M192)</f>
        <v>0</v>
      </c>
      <c r="N224" s="867" t="str">
        <f t="shared" si="78"/>
        <v/>
      </c>
      <c r="O224" s="867"/>
      <c r="P224" s="953" t="str">
        <f t="shared" si="79"/>
        <v/>
      </c>
      <c r="Q224" s="70"/>
      <c r="R224" s="739" t="str">
        <f t="shared" si="90"/>
        <v/>
      </c>
      <c r="S224" s="739" t="str">
        <f t="shared" si="80"/>
        <v/>
      </c>
      <c r="T224" s="740" t="str">
        <f t="shared" si="81"/>
        <v/>
      </c>
      <c r="U224" s="275"/>
      <c r="V224" s="288"/>
      <c r="W224" s="288"/>
      <c r="X224" s="288"/>
      <c r="Y224" s="908">
        <f t="shared" si="82"/>
        <v>0</v>
      </c>
      <c r="Z224" s="986">
        <f>tab!$D$62</f>
        <v>0.6</v>
      </c>
      <c r="AA224" s="944">
        <f t="shared" si="83"/>
        <v>0</v>
      </c>
      <c r="AB224" s="944">
        <f t="shared" si="84"/>
        <v>0</v>
      </c>
      <c r="AC224" s="944">
        <f t="shared" si="85"/>
        <v>0</v>
      </c>
      <c r="AD224" s="943" t="e">
        <f t="shared" si="86"/>
        <v>#VALUE!</v>
      </c>
      <c r="AE224" s="943">
        <f t="shared" si="87"/>
        <v>0</v>
      </c>
      <c r="AF224" s="916">
        <f>IF(H224&gt;8,tab!$D$63,tab!$D$65)</f>
        <v>0.5</v>
      </c>
      <c r="AG224" s="925">
        <f t="shared" si="88"/>
        <v>0</v>
      </c>
      <c r="AH224" s="940">
        <f t="shared" si="89"/>
        <v>0</v>
      </c>
      <c r="AM224" s="315"/>
    </row>
    <row r="225" spans="3:39" x14ac:dyDescent="0.2">
      <c r="C225" s="69"/>
      <c r="D225" s="75" t="str">
        <f>IF(obp!D193=0,"",obp!D193)</f>
        <v/>
      </c>
      <c r="E225" s="75" t="str">
        <f>IF(obp!E193=0,"-",obp!E193)</f>
        <v/>
      </c>
      <c r="F225" s="88" t="str">
        <f>IF(obp!F193="","",obp!F193+1)</f>
        <v/>
      </c>
      <c r="G225" s="290" t="str">
        <f>IF(obp!G193="","",obp!G193)</f>
        <v/>
      </c>
      <c r="H225" s="88" t="str">
        <f>IF(obp!H193=0,"",obp!H193)</f>
        <v/>
      </c>
      <c r="I225" s="99" t="str">
        <f>IF(J225="","",(IF(obp!I193+1&gt;LOOKUP(H225,schaal2019,regels2019),obp!I193,obp!I193+1)))</f>
        <v/>
      </c>
      <c r="J225" s="291" t="str">
        <f>IF(obp!J193="","",obp!J193)</f>
        <v/>
      </c>
      <c r="K225" s="304"/>
      <c r="L225" s="868">
        <f>IF(obp!L193="","",obp!L193)</f>
        <v>0</v>
      </c>
      <c r="M225" s="868">
        <f>IF(obp!M193="","",obp!M193)</f>
        <v>0</v>
      </c>
      <c r="N225" s="867" t="str">
        <f t="shared" si="78"/>
        <v/>
      </c>
      <c r="O225" s="867"/>
      <c r="P225" s="953" t="str">
        <f t="shared" si="79"/>
        <v/>
      </c>
      <c r="Q225" s="70"/>
      <c r="R225" s="739" t="str">
        <f t="shared" si="90"/>
        <v/>
      </c>
      <c r="S225" s="739" t="str">
        <f t="shared" si="80"/>
        <v/>
      </c>
      <c r="T225" s="740" t="str">
        <f t="shared" si="81"/>
        <v/>
      </c>
      <c r="U225" s="275"/>
      <c r="V225" s="288"/>
      <c r="W225" s="288"/>
      <c r="X225" s="288"/>
      <c r="Y225" s="908">
        <f t="shared" si="82"/>
        <v>0</v>
      </c>
      <c r="Z225" s="986">
        <f>tab!$D$62</f>
        <v>0.6</v>
      </c>
      <c r="AA225" s="944">
        <f t="shared" si="83"/>
        <v>0</v>
      </c>
      <c r="AB225" s="944">
        <f t="shared" si="84"/>
        <v>0</v>
      </c>
      <c r="AC225" s="944">
        <f t="shared" si="85"/>
        <v>0</v>
      </c>
      <c r="AD225" s="943" t="e">
        <f t="shared" si="86"/>
        <v>#VALUE!</v>
      </c>
      <c r="AE225" s="943">
        <f t="shared" si="87"/>
        <v>0</v>
      </c>
      <c r="AF225" s="916">
        <f>IF(H225&gt;8,tab!$D$63,tab!$D$65)</f>
        <v>0.5</v>
      </c>
      <c r="AG225" s="925">
        <f t="shared" si="88"/>
        <v>0</v>
      </c>
      <c r="AH225" s="940">
        <f t="shared" si="89"/>
        <v>0</v>
      </c>
      <c r="AM225" s="315"/>
    </row>
    <row r="226" spans="3:39" x14ac:dyDescent="0.2">
      <c r="C226" s="69"/>
      <c r="D226" s="75" t="str">
        <f>IF(obp!D194=0,"",obp!D194)</f>
        <v/>
      </c>
      <c r="E226" s="75" t="str">
        <f>IF(obp!E194=0,"-",obp!E194)</f>
        <v/>
      </c>
      <c r="F226" s="88" t="str">
        <f>IF(obp!F194="","",obp!F194+1)</f>
        <v/>
      </c>
      <c r="G226" s="290" t="str">
        <f>IF(obp!G194="","",obp!G194)</f>
        <v/>
      </c>
      <c r="H226" s="88" t="str">
        <f>IF(obp!H194=0,"",obp!H194)</f>
        <v/>
      </c>
      <c r="I226" s="99" t="str">
        <f>IF(J226="","",(IF(obp!I194+1&gt;LOOKUP(H226,schaal2019,regels2019),obp!I194,obp!I194+1)))</f>
        <v/>
      </c>
      <c r="J226" s="291" t="str">
        <f>IF(obp!J194="","",obp!J194)</f>
        <v/>
      </c>
      <c r="K226" s="304"/>
      <c r="L226" s="868">
        <f>IF(obp!L194="","",obp!L194)</f>
        <v>0</v>
      </c>
      <c r="M226" s="868">
        <f>IF(obp!M194="","",obp!M194)</f>
        <v>0</v>
      </c>
      <c r="N226" s="867" t="str">
        <f t="shared" si="78"/>
        <v/>
      </c>
      <c r="O226" s="867"/>
      <c r="P226" s="953" t="str">
        <f t="shared" si="79"/>
        <v/>
      </c>
      <c r="Q226" s="70"/>
      <c r="R226" s="739" t="str">
        <f t="shared" si="90"/>
        <v/>
      </c>
      <c r="S226" s="739" t="str">
        <f t="shared" si="80"/>
        <v/>
      </c>
      <c r="T226" s="740" t="str">
        <f t="shared" si="81"/>
        <v/>
      </c>
      <c r="U226" s="275"/>
      <c r="V226" s="288"/>
      <c r="W226" s="288"/>
      <c r="X226" s="288"/>
      <c r="Y226" s="908">
        <f t="shared" si="82"/>
        <v>0</v>
      </c>
      <c r="Z226" s="986">
        <f>tab!$D$62</f>
        <v>0.6</v>
      </c>
      <c r="AA226" s="944">
        <f t="shared" si="83"/>
        <v>0</v>
      </c>
      <c r="AB226" s="944">
        <f t="shared" si="84"/>
        <v>0</v>
      </c>
      <c r="AC226" s="944">
        <f t="shared" si="85"/>
        <v>0</v>
      </c>
      <c r="AD226" s="943" t="e">
        <f t="shared" si="86"/>
        <v>#VALUE!</v>
      </c>
      <c r="AE226" s="943">
        <f t="shared" si="87"/>
        <v>0</v>
      </c>
      <c r="AF226" s="916">
        <f>IF(H226&gt;8,tab!$D$63,tab!$D$65)</f>
        <v>0.5</v>
      </c>
      <c r="AG226" s="925">
        <f t="shared" si="88"/>
        <v>0</v>
      </c>
      <c r="AH226" s="940">
        <f t="shared" si="89"/>
        <v>0</v>
      </c>
      <c r="AM226" s="315"/>
    </row>
    <row r="227" spans="3:39" x14ac:dyDescent="0.2">
      <c r="C227" s="69"/>
      <c r="D227" s="75" t="str">
        <f>IF(obp!D195=0,"",obp!D195)</f>
        <v/>
      </c>
      <c r="E227" s="75" t="str">
        <f>IF(obp!E195=0,"-",obp!E195)</f>
        <v/>
      </c>
      <c r="F227" s="88" t="str">
        <f>IF(obp!F195="","",obp!F195+1)</f>
        <v/>
      </c>
      <c r="G227" s="290" t="str">
        <f>IF(obp!G195="","",obp!G195)</f>
        <v/>
      </c>
      <c r="H227" s="88" t="str">
        <f>IF(obp!H195=0,"",obp!H195)</f>
        <v/>
      </c>
      <c r="I227" s="99" t="str">
        <f>IF(J227="","",(IF(obp!I195+1&gt;LOOKUP(H227,schaal2019,regels2019),obp!I195,obp!I195+1)))</f>
        <v/>
      </c>
      <c r="J227" s="291" t="str">
        <f>IF(obp!J195="","",obp!J195)</f>
        <v/>
      </c>
      <c r="K227" s="304"/>
      <c r="L227" s="868">
        <f>IF(obp!L195="","",obp!L195)</f>
        <v>0</v>
      </c>
      <c r="M227" s="868">
        <f>IF(obp!M195="","",obp!M195)</f>
        <v>0</v>
      </c>
      <c r="N227" s="867" t="str">
        <f t="shared" si="78"/>
        <v/>
      </c>
      <c r="O227" s="867"/>
      <c r="P227" s="953" t="str">
        <f t="shared" si="79"/>
        <v/>
      </c>
      <c r="Q227" s="70"/>
      <c r="R227" s="739" t="str">
        <f t="shared" si="90"/>
        <v/>
      </c>
      <c r="S227" s="739" t="str">
        <f t="shared" si="80"/>
        <v/>
      </c>
      <c r="T227" s="740" t="str">
        <f t="shared" si="81"/>
        <v/>
      </c>
      <c r="U227" s="275"/>
      <c r="V227" s="288"/>
      <c r="W227" s="288"/>
      <c r="X227" s="288"/>
      <c r="Y227" s="908">
        <f t="shared" si="82"/>
        <v>0</v>
      </c>
      <c r="Z227" s="986">
        <f>tab!$D$62</f>
        <v>0.6</v>
      </c>
      <c r="AA227" s="944">
        <f t="shared" si="83"/>
        <v>0</v>
      </c>
      <c r="AB227" s="944">
        <f t="shared" si="84"/>
        <v>0</v>
      </c>
      <c r="AC227" s="944">
        <f t="shared" si="85"/>
        <v>0</v>
      </c>
      <c r="AD227" s="943" t="e">
        <f t="shared" si="86"/>
        <v>#VALUE!</v>
      </c>
      <c r="AE227" s="943">
        <f t="shared" si="87"/>
        <v>0</v>
      </c>
      <c r="AF227" s="916">
        <f>IF(H227&gt;8,tab!$D$63,tab!$D$65)</f>
        <v>0.5</v>
      </c>
      <c r="AG227" s="925">
        <f t="shared" si="88"/>
        <v>0</v>
      </c>
      <c r="AH227" s="940">
        <f t="shared" si="89"/>
        <v>0</v>
      </c>
      <c r="AM227" s="315"/>
    </row>
    <row r="228" spans="3:39" x14ac:dyDescent="0.2">
      <c r="C228" s="69"/>
      <c r="D228" s="75" t="str">
        <f>IF(obp!D196=0,"",obp!D196)</f>
        <v/>
      </c>
      <c r="E228" s="75" t="str">
        <f>IF(obp!E196=0,"-",obp!E196)</f>
        <v/>
      </c>
      <c r="F228" s="88" t="str">
        <f>IF(obp!F196="","",obp!F196+1)</f>
        <v/>
      </c>
      <c r="G228" s="290" t="str">
        <f>IF(obp!G196="","",obp!G196)</f>
        <v/>
      </c>
      <c r="H228" s="88" t="str">
        <f>IF(obp!H196=0,"",obp!H196)</f>
        <v/>
      </c>
      <c r="I228" s="99" t="str">
        <f>IF(J228="","",(IF(obp!I196+1&gt;LOOKUP(H228,schaal2019,regels2019),obp!I196,obp!I196+1)))</f>
        <v/>
      </c>
      <c r="J228" s="291" t="str">
        <f>IF(obp!J196="","",obp!J196)</f>
        <v/>
      </c>
      <c r="K228" s="304"/>
      <c r="L228" s="868">
        <f>IF(obp!L196="","",obp!L196)</f>
        <v>0</v>
      </c>
      <c r="M228" s="868">
        <f>IF(obp!M196="","",obp!M196)</f>
        <v>0</v>
      </c>
      <c r="N228" s="867" t="str">
        <f t="shared" si="78"/>
        <v/>
      </c>
      <c r="O228" s="867"/>
      <c r="P228" s="953" t="str">
        <f t="shared" si="79"/>
        <v/>
      </c>
      <c r="Q228" s="70"/>
      <c r="R228" s="739" t="str">
        <f t="shared" si="90"/>
        <v/>
      </c>
      <c r="S228" s="739" t="str">
        <f t="shared" si="80"/>
        <v/>
      </c>
      <c r="T228" s="740" t="str">
        <f t="shared" si="81"/>
        <v/>
      </c>
      <c r="U228" s="275"/>
      <c r="V228" s="288"/>
      <c r="W228" s="288"/>
      <c r="X228" s="288"/>
      <c r="Y228" s="908">
        <f t="shared" si="82"/>
        <v>0</v>
      </c>
      <c r="Z228" s="986">
        <f>tab!$D$62</f>
        <v>0.6</v>
      </c>
      <c r="AA228" s="944">
        <f t="shared" si="83"/>
        <v>0</v>
      </c>
      <c r="AB228" s="944">
        <f t="shared" si="84"/>
        <v>0</v>
      </c>
      <c r="AC228" s="944">
        <f t="shared" si="85"/>
        <v>0</v>
      </c>
      <c r="AD228" s="943" t="e">
        <f t="shared" si="86"/>
        <v>#VALUE!</v>
      </c>
      <c r="AE228" s="943">
        <f t="shared" si="87"/>
        <v>0</v>
      </c>
      <c r="AF228" s="916">
        <f>IF(H228&gt;8,tab!$D$63,tab!$D$65)</f>
        <v>0.5</v>
      </c>
      <c r="AG228" s="925">
        <f t="shared" si="88"/>
        <v>0</v>
      </c>
      <c r="AH228" s="940">
        <f t="shared" si="89"/>
        <v>0</v>
      </c>
      <c r="AM228" s="315"/>
    </row>
    <row r="229" spans="3:39" x14ac:dyDescent="0.2">
      <c r="C229" s="69"/>
      <c r="D229" s="89"/>
      <c r="E229" s="89"/>
      <c r="F229" s="98"/>
      <c r="G229" s="299"/>
      <c r="H229" s="98"/>
      <c r="I229" s="362"/>
      <c r="J229" s="742">
        <f>SUM(J209:J228)</f>
        <v>0</v>
      </c>
      <c r="K229" s="292"/>
      <c r="L229" s="869">
        <f>SUM(L209:L228)</f>
        <v>0</v>
      </c>
      <c r="M229" s="869">
        <f>SUM(M209:M228)</f>
        <v>0</v>
      </c>
      <c r="N229" s="869">
        <f>SUM(N209:N228)</f>
        <v>0</v>
      </c>
      <c r="O229" s="869"/>
      <c r="P229" s="869">
        <f>SUM(P209:P228)</f>
        <v>0</v>
      </c>
      <c r="Q229" s="292"/>
      <c r="R229" s="743">
        <f>SUM(R209:R228)</f>
        <v>0</v>
      </c>
      <c r="S229" s="743">
        <f>SUM(S209:S228)</f>
        <v>0</v>
      </c>
      <c r="T229" s="743">
        <f>SUM(T209:T228)</f>
        <v>0</v>
      </c>
      <c r="U229" s="106"/>
      <c r="Y229" s="909">
        <f>SUM(Y209:Y228)</f>
        <v>2979</v>
      </c>
      <c r="Z229" s="983"/>
      <c r="AA229" s="983"/>
      <c r="AB229" s="983"/>
      <c r="AC229" s="983"/>
      <c r="AD229" s="917" t="e">
        <f>SUM(AD209:AD228)</f>
        <v>#VALUE!</v>
      </c>
      <c r="AE229" s="930">
        <f>SUM(AE209:AE228)</f>
        <v>0</v>
      </c>
      <c r="AF229" s="909"/>
      <c r="AG229" s="928">
        <f>SUM(AG209:AG228)</f>
        <v>0</v>
      </c>
      <c r="AH229" s="937">
        <f>SUM(AH209:AH228)</f>
        <v>0</v>
      </c>
    </row>
  </sheetData>
  <sheetProtection algorithmName="SHA-512" hashValue="IgojMnwGC3Z6d1TV29RpcjWGV4fBJKaiSL77CL1A/Jb3DroOqQIuDfCNh3kwDot2evVJopckcYpIPffdZyGvRA==" saltValue="+Jg/gWvfd5GB4NE4/SngTA==" spinCount="100000" sheet="1" objects="1" scenarios="1"/>
  <phoneticPr fontId="0" type="noConversion"/>
  <dataValidations count="4">
    <dataValidation type="list" allowBlank="1" showInputMessage="1" showErrorMessage="1" sqref="H71:H75">
      <formula1>"LIOa,LIOb,J1,J2,J3,J4,J5,J6,1,2,3,4,5,6,7,8,9,10,11,12,13,14,15,LA,LB,LC,LD,LE,ID1,ID2,ID3"</formula1>
    </dataValidation>
    <dataValidation type="list" allowBlank="1" showInputMessage="1" showErrorMessage="1" sqref="H38:H43 H8:H10">
      <formula1>"LA,LB,LC,LD,LE"</formula1>
    </dataValidation>
    <dataValidation type="list" allowBlank="1" showInputMessage="1" showErrorMessage="1" sqref="H113:H132 H81:H100 H49:H68 H145:H164 H17:H35 H177:H196 H209:H228">
      <formula1>"LIOa,LIOb,1,2,3,4,5,6,7,8,9,10,11,12,13,14,ID1,ID2,ID3"</formula1>
    </dataValidation>
    <dataValidation type="list" allowBlank="1" showInputMessage="1" showErrorMessage="1" sqref="H16">
      <formula1>"LIOa,LIOb,1,2,3,4,5,6,7,8,9,10,11,12,13,14,15,16,ID1,ID2,ID3"</formula1>
    </dataValidation>
  </dataValidations>
  <pageMargins left="0.74803149606299213" right="0.74803149606299213" top="0.98425196850393704" bottom="0.98425196850393704" header="0.51181102362204722" footer="0.51181102362204722"/>
  <pageSetup paperSize="9" scale="54" orientation="portrait" r:id="rId1"/>
  <headerFooter alignWithMargins="0">
    <oddHeader>&amp;L&amp;"Arial,Vet"&amp;F&amp;R&amp;"Arial,Vet"&amp;A</oddHeader>
    <oddFooter>&amp;L&amp;"Arial,Vet"PO-Raad&amp;C&amp;"Arial,Vet"&amp;D&amp;R&amp;"Arial,Vet"pagina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dimension ref="B1:R1560"/>
  <sheetViews>
    <sheetView showGridLines="0" zoomScale="85" zoomScaleNormal="85" zoomScaleSheetLayoutView="85" workbookViewId="0">
      <pane ySplit="10" topLeftCell="A11" activePane="bottomLeft" state="frozen"/>
      <selection activeCell="B2" sqref="B2"/>
      <selection pane="bottomLeft" activeCell="B2" sqref="B2"/>
    </sheetView>
  </sheetViews>
  <sheetFormatPr defaultColWidth="9.140625" defaultRowHeight="12.75" x14ac:dyDescent="0.2"/>
  <cols>
    <col min="1" max="1" width="3.7109375" style="48" customWidth="1"/>
    <col min="2" max="3" width="2.7109375" style="48" customWidth="1"/>
    <col min="4" max="4" width="45.7109375" style="48" customWidth="1"/>
    <col min="5" max="5" width="1.7109375" style="48" customWidth="1"/>
    <col min="6" max="6" width="8.7109375" style="127" customWidth="1"/>
    <col min="7" max="7" width="2.7109375" style="48" customWidth="1"/>
    <col min="8" max="11" width="12.85546875" style="214" customWidth="1"/>
    <col min="12" max="13" width="13" style="48" customWidth="1"/>
    <col min="14" max="16" width="2.7109375" style="48" customWidth="1"/>
    <col min="17" max="25" width="11.7109375" style="48" customWidth="1"/>
    <col min="26" max="16384" width="9.140625" style="48"/>
  </cols>
  <sheetData>
    <row r="1" spans="2:16" ht="12.75" customHeight="1" x14ac:dyDescent="0.2"/>
    <row r="2" spans="2:16" x14ac:dyDescent="0.2">
      <c r="B2" s="43"/>
      <c r="C2" s="44"/>
      <c r="D2" s="44"/>
      <c r="E2" s="44"/>
      <c r="F2" s="128"/>
      <c r="G2" s="44"/>
      <c r="H2" s="222"/>
      <c r="I2" s="222"/>
      <c r="J2" s="222"/>
      <c r="K2" s="222"/>
      <c r="L2" s="44"/>
      <c r="M2" s="44"/>
      <c r="N2" s="44"/>
      <c r="O2" s="47"/>
    </row>
    <row r="3" spans="2:16" x14ac:dyDescent="0.2">
      <c r="B3" s="49"/>
      <c r="C3" s="50"/>
      <c r="D3" s="50"/>
      <c r="E3" s="50"/>
      <c r="F3" s="129"/>
      <c r="G3" s="50"/>
      <c r="H3" s="227"/>
      <c r="I3" s="227"/>
      <c r="J3" s="227"/>
      <c r="K3" s="227"/>
      <c r="L3" s="50"/>
      <c r="M3" s="50"/>
      <c r="N3" s="50"/>
      <c r="O3" s="53"/>
    </row>
    <row r="4" spans="2:16" s="130" customFormat="1" ht="18.75" x14ac:dyDescent="0.3">
      <c r="B4" s="60"/>
      <c r="C4" s="673" t="s">
        <v>353</v>
      </c>
      <c r="D4" s="62"/>
      <c r="E4" s="62"/>
      <c r="F4" s="131"/>
      <c r="G4" s="62"/>
      <c r="H4" s="372"/>
      <c r="I4" s="372"/>
      <c r="J4" s="372"/>
      <c r="K4" s="372"/>
      <c r="L4" s="62"/>
      <c r="M4" s="62"/>
      <c r="N4" s="673"/>
      <c r="O4" s="86"/>
      <c r="P4" s="373"/>
    </row>
    <row r="5" spans="2:16" s="130" customFormat="1" ht="18.75" x14ac:dyDescent="0.3">
      <c r="B5" s="60"/>
      <c r="C5" s="61" t="str">
        <f>geg!G12</f>
        <v>voorbeeld Basisschool</v>
      </c>
      <c r="D5" s="62"/>
      <c r="E5" s="62"/>
      <c r="F5" s="131"/>
      <c r="G5" s="62"/>
      <c r="H5" s="372"/>
      <c r="I5" s="372"/>
      <c r="J5" s="372"/>
      <c r="K5" s="372"/>
      <c r="L5" s="62"/>
      <c r="M5" s="62"/>
      <c r="N5" s="61"/>
      <c r="O5" s="86"/>
      <c r="P5" s="373"/>
    </row>
    <row r="6" spans="2:16" s="130" customFormat="1" ht="12.75" customHeight="1" x14ac:dyDescent="0.2">
      <c r="B6" s="63"/>
      <c r="C6" s="62"/>
      <c r="D6" s="62"/>
      <c r="E6" s="62"/>
      <c r="F6" s="131"/>
      <c r="G6" s="62"/>
      <c r="H6" s="372"/>
      <c r="I6" s="372"/>
      <c r="J6" s="372"/>
      <c r="K6" s="372"/>
      <c r="L6" s="62"/>
      <c r="M6" s="62"/>
      <c r="N6" s="62"/>
      <c r="O6" s="86"/>
    </row>
    <row r="7" spans="2:16" s="130" customFormat="1" ht="12.75" customHeight="1" x14ac:dyDescent="0.2">
      <c r="B7" s="63"/>
      <c r="C7" s="62"/>
      <c r="D7" s="62"/>
      <c r="E7" s="62"/>
      <c r="F7" s="131"/>
      <c r="G7" s="62"/>
      <c r="H7" s="372"/>
      <c r="I7" s="372"/>
      <c r="J7" s="372"/>
      <c r="K7" s="372"/>
      <c r="L7" s="62"/>
      <c r="M7" s="62"/>
      <c r="N7" s="62"/>
      <c r="O7" s="86"/>
    </row>
    <row r="8" spans="2:16" s="81" customFormat="1" ht="12.75" customHeight="1" x14ac:dyDescent="0.2">
      <c r="B8" s="79"/>
      <c r="C8" s="57"/>
      <c r="D8" s="374"/>
      <c r="E8" s="375"/>
      <c r="F8" s="807" t="s">
        <v>246</v>
      </c>
      <c r="G8" s="808"/>
      <c r="H8" s="688">
        <f>tab!E4</f>
        <v>2019</v>
      </c>
      <c r="I8" s="688">
        <f>tab!F4</f>
        <v>2020</v>
      </c>
      <c r="J8" s="688">
        <f>tab!G4</f>
        <v>2021</v>
      </c>
      <c r="K8" s="688">
        <f>tab!H4</f>
        <v>2022</v>
      </c>
      <c r="L8" s="688">
        <f>tab!I4</f>
        <v>2023</v>
      </c>
      <c r="M8" s="809">
        <f>L8+1</f>
        <v>2024</v>
      </c>
      <c r="N8" s="57"/>
      <c r="O8" s="759"/>
    </row>
    <row r="9" spans="2:16" s="81" customFormat="1" ht="12.75" customHeight="1" x14ac:dyDescent="0.2">
      <c r="B9" s="79"/>
      <c r="C9" s="57"/>
      <c r="D9" s="80"/>
      <c r="E9" s="57"/>
      <c r="F9" s="689" t="s">
        <v>337</v>
      </c>
      <c r="G9" s="687"/>
      <c r="H9" s="688">
        <f>H8-1</f>
        <v>2018</v>
      </c>
      <c r="I9" s="688">
        <f>H9+1</f>
        <v>2019</v>
      </c>
      <c r="J9" s="688">
        <f>I9+1</f>
        <v>2020</v>
      </c>
      <c r="K9" s="688">
        <f>J9+1</f>
        <v>2021</v>
      </c>
      <c r="L9" s="688">
        <f>K9+1</f>
        <v>2022</v>
      </c>
      <c r="M9" s="688">
        <f>L9+1</f>
        <v>2023</v>
      </c>
      <c r="N9" s="57"/>
      <c r="O9" s="760"/>
    </row>
    <row r="10" spans="2:16" ht="12.75" customHeight="1" x14ac:dyDescent="0.2">
      <c r="B10" s="49"/>
      <c r="C10" s="50"/>
      <c r="D10" s="51"/>
      <c r="E10" s="376"/>
      <c r="F10" s="52"/>
      <c r="G10" s="376"/>
      <c r="H10" s="377"/>
      <c r="I10" s="377"/>
      <c r="J10" s="377"/>
      <c r="K10" s="377"/>
      <c r="L10" s="378"/>
      <c r="M10" s="378"/>
      <c r="N10" s="50"/>
      <c r="O10" s="379"/>
    </row>
    <row r="11" spans="2:16" ht="12.75" customHeight="1" x14ac:dyDescent="0.2">
      <c r="B11" s="116"/>
      <c r="C11" s="117"/>
      <c r="D11" s="380"/>
      <c r="E11" s="103"/>
      <c r="F11" s="132"/>
      <c r="G11" s="103"/>
      <c r="H11" s="273"/>
      <c r="I11" s="381"/>
      <c r="J11" s="381"/>
      <c r="K11" s="381"/>
      <c r="L11" s="67"/>
      <c r="M11" s="67"/>
      <c r="N11" s="117"/>
      <c r="O11" s="53"/>
      <c r="P11" s="134"/>
    </row>
    <row r="12" spans="2:16" s="81" customFormat="1" ht="12.75" customHeight="1" x14ac:dyDescent="0.2">
      <c r="B12" s="382"/>
      <c r="C12" s="383"/>
      <c r="D12" s="690" t="s">
        <v>251</v>
      </c>
      <c r="E12" s="744"/>
      <c r="F12" s="699"/>
      <c r="G12" s="342"/>
      <c r="H12" s="384"/>
      <c r="I12" s="385"/>
      <c r="J12" s="385"/>
      <c r="K12" s="385"/>
      <c r="L12" s="194"/>
      <c r="M12" s="194"/>
      <c r="N12" s="383"/>
      <c r="O12" s="58"/>
      <c r="P12" s="386"/>
    </row>
    <row r="13" spans="2:16" ht="12.75" customHeight="1" x14ac:dyDescent="0.2">
      <c r="B13" s="116"/>
      <c r="C13" s="121"/>
      <c r="D13" s="694"/>
      <c r="E13" s="744"/>
      <c r="F13" s="702" t="s">
        <v>116</v>
      </c>
      <c r="G13" s="70"/>
      <c r="H13" s="387"/>
      <c r="I13" s="388"/>
      <c r="J13" s="388"/>
      <c r="K13" s="388"/>
      <c r="L13" s="71"/>
      <c r="M13" s="71"/>
      <c r="N13" s="121"/>
      <c r="O13" s="53"/>
      <c r="P13" s="134"/>
    </row>
    <row r="14" spans="2:16" ht="12.75" customHeight="1" x14ac:dyDescent="0.2">
      <c r="B14" s="116"/>
      <c r="C14" s="121"/>
      <c r="D14" s="399" t="s">
        <v>29</v>
      </c>
      <c r="E14" s="744"/>
      <c r="F14" s="699"/>
      <c r="G14" s="70"/>
      <c r="H14" s="387"/>
      <c r="I14" s="388"/>
      <c r="J14" s="388"/>
      <c r="K14" s="388"/>
      <c r="L14" s="71"/>
      <c r="M14" s="71"/>
      <c r="N14" s="121"/>
      <c r="O14" s="53"/>
      <c r="P14" s="134"/>
    </row>
    <row r="15" spans="2:16" s="137" customFormat="1" ht="12.75" customHeight="1" x14ac:dyDescent="0.2">
      <c r="B15" s="138"/>
      <c r="C15" s="139"/>
      <c r="D15" s="839" t="s">
        <v>143</v>
      </c>
      <c r="E15" s="140"/>
      <c r="F15" s="87"/>
      <c r="G15" s="140"/>
      <c r="H15" s="775">
        <f>IF(geg!G27=0,0,VLOOKUP(geg!G53,MI2019groep,2,FALSE))</f>
        <v>120068</v>
      </c>
      <c r="I15" s="775">
        <f>IF(geg!H27=0,0,VLOOKUP(geg!H53,MI2019groep,2,FALSE))</f>
        <v>104206</v>
      </c>
      <c r="J15" s="775">
        <f>IF(geg!I27=0,0,VLOOKUP(geg!I53,MI2019groep,2,FALSE))</f>
        <v>104206</v>
      </c>
      <c r="K15" s="775">
        <f>IF(geg!J27=0,0,VLOOKUP(geg!J53,MI2019groep,2,FALSE))</f>
        <v>104206</v>
      </c>
      <c r="L15" s="775">
        <f>IF(geg!K27=0,0,VLOOKUP(geg!K53,MI2019groep,2,FALSE))</f>
        <v>104206</v>
      </c>
      <c r="M15" s="775">
        <f>IF(geg!L27=0,0,VLOOKUP(geg!L53,MI2019groep,2,FALSE))</f>
        <v>104206</v>
      </c>
      <c r="N15" s="139"/>
      <c r="O15" s="389"/>
    </row>
    <row r="16" spans="2:16" ht="12.75" customHeight="1" x14ac:dyDescent="0.2">
      <c r="B16" s="49"/>
      <c r="C16" s="69"/>
      <c r="D16" s="839" t="s">
        <v>144</v>
      </c>
      <c r="E16" s="71"/>
      <c r="F16" s="74"/>
      <c r="G16" s="71"/>
      <c r="H16" s="775">
        <f>IF(geg!G37=0,0,(tab!$D70+(tab!$E70*geg!G37)))</f>
        <v>125786.51000000001</v>
      </c>
      <c r="I16" s="775">
        <f>IF(geg!H37=0,0,(tab!$I70+(tab!$J70*geg!H37)))</f>
        <v>125786.51000000001</v>
      </c>
      <c r="J16" s="775">
        <f>IF(geg!I37=0,0,(tab!$I70+(tab!$J70*geg!I37)))</f>
        <v>125786.51000000001</v>
      </c>
      <c r="K16" s="775">
        <f>IF(geg!J37=0,0,(tab!$I70+(tab!$J70*geg!J37)))</f>
        <v>125786.51000000001</v>
      </c>
      <c r="L16" s="775">
        <f>IF(geg!K37=0,0,(tab!$I70+(tab!$J70*geg!K37)))</f>
        <v>125786.51000000001</v>
      </c>
      <c r="M16" s="775">
        <f>IF(geg!L37=0,0,(tab!$I70+(tab!$J70*geg!L37)))</f>
        <v>125786.51000000001</v>
      </c>
      <c r="N16" s="69"/>
      <c r="O16" s="390"/>
    </row>
    <row r="17" spans="2:18" ht="12.75" customHeight="1" x14ac:dyDescent="0.2">
      <c r="B17" s="49"/>
      <c r="C17" s="69"/>
      <c r="D17" s="839" t="s">
        <v>336</v>
      </c>
      <c r="E17" s="153"/>
      <c r="F17" s="74"/>
      <c r="G17" s="153"/>
      <c r="H17" s="1153">
        <f>IF(geg!G50=0,0,tab!$D71+geg!G50*tab!$E71)</f>
        <v>3325.6400000000003</v>
      </c>
      <c r="I17" s="1153">
        <f>IF(geg!H50=0,0,tab!$D71+geg!H50*tab!$E71)</f>
        <v>3325.6400000000003</v>
      </c>
      <c r="J17" s="1153">
        <f>IF(geg!I50=0,0,tab!$D71+geg!I50*tab!$E71)</f>
        <v>3325.6400000000003</v>
      </c>
      <c r="K17" s="1153">
        <f>IF(geg!J50=0,0,tab!$D71+geg!J50*tab!$E71)</f>
        <v>3325.6400000000003</v>
      </c>
      <c r="L17" s="1153">
        <f>IF(geg!K50=0,0,tab!$D71+geg!K50*tab!$E71)</f>
        <v>3325.6400000000003</v>
      </c>
      <c r="M17" s="1153">
        <f>IF(geg!L50=0,0,tab!$D71+geg!L50*tab!$E71)</f>
        <v>3325.6400000000003</v>
      </c>
      <c r="N17" s="69"/>
      <c r="O17" s="390"/>
    </row>
    <row r="18" spans="2:18" s="204" customFormat="1" ht="12.75" customHeight="1" x14ac:dyDescent="0.2">
      <c r="B18" s="94"/>
      <c r="C18" s="95"/>
      <c r="D18" s="842"/>
      <c r="E18" s="71"/>
      <c r="F18" s="151">
        <v>0</v>
      </c>
      <c r="G18" s="71"/>
      <c r="H18" s="774">
        <f t="shared" ref="H18:M18" si="0">SUM(H15:H17)</f>
        <v>249180.15000000002</v>
      </c>
      <c r="I18" s="774">
        <f t="shared" si="0"/>
        <v>233318.15000000002</v>
      </c>
      <c r="J18" s="774">
        <f t="shared" si="0"/>
        <v>233318.15000000002</v>
      </c>
      <c r="K18" s="774">
        <f t="shared" si="0"/>
        <v>233318.15000000002</v>
      </c>
      <c r="L18" s="774">
        <f t="shared" si="0"/>
        <v>233318.15000000002</v>
      </c>
      <c r="M18" s="774">
        <f t="shared" si="0"/>
        <v>233318.15000000002</v>
      </c>
      <c r="N18" s="95"/>
      <c r="O18" s="391"/>
    </row>
    <row r="19" spans="2:18" s="204" customFormat="1" ht="12.75" customHeight="1" x14ac:dyDescent="0.2">
      <c r="B19" s="94"/>
      <c r="C19" s="95"/>
      <c r="D19" s="838" t="s">
        <v>504</v>
      </c>
      <c r="E19" s="71"/>
      <c r="F19" s="74"/>
      <c r="G19" s="71"/>
      <c r="H19" s="392"/>
      <c r="I19" s="392"/>
      <c r="J19" s="392"/>
      <c r="K19" s="392"/>
      <c r="L19" s="393"/>
      <c r="M19" s="393"/>
      <c r="N19" s="95"/>
      <c r="O19" s="391"/>
      <c r="R19" s="329"/>
    </row>
    <row r="20" spans="2:18" s="204" customFormat="1" ht="12.75" customHeight="1" x14ac:dyDescent="0.2">
      <c r="B20" s="94"/>
      <c r="C20" s="95"/>
      <c r="D20" s="850" t="s">
        <v>6937</v>
      </c>
      <c r="E20" s="71"/>
      <c r="F20" s="151">
        <v>0</v>
      </c>
      <c r="G20" s="71"/>
      <c r="H20" s="1152">
        <f>VLOOKUP(geg!G39,IGB,5,TRUE)</f>
        <v>0</v>
      </c>
      <c r="I20" s="1152">
        <f>H20</f>
        <v>0</v>
      </c>
      <c r="J20" s="1152">
        <f>I20</f>
        <v>0</v>
      </c>
      <c r="K20" s="1152">
        <f>J20</f>
        <v>0</v>
      </c>
      <c r="L20" s="1152">
        <f>K20</f>
        <v>0</v>
      </c>
      <c r="M20" s="1152">
        <f>L20</f>
        <v>0</v>
      </c>
      <c r="N20" s="95"/>
      <c r="O20" s="391"/>
    </row>
    <row r="21" spans="2:18" s="204" customFormat="1" ht="12.75" customHeight="1" x14ac:dyDescent="0.2">
      <c r="B21" s="94"/>
      <c r="C21" s="95"/>
      <c r="D21" s="848"/>
      <c r="E21" s="71"/>
      <c r="F21" s="151">
        <v>0</v>
      </c>
      <c r="G21" s="71"/>
      <c r="H21" s="394">
        <v>0</v>
      </c>
      <c r="I21" s="394">
        <f t="shared" ref="I21:M23" si="1">H21</f>
        <v>0</v>
      </c>
      <c r="J21" s="394">
        <f t="shared" si="1"/>
        <v>0</v>
      </c>
      <c r="K21" s="394">
        <f t="shared" si="1"/>
        <v>0</v>
      </c>
      <c r="L21" s="394">
        <f t="shared" si="1"/>
        <v>0</v>
      </c>
      <c r="M21" s="394">
        <f t="shared" si="1"/>
        <v>0</v>
      </c>
      <c r="N21" s="95"/>
      <c r="O21" s="391"/>
    </row>
    <row r="22" spans="2:18" s="204" customFormat="1" ht="12.75" customHeight="1" x14ac:dyDescent="0.2">
      <c r="B22" s="94"/>
      <c r="C22" s="95"/>
      <c r="D22" s="848"/>
      <c r="E22" s="71"/>
      <c r="F22" s="151">
        <v>0</v>
      </c>
      <c r="G22" s="71"/>
      <c r="H22" s="394">
        <v>0</v>
      </c>
      <c r="I22" s="394">
        <f t="shared" si="1"/>
        <v>0</v>
      </c>
      <c r="J22" s="394">
        <f t="shared" si="1"/>
        <v>0</v>
      </c>
      <c r="K22" s="394">
        <f t="shared" si="1"/>
        <v>0</v>
      </c>
      <c r="L22" s="394">
        <f t="shared" si="1"/>
        <v>0</v>
      </c>
      <c r="M22" s="394">
        <f t="shared" si="1"/>
        <v>0</v>
      </c>
      <c r="N22" s="95"/>
      <c r="O22" s="391"/>
    </row>
    <row r="23" spans="2:18" s="204" customFormat="1" ht="12.75" customHeight="1" x14ac:dyDescent="0.2">
      <c r="B23" s="94"/>
      <c r="C23" s="95"/>
      <c r="D23" s="847"/>
      <c r="E23" s="71"/>
      <c r="F23" s="151">
        <v>0</v>
      </c>
      <c r="G23" s="71"/>
      <c r="H23" s="394">
        <v>0</v>
      </c>
      <c r="I23" s="394">
        <f t="shared" si="1"/>
        <v>0</v>
      </c>
      <c r="J23" s="394">
        <f t="shared" si="1"/>
        <v>0</v>
      </c>
      <c r="K23" s="394">
        <f t="shared" si="1"/>
        <v>0</v>
      </c>
      <c r="L23" s="394">
        <f t="shared" si="1"/>
        <v>0</v>
      </c>
      <c r="M23" s="394">
        <f t="shared" si="1"/>
        <v>0</v>
      </c>
      <c r="N23" s="95"/>
      <c r="O23" s="391"/>
    </row>
    <row r="24" spans="2:18" s="204" customFormat="1" ht="12.75" customHeight="1" x14ac:dyDescent="0.2">
      <c r="B24" s="94"/>
      <c r="C24" s="95"/>
      <c r="D24" s="842"/>
      <c r="E24" s="71"/>
      <c r="F24" s="74"/>
      <c r="G24" s="71"/>
      <c r="H24" s="774">
        <f t="shared" ref="H24:M24" si="2">SUM(H20:H23)</f>
        <v>0</v>
      </c>
      <c r="I24" s="774">
        <f t="shared" si="2"/>
        <v>0</v>
      </c>
      <c r="J24" s="774">
        <f t="shared" si="2"/>
        <v>0</v>
      </c>
      <c r="K24" s="774">
        <f t="shared" si="2"/>
        <v>0</v>
      </c>
      <c r="L24" s="774">
        <f t="shared" si="2"/>
        <v>0</v>
      </c>
      <c r="M24" s="774">
        <f t="shared" si="2"/>
        <v>0</v>
      </c>
      <c r="N24" s="95"/>
      <c r="O24" s="391"/>
    </row>
    <row r="25" spans="2:18" s="204" customFormat="1" ht="12.75" customHeight="1" x14ac:dyDescent="0.2">
      <c r="B25" s="94"/>
      <c r="C25" s="95"/>
      <c r="D25" s="399" t="s">
        <v>543</v>
      </c>
      <c r="E25" s="71"/>
      <c r="F25" s="74"/>
      <c r="G25" s="71"/>
      <c r="H25" s="392"/>
      <c r="I25" s="392"/>
      <c r="J25" s="392"/>
      <c r="K25" s="392"/>
      <c r="L25" s="393"/>
      <c r="M25" s="393"/>
      <c r="N25" s="95"/>
      <c r="O25" s="391"/>
    </row>
    <row r="26" spans="2:18" s="204" customFormat="1" ht="12.75" customHeight="1" x14ac:dyDescent="0.2">
      <c r="B26" s="94"/>
      <c r="C26" s="95"/>
      <c r="D26" s="848"/>
      <c r="E26" s="71"/>
      <c r="F26" s="98"/>
      <c r="G26" s="71"/>
      <c r="H26" s="394">
        <v>0</v>
      </c>
      <c r="I26" s="394">
        <f t="shared" ref="I26:M29" si="3">H26</f>
        <v>0</v>
      </c>
      <c r="J26" s="394">
        <f t="shared" si="3"/>
        <v>0</v>
      </c>
      <c r="K26" s="394">
        <f t="shared" si="3"/>
        <v>0</v>
      </c>
      <c r="L26" s="394">
        <f t="shared" si="3"/>
        <v>0</v>
      </c>
      <c r="M26" s="394">
        <f t="shared" si="3"/>
        <v>0</v>
      </c>
      <c r="N26" s="95"/>
      <c r="O26" s="391"/>
    </row>
    <row r="27" spans="2:18" s="204" customFormat="1" ht="12.75" customHeight="1" x14ac:dyDescent="0.2">
      <c r="B27" s="94"/>
      <c r="C27" s="95"/>
      <c r="D27" s="848"/>
      <c r="E27" s="71"/>
      <c r="F27" s="74"/>
      <c r="G27" s="71"/>
      <c r="H27" s="394">
        <v>0</v>
      </c>
      <c r="I27" s="394">
        <f t="shared" si="3"/>
        <v>0</v>
      </c>
      <c r="J27" s="394">
        <f t="shared" si="3"/>
        <v>0</v>
      </c>
      <c r="K27" s="394">
        <f t="shared" si="3"/>
        <v>0</v>
      </c>
      <c r="L27" s="394">
        <f t="shared" si="3"/>
        <v>0</v>
      </c>
      <c r="M27" s="394">
        <f t="shared" si="3"/>
        <v>0</v>
      </c>
      <c r="N27" s="95"/>
      <c r="O27" s="391"/>
    </row>
    <row r="28" spans="2:18" s="204" customFormat="1" ht="12.75" customHeight="1" x14ac:dyDescent="0.2">
      <c r="B28" s="94"/>
      <c r="C28" s="95"/>
      <c r="D28" s="848"/>
      <c r="E28" s="71"/>
      <c r="F28" s="74"/>
      <c r="G28" s="71"/>
      <c r="H28" s="394">
        <v>0</v>
      </c>
      <c r="I28" s="394">
        <f t="shared" si="3"/>
        <v>0</v>
      </c>
      <c r="J28" s="394">
        <f t="shared" si="3"/>
        <v>0</v>
      </c>
      <c r="K28" s="394">
        <f t="shared" si="3"/>
        <v>0</v>
      </c>
      <c r="L28" s="394">
        <f t="shared" si="3"/>
        <v>0</v>
      </c>
      <c r="M28" s="394">
        <f t="shared" si="3"/>
        <v>0</v>
      </c>
      <c r="N28" s="95"/>
      <c r="O28" s="391"/>
    </row>
    <row r="29" spans="2:18" s="204" customFormat="1" ht="12.75" customHeight="1" x14ac:dyDescent="0.2">
      <c r="B29" s="94"/>
      <c r="C29" s="95"/>
      <c r="D29" s="847"/>
      <c r="E29" s="71"/>
      <c r="F29" s="74"/>
      <c r="G29" s="71"/>
      <c r="H29" s="394">
        <v>0</v>
      </c>
      <c r="I29" s="394">
        <f t="shared" si="3"/>
        <v>0</v>
      </c>
      <c r="J29" s="394">
        <f t="shared" si="3"/>
        <v>0</v>
      </c>
      <c r="K29" s="394">
        <f t="shared" si="3"/>
        <v>0</v>
      </c>
      <c r="L29" s="394">
        <f t="shared" si="3"/>
        <v>0</v>
      </c>
      <c r="M29" s="394">
        <f t="shared" si="3"/>
        <v>0</v>
      </c>
      <c r="N29" s="95"/>
      <c r="O29" s="391"/>
    </row>
    <row r="30" spans="2:18" s="204" customFormat="1" ht="12.75" customHeight="1" x14ac:dyDescent="0.2">
      <c r="B30" s="94"/>
      <c r="C30" s="95"/>
      <c r="D30" s="842"/>
      <c r="E30" s="71"/>
      <c r="F30" s="74"/>
      <c r="G30" s="71"/>
      <c r="H30" s="823">
        <f t="shared" ref="H30:M30" si="4">SUM(H26:H29)</f>
        <v>0</v>
      </c>
      <c r="I30" s="823">
        <f t="shared" si="4"/>
        <v>0</v>
      </c>
      <c r="J30" s="823">
        <f t="shared" si="4"/>
        <v>0</v>
      </c>
      <c r="K30" s="823">
        <f t="shared" si="4"/>
        <v>0</v>
      </c>
      <c r="L30" s="823">
        <f t="shared" si="4"/>
        <v>0</v>
      </c>
      <c r="M30" s="823">
        <f t="shared" si="4"/>
        <v>0</v>
      </c>
      <c r="N30" s="95"/>
      <c r="O30" s="391"/>
    </row>
    <row r="31" spans="2:18" s="204" customFormat="1" ht="12.75" customHeight="1" x14ac:dyDescent="0.2">
      <c r="B31" s="94"/>
      <c r="C31" s="95"/>
      <c r="D31" s="399" t="s">
        <v>13</v>
      </c>
      <c r="E31" s="96"/>
      <c r="G31" s="71"/>
      <c r="H31" s="96"/>
      <c r="I31" s="96"/>
      <c r="J31" s="96"/>
      <c r="K31" s="387"/>
      <c r="L31" s="393"/>
      <c r="M31" s="393"/>
      <c r="N31" s="95"/>
      <c r="O31" s="391"/>
    </row>
    <row r="32" spans="2:18" s="204" customFormat="1" ht="12.75" customHeight="1" x14ac:dyDescent="0.2">
      <c r="B32" s="94"/>
      <c r="C32" s="95"/>
      <c r="D32" s="838" t="s">
        <v>14</v>
      </c>
      <c r="E32" s="96"/>
      <c r="F32" s="74"/>
      <c r="G32" s="71"/>
      <c r="H32" s="395"/>
      <c r="I32" s="395"/>
      <c r="J32" s="395"/>
      <c r="K32" s="387"/>
      <c r="L32" s="393"/>
      <c r="M32" s="393"/>
      <c r="N32" s="95"/>
      <c r="O32" s="391"/>
    </row>
    <row r="33" spans="2:15" s="204" customFormat="1" ht="12.75" customHeight="1" x14ac:dyDescent="0.2">
      <c r="B33" s="94"/>
      <c r="C33" s="95"/>
      <c r="D33" s="837" t="s">
        <v>466</v>
      </c>
      <c r="E33" s="96"/>
      <c r="G33" s="71"/>
      <c r="H33" s="686">
        <f t="shared" ref="H33:M33" si="5">$F$18*H18+$F$20*H20+$F$21*H21+$F$22*H22+$F$23*H23</f>
        <v>0</v>
      </c>
      <c r="I33" s="686">
        <f t="shared" si="5"/>
        <v>0</v>
      </c>
      <c r="J33" s="686">
        <f t="shared" si="5"/>
        <v>0</v>
      </c>
      <c r="K33" s="686">
        <f t="shared" si="5"/>
        <v>0</v>
      </c>
      <c r="L33" s="686">
        <f t="shared" si="5"/>
        <v>0</v>
      </c>
      <c r="M33" s="686">
        <f t="shared" si="5"/>
        <v>0</v>
      </c>
      <c r="N33" s="95"/>
      <c r="O33" s="391"/>
    </row>
    <row r="34" spans="2:15" s="204" customFormat="1" ht="12.75" customHeight="1" x14ac:dyDescent="0.2">
      <c r="B34" s="94"/>
      <c r="C34" s="95"/>
      <c r="D34" s="843"/>
      <c r="E34" s="71"/>
      <c r="F34" s="74"/>
      <c r="G34" s="71"/>
      <c r="H34" s="165">
        <v>0</v>
      </c>
      <c r="I34" s="165">
        <f>H34</f>
        <v>0</v>
      </c>
      <c r="J34" s="165">
        <f>I34</f>
        <v>0</v>
      </c>
      <c r="K34" s="165">
        <f>J34</f>
        <v>0</v>
      </c>
      <c r="L34" s="165">
        <f>K34</f>
        <v>0</v>
      </c>
      <c r="M34" s="165">
        <f>L34</f>
        <v>0</v>
      </c>
      <c r="N34" s="95"/>
      <c r="O34" s="391"/>
    </row>
    <row r="35" spans="2:15" s="204" customFormat="1" ht="12.75" customHeight="1" x14ac:dyDescent="0.2">
      <c r="B35" s="94"/>
      <c r="C35" s="95"/>
      <c r="D35" s="843"/>
      <c r="E35" s="71"/>
      <c r="F35" s="74"/>
      <c r="G35" s="71"/>
      <c r="H35" s="165">
        <v>0</v>
      </c>
      <c r="I35" s="165">
        <f t="shared" ref="I35:M37" si="6">H35</f>
        <v>0</v>
      </c>
      <c r="J35" s="165">
        <f t="shared" si="6"/>
        <v>0</v>
      </c>
      <c r="K35" s="165">
        <f t="shared" si="6"/>
        <v>0</v>
      </c>
      <c r="L35" s="165">
        <f t="shared" si="6"/>
        <v>0</v>
      </c>
      <c r="M35" s="165">
        <f t="shared" si="6"/>
        <v>0</v>
      </c>
      <c r="N35" s="95"/>
      <c r="O35" s="391"/>
    </row>
    <row r="36" spans="2:15" s="204" customFormat="1" ht="12.75" customHeight="1" x14ac:dyDescent="0.2">
      <c r="B36" s="94"/>
      <c r="C36" s="95"/>
      <c r="D36" s="843"/>
      <c r="E36" s="71"/>
      <c r="F36" s="74"/>
      <c r="G36" s="71"/>
      <c r="H36" s="165">
        <v>0</v>
      </c>
      <c r="I36" s="165">
        <f t="shared" si="6"/>
        <v>0</v>
      </c>
      <c r="J36" s="165">
        <f t="shared" si="6"/>
        <v>0</v>
      </c>
      <c r="K36" s="165">
        <f t="shared" si="6"/>
        <v>0</v>
      </c>
      <c r="L36" s="165">
        <f t="shared" si="6"/>
        <v>0</v>
      </c>
      <c r="M36" s="165">
        <f t="shared" si="6"/>
        <v>0</v>
      </c>
      <c r="N36" s="95"/>
      <c r="O36" s="391"/>
    </row>
    <row r="37" spans="2:15" s="204" customFormat="1" ht="12.75" customHeight="1" x14ac:dyDescent="0.2">
      <c r="B37" s="94"/>
      <c r="C37" s="95"/>
      <c r="D37" s="843"/>
      <c r="E37" s="71"/>
      <c r="F37" s="74"/>
      <c r="G37" s="71"/>
      <c r="H37" s="165">
        <v>0</v>
      </c>
      <c r="I37" s="165">
        <f t="shared" si="6"/>
        <v>0</v>
      </c>
      <c r="J37" s="165">
        <f t="shared" si="6"/>
        <v>0</v>
      </c>
      <c r="K37" s="165">
        <f t="shared" si="6"/>
        <v>0</v>
      </c>
      <c r="L37" s="165">
        <f t="shared" si="6"/>
        <v>0</v>
      </c>
      <c r="M37" s="165">
        <f t="shared" si="6"/>
        <v>0</v>
      </c>
      <c r="N37" s="95"/>
      <c r="O37" s="391"/>
    </row>
    <row r="38" spans="2:15" s="204" customFormat="1" ht="12.75" customHeight="1" x14ac:dyDescent="0.2">
      <c r="B38" s="94"/>
      <c r="C38" s="95"/>
      <c r="D38" s="839"/>
      <c r="E38" s="71"/>
      <c r="F38" s="74"/>
      <c r="G38" s="71"/>
      <c r="H38" s="773">
        <f t="shared" ref="H38:M38" si="7">SUM(H33:H37)</f>
        <v>0</v>
      </c>
      <c r="I38" s="773">
        <f t="shared" si="7"/>
        <v>0</v>
      </c>
      <c r="J38" s="773">
        <f t="shared" si="7"/>
        <v>0</v>
      </c>
      <c r="K38" s="773">
        <f t="shared" si="7"/>
        <v>0</v>
      </c>
      <c r="L38" s="773">
        <f t="shared" si="7"/>
        <v>0</v>
      </c>
      <c r="M38" s="773">
        <f t="shared" si="7"/>
        <v>0</v>
      </c>
      <c r="N38" s="95"/>
      <c r="O38" s="391"/>
    </row>
    <row r="39" spans="2:15" s="204" customFormat="1" ht="12.75" customHeight="1" x14ac:dyDescent="0.2">
      <c r="B39" s="94"/>
      <c r="C39" s="95"/>
      <c r="D39" s="399" t="s">
        <v>16</v>
      </c>
      <c r="E39" s="71"/>
      <c r="F39" s="74"/>
      <c r="G39" s="71"/>
      <c r="H39" s="167"/>
      <c r="I39" s="396"/>
      <c r="J39" s="396"/>
      <c r="K39" s="396"/>
      <c r="L39" s="396"/>
      <c r="M39" s="396"/>
      <c r="N39" s="95"/>
      <c r="O39" s="391"/>
    </row>
    <row r="40" spans="2:15" s="204" customFormat="1" ht="12.75" customHeight="1" x14ac:dyDescent="0.2">
      <c r="B40" s="94"/>
      <c r="C40" s="95"/>
      <c r="D40" s="843"/>
      <c r="E40" s="71"/>
      <c r="F40" s="74"/>
      <c r="G40" s="71"/>
      <c r="H40" s="165">
        <v>0</v>
      </c>
      <c r="I40" s="165">
        <f>H40</f>
        <v>0</v>
      </c>
      <c r="J40" s="165">
        <f>I40</f>
        <v>0</v>
      </c>
      <c r="K40" s="165">
        <f>J40</f>
        <v>0</v>
      </c>
      <c r="L40" s="165">
        <f>K40</f>
        <v>0</v>
      </c>
      <c r="M40" s="165">
        <f>L40</f>
        <v>0</v>
      </c>
      <c r="N40" s="95"/>
      <c r="O40" s="391"/>
    </row>
    <row r="41" spans="2:15" s="204" customFormat="1" ht="12.75" customHeight="1" x14ac:dyDescent="0.2">
      <c r="B41" s="94"/>
      <c r="C41" s="95"/>
      <c r="D41" s="843"/>
      <c r="E41" s="71"/>
      <c r="F41" s="74"/>
      <c r="G41" s="71"/>
      <c r="H41" s="165">
        <v>0</v>
      </c>
      <c r="I41" s="165">
        <f t="shared" ref="I41:M44" si="8">H41</f>
        <v>0</v>
      </c>
      <c r="J41" s="165">
        <f t="shared" si="8"/>
        <v>0</v>
      </c>
      <c r="K41" s="165">
        <f t="shared" si="8"/>
        <v>0</v>
      </c>
      <c r="L41" s="165">
        <f t="shared" si="8"/>
        <v>0</v>
      </c>
      <c r="M41" s="165">
        <f t="shared" si="8"/>
        <v>0</v>
      </c>
      <c r="N41" s="95"/>
      <c r="O41" s="391"/>
    </row>
    <row r="42" spans="2:15" s="204" customFormat="1" ht="12.75" customHeight="1" x14ac:dyDescent="0.2">
      <c r="B42" s="94"/>
      <c r="C42" s="95"/>
      <c r="D42" s="843"/>
      <c r="E42" s="71"/>
      <c r="F42" s="74"/>
      <c r="G42" s="71"/>
      <c r="H42" s="165">
        <v>0</v>
      </c>
      <c r="I42" s="165">
        <f t="shared" si="8"/>
        <v>0</v>
      </c>
      <c r="J42" s="165">
        <f t="shared" si="8"/>
        <v>0</v>
      </c>
      <c r="K42" s="165">
        <f t="shared" si="8"/>
        <v>0</v>
      </c>
      <c r="L42" s="165">
        <f t="shared" si="8"/>
        <v>0</v>
      </c>
      <c r="M42" s="165">
        <f t="shared" si="8"/>
        <v>0</v>
      </c>
      <c r="N42" s="95"/>
      <c r="O42" s="391"/>
    </row>
    <row r="43" spans="2:15" s="204" customFormat="1" ht="12.75" customHeight="1" x14ac:dyDescent="0.2">
      <c r="B43" s="94"/>
      <c r="C43" s="95"/>
      <c r="D43" s="843"/>
      <c r="E43" s="71"/>
      <c r="F43" s="74"/>
      <c r="G43" s="71"/>
      <c r="H43" s="165">
        <v>0</v>
      </c>
      <c r="I43" s="165">
        <f t="shared" si="8"/>
        <v>0</v>
      </c>
      <c r="J43" s="165">
        <f t="shared" si="8"/>
        <v>0</v>
      </c>
      <c r="K43" s="165">
        <f t="shared" si="8"/>
        <v>0</v>
      </c>
      <c r="L43" s="165">
        <f t="shared" si="8"/>
        <v>0</v>
      </c>
      <c r="M43" s="165">
        <f t="shared" si="8"/>
        <v>0</v>
      </c>
      <c r="N43" s="95"/>
      <c r="O43" s="391"/>
    </row>
    <row r="44" spans="2:15" s="204" customFormat="1" ht="12.75" customHeight="1" x14ac:dyDescent="0.2">
      <c r="B44" s="94"/>
      <c r="C44" s="95"/>
      <c r="D44" s="843"/>
      <c r="E44" s="71"/>
      <c r="F44" s="74"/>
      <c r="G44" s="71"/>
      <c r="H44" s="165">
        <v>0</v>
      </c>
      <c r="I44" s="165">
        <f t="shared" si="8"/>
        <v>0</v>
      </c>
      <c r="J44" s="165">
        <f t="shared" si="8"/>
        <v>0</v>
      </c>
      <c r="K44" s="165">
        <f t="shared" si="8"/>
        <v>0</v>
      </c>
      <c r="L44" s="165">
        <f t="shared" si="8"/>
        <v>0</v>
      </c>
      <c r="M44" s="165">
        <f t="shared" si="8"/>
        <v>0</v>
      </c>
      <c r="N44" s="95"/>
      <c r="O44" s="391"/>
    </row>
    <row r="45" spans="2:15" s="204" customFormat="1" ht="12.75" customHeight="1" x14ac:dyDescent="0.2">
      <c r="B45" s="94"/>
      <c r="C45" s="95"/>
      <c r="D45" s="839"/>
      <c r="E45" s="397"/>
      <c r="F45" s="98"/>
      <c r="G45" s="71"/>
      <c r="H45" s="773">
        <f t="shared" ref="H45:M45" si="9">SUM(H40:H44)</f>
        <v>0</v>
      </c>
      <c r="I45" s="773">
        <f t="shared" si="9"/>
        <v>0</v>
      </c>
      <c r="J45" s="773">
        <f t="shared" si="9"/>
        <v>0</v>
      </c>
      <c r="K45" s="773">
        <f t="shared" si="9"/>
        <v>0</v>
      </c>
      <c r="L45" s="773">
        <f t="shared" si="9"/>
        <v>0</v>
      </c>
      <c r="M45" s="773">
        <f t="shared" si="9"/>
        <v>0</v>
      </c>
      <c r="N45" s="95"/>
      <c r="O45" s="391"/>
    </row>
    <row r="46" spans="2:15" s="204" customFormat="1" ht="12.75" customHeight="1" x14ac:dyDescent="0.2">
      <c r="B46" s="94"/>
      <c r="C46" s="95"/>
      <c r="D46" s="839"/>
      <c r="E46" s="96"/>
      <c r="F46" s="98"/>
      <c r="G46" s="71"/>
      <c r="H46" s="398"/>
      <c r="I46" s="398"/>
      <c r="J46" s="398"/>
      <c r="K46" s="398"/>
      <c r="L46" s="398"/>
      <c r="M46" s="398"/>
      <c r="N46" s="95"/>
      <c r="O46" s="391"/>
    </row>
    <row r="47" spans="2:15" s="204" customFormat="1" ht="12.75" customHeight="1" x14ac:dyDescent="0.2">
      <c r="B47" s="94"/>
      <c r="C47" s="95"/>
      <c r="D47" s="399" t="s">
        <v>17</v>
      </c>
      <c r="E47" s="140"/>
      <c r="F47" s="87"/>
      <c r="G47" s="153"/>
      <c r="H47" s="772">
        <f t="shared" ref="H47:M47" si="10">H38-H45</f>
        <v>0</v>
      </c>
      <c r="I47" s="772">
        <f t="shared" si="10"/>
        <v>0</v>
      </c>
      <c r="J47" s="772">
        <f t="shared" si="10"/>
        <v>0</v>
      </c>
      <c r="K47" s="772">
        <f t="shared" si="10"/>
        <v>0</v>
      </c>
      <c r="L47" s="772">
        <f t="shared" si="10"/>
        <v>0</v>
      </c>
      <c r="M47" s="772">
        <f t="shared" si="10"/>
        <v>0</v>
      </c>
      <c r="N47" s="95"/>
      <c r="O47" s="391"/>
    </row>
    <row r="48" spans="2:15" s="204" customFormat="1" ht="12.75" customHeight="1" x14ac:dyDescent="0.2">
      <c r="B48" s="94"/>
      <c r="C48" s="95"/>
      <c r="D48" s="839"/>
      <c r="E48" s="71"/>
      <c r="F48" s="74"/>
      <c r="G48" s="71"/>
      <c r="H48" s="400"/>
      <c r="I48" s="400"/>
      <c r="J48" s="400"/>
      <c r="K48" s="400"/>
      <c r="L48" s="400"/>
      <c r="M48" s="400"/>
      <c r="N48" s="95"/>
      <c r="O48" s="391"/>
    </row>
    <row r="49" spans="2:15" s="204" customFormat="1" ht="12.75" customHeight="1" x14ac:dyDescent="0.2">
      <c r="B49" s="94"/>
      <c r="C49" s="95"/>
      <c r="D49" s="839"/>
      <c r="E49" s="71"/>
      <c r="F49" s="74"/>
      <c r="G49" s="71"/>
      <c r="H49" s="400"/>
      <c r="I49" s="400"/>
      <c r="J49" s="400"/>
      <c r="K49" s="400"/>
      <c r="L49" s="400"/>
      <c r="M49" s="400"/>
      <c r="N49" s="95"/>
      <c r="O49" s="391"/>
    </row>
    <row r="50" spans="2:15" s="134" customFormat="1" ht="12.75" customHeight="1" x14ac:dyDescent="0.2">
      <c r="B50" s="116"/>
      <c r="C50" s="121"/>
      <c r="D50" s="840" t="s">
        <v>163</v>
      </c>
      <c r="E50" s="96"/>
      <c r="F50" s="98"/>
      <c r="G50" s="96"/>
      <c r="H50" s="771">
        <f t="shared" ref="H50:M50" si="11">H18+H24+H30-H47</f>
        <v>249180.15000000002</v>
      </c>
      <c r="I50" s="771">
        <f t="shared" si="11"/>
        <v>233318.15000000002</v>
      </c>
      <c r="J50" s="771">
        <f t="shared" si="11"/>
        <v>233318.15000000002</v>
      </c>
      <c r="K50" s="771">
        <f t="shared" si="11"/>
        <v>233318.15000000002</v>
      </c>
      <c r="L50" s="771">
        <f t="shared" si="11"/>
        <v>233318.15000000002</v>
      </c>
      <c r="M50" s="771">
        <f t="shared" si="11"/>
        <v>233318.15000000002</v>
      </c>
      <c r="N50" s="121"/>
      <c r="O50" s="401"/>
    </row>
    <row r="51" spans="2:15" s="134" customFormat="1" ht="12.75" customHeight="1" x14ac:dyDescent="0.2">
      <c r="B51" s="116"/>
      <c r="C51" s="171"/>
      <c r="D51" s="849"/>
      <c r="E51" s="142"/>
      <c r="F51" s="345"/>
      <c r="G51" s="142"/>
      <c r="H51" s="172"/>
      <c r="I51" s="172"/>
      <c r="J51" s="172"/>
      <c r="K51" s="172"/>
      <c r="L51" s="402"/>
      <c r="M51" s="402"/>
      <c r="N51" s="171"/>
      <c r="O51" s="401"/>
    </row>
    <row r="52" spans="2:15" s="134" customFormat="1" ht="12.75" customHeight="1" x14ac:dyDescent="0.2">
      <c r="B52" s="116"/>
      <c r="C52" s="403"/>
      <c r="D52" s="404"/>
      <c r="E52" s="403"/>
      <c r="F52" s="405"/>
      <c r="G52" s="403"/>
      <c r="H52" s="404"/>
      <c r="I52" s="404"/>
      <c r="J52" s="404"/>
      <c r="K52" s="404"/>
      <c r="L52" s="406"/>
      <c r="M52" s="406"/>
      <c r="N52" s="403"/>
      <c r="O52" s="401"/>
    </row>
    <row r="53" spans="2:15" s="134" customFormat="1" ht="12.75" customHeight="1" x14ac:dyDescent="0.2">
      <c r="B53" s="116"/>
      <c r="C53" s="117"/>
      <c r="D53" s="174"/>
      <c r="E53" s="118"/>
      <c r="F53" s="133"/>
      <c r="G53" s="118"/>
      <c r="H53" s="174"/>
      <c r="I53" s="174"/>
      <c r="J53" s="174"/>
      <c r="K53" s="174"/>
      <c r="L53" s="407"/>
      <c r="M53" s="407"/>
      <c r="N53" s="117"/>
      <c r="O53" s="401"/>
    </row>
    <row r="54" spans="2:15" s="408" customFormat="1" ht="12.75" customHeight="1" x14ac:dyDescent="0.2">
      <c r="B54" s="409"/>
      <c r="C54" s="410"/>
      <c r="D54" s="690" t="s">
        <v>361</v>
      </c>
      <c r="E54" s="411"/>
      <c r="F54" s="412"/>
      <c r="G54" s="411"/>
      <c r="H54" s="413"/>
      <c r="I54" s="413"/>
      <c r="J54" s="413"/>
      <c r="K54" s="413"/>
      <c r="L54" s="414"/>
      <c r="M54" s="414"/>
      <c r="N54" s="410"/>
      <c r="O54" s="415"/>
    </row>
    <row r="55" spans="2:15" s="134" customFormat="1" ht="12.75" customHeight="1" x14ac:dyDescent="0.2">
      <c r="B55" s="116"/>
      <c r="C55" s="121"/>
      <c r="D55" s="153"/>
      <c r="E55" s="96"/>
      <c r="F55" s="98"/>
      <c r="G55" s="96"/>
      <c r="H55" s="89"/>
      <c r="I55" s="89"/>
      <c r="J55" s="89"/>
      <c r="K55" s="89"/>
      <c r="L55" s="395"/>
      <c r="M55" s="395"/>
      <c r="N55" s="121"/>
      <c r="O55" s="401"/>
    </row>
    <row r="56" spans="2:15" s="134" customFormat="1" ht="12.75" customHeight="1" x14ac:dyDescent="0.2">
      <c r="B56" s="116"/>
      <c r="C56" s="121"/>
      <c r="D56" s="164"/>
      <c r="E56" s="96"/>
      <c r="F56" s="98"/>
      <c r="G56" s="96"/>
      <c r="H56" s="394">
        <v>0</v>
      </c>
      <c r="I56" s="394">
        <f t="shared" ref="I56:K60" si="12">H56</f>
        <v>0</v>
      </c>
      <c r="J56" s="394">
        <f t="shared" si="12"/>
        <v>0</v>
      </c>
      <c r="K56" s="394">
        <f t="shared" si="12"/>
        <v>0</v>
      </c>
      <c r="L56" s="394">
        <f t="shared" ref="L56:M60" si="13">K56</f>
        <v>0</v>
      </c>
      <c r="M56" s="394">
        <f t="shared" si="13"/>
        <v>0</v>
      </c>
      <c r="N56" s="121"/>
      <c r="O56" s="401"/>
    </row>
    <row r="57" spans="2:15" s="134" customFormat="1" ht="12.75" customHeight="1" x14ac:dyDescent="0.2">
      <c r="B57" s="116"/>
      <c r="C57" s="121"/>
      <c r="D57" s="164"/>
      <c r="E57" s="96"/>
      <c r="F57" s="98"/>
      <c r="G57" s="96"/>
      <c r="H57" s="394">
        <v>0</v>
      </c>
      <c r="I57" s="394">
        <f t="shared" si="12"/>
        <v>0</v>
      </c>
      <c r="J57" s="394">
        <f t="shared" si="12"/>
        <v>0</v>
      </c>
      <c r="K57" s="394">
        <f t="shared" si="12"/>
        <v>0</v>
      </c>
      <c r="L57" s="394">
        <f t="shared" si="13"/>
        <v>0</v>
      </c>
      <c r="M57" s="394">
        <f t="shared" si="13"/>
        <v>0</v>
      </c>
      <c r="N57" s="121"/>
      <c r="O57" s="401"/>
    </row>
    <row r="58" spans="2:15" s="134" customFormat="1" ht="12.75" customHeight="1" x14ac:dyDescent="0.2">
      <c r="B58" s="116"/>
      <c r="C58" s="121"/>
      <c r="D58" s="164"/>
      <c r="E58" s="96"/>
      <c r="F58" s="98"/>
      <c r="G58" s="96"/>
      <c r="H58" s="394">
        <v>0</v>
      </c>
      <c r="I58" s="394">
        <f t="shared" si="12"/>
        <v>0</v>
      </c>
      <c r="J58" s="394">
        <f t="shared" si="12"/>
        <v>0</v>
      </c>
      <c r="K58" s="394">
        <f t="shared" si="12"/>
        <v>0</v>
      </c>
      <c r="L58" s="394">
        <f t="shared" si="13"/>
        <v>0</v>
      </c>
      <c r="M58" s="394">
        <f t="shared" si="13"/>
        <v>0</v>
      </c>
      <c r="N58" s="121"/>
      <c r="O58" s="401"/>
    </row>
    <row r="59" spans="2:15" s="134" customFormat="1" ht="12.75" customHeight="1" x14ac:dyDescent="0.2">
      <c r="B59" s="116"/>
      <c r="C59" s="121"/>
      <c r="D59" s="164"/>
      <c r="E59" s="96"/>
      <c r="F59" s="98"/>
      <c r="G59" s="96"/>
      <c r="H59" s="394">
        <v>0</v>
      </c>
      <c r="I59" s="394">
        <f t="shared" si="12"/>
        <v>0</v>
      </c>
      <c r="J59" s="394">
        <f t="shared" si="12"/>
        <v>0</v>
      </c>
      <c r="K59" s="394">
        <f t="shared" si="12"/>
        <v>0</v>
      </c>
      <c r="L59" s="394">
        <f t="shared" si="13"/>
        <v>0</v>
      </c>
      <c r="M59" s="394">
        <f t="shared" si="13"/>
        <v>0</v>
      </c>
      <c r="N59" s="121"/>
      <c r="O59" s="401"/>
    </row>
    <row r="60" spans="2:15" s="134" customFormat="1" ht="12.75" customHeight="1" x14ac:dyDescent="0.2">
      <c r="B60" s="116"/>
      <c r="C60" s="121"/>
      <c r="D60" s="164"/>
      <c r="E60" s="96"/>
      <c r="F60" s="98"/>
      <c r="G60" s="96"/>
      <c r="H60" s="394">
        <v>0</v>
      </c>
      <c r="I60" s="394">
        <f t="shared" si="12"/>
        <v>0</v>
      </c>
      <c r="J60" s="394">
        <f t="shared" si="12"/>
        <v>0</v>
      </c>
      <c r="K60" s="394">
        <f t="shared" si="12"/>
        <v>0</v>
      </c>
      <c r="L60" s="394">
        <f t="shared" si="13"/>
        <v>0</v>
      </c>
      <c r="M60" s="394">
        <f t="shared" si="13"/>
        <v>0</v>
      </c>
      <c r="N60" s="121"/>
      <c r="O60" s="401"/>
    </row>
    <row r="61" spans="2:15" s="134" customFormat="1" ht="12.75" customHeight="1" x14ac:dyDescent="0.2">
      <c r="B61" s="116"/>
      <c r="C61" s="121"/>
      <c r="D61" s="71"/>
      <c r="E61" s="96"/>
      <c r="F61" s="98"/>
      <c r="G61" s="96"/>
      <c r="H61" s="416"/>
      <c r="I61" s="416"/>
      <c r="J61" s="416"/>
      <c r="K61" s="416"/>
      <c r="L61" s="416"/>
      <c r="M61" s="416"/>
      <c r="N61" s="121"/>
      <c r="O61" s="401"/>
    </row>
    <row r="62" spans="2:15" s="134" customFormat="1" ht="12.75" customHeight="1" x14ac:dyDescent="0.2">
      <c r="B62" s="116"/>
      <c r="C62" s="121"/>
      <c r="D62" s="89" t="s">
        <v>284</v>
      </c>
      <c r="E62" s="96"/>
      <c r="F62" s="98"/>
      <c r="G62" s="96"/>
      <c r="H62" s="771">
        <f t="shared" ref="H62:M62" si="14">SUM(H56:H60)</f>
        <v>0</v>
      </c>
      <c r="I62" s="771">
        <f t="shared" si="14"/>
        <v>0</v>
      </c>
      <c r="J62" s="771">
        <f t="shared" si="14"/>
        <v>0</v>
      </c>
      <c r="K62" s="771">
        <f t="shared" si="14"/>
        <v>0</v>
      </c>
      <c r="L62" s="771">
        <f t="shared" si="14"/>
        <v>0</v>
      </c>
      <c r="M62" s="771">
        <f t="shared" si="14"/>
        <v>0</v>
      </c>
      <c r="N62" s="121"/>
      <c r="O62" s="401"/>
    </row>
    <row r="63" spans="2:15" s="134" customFormat="1" ht="12.75" customHeight="1" x14ac:dyDescent="0.2">
      <c r="B63" s="116"/>
      <c r="C63" s="171"/>
      <c r="D63" s="107"/>
      <c r="E63" s="172"/>
      <c r="F63" s="345"/>
      <c r="G63" s="172"/>
      <c r="H63" s="172"/>
      <c r="I63" s="172"/>
      <c r="J63" s="172"/>
      <c r="K63" s="172"/>
      <c r="L63" s="402"/>
      <c r="M63" s="402"/>
      <c r="N63" s="171"/>
      <c r="O63" s="401"/>
    </row>
    <row r="64" spans="2:15" s="134" customFormat="1" ht="12.75" customHeight="1" x14ac:dyDescent="0.2">
      <c r="B64" s="116"/>
      <c r="C64" s="144"/>
      <c r="D64" s="176"/>
      <c r="E64" s="310"/>
      <c r="F64" s="417"/>
      <c r="G64" s="310"/>
      <c r="H64" s="310"/>
      <c r="I64" s="310"/>
      <c r="J64" s="310"/>
      <c r="K64" s="310"/>
      <c r="L64" s="418"/>
      <c r="M64" s="418"/>
      <c r="N64" s="144"/>
      <c r="O64" s="401"/>
    </row>
    <row r="65" spans="2:15" s="134" customFormat="1" ht="12.75" customHeight="1" x14ac:dyDescent="0.2">
      <c r="B65" s="116"/>
      <c r="C65" s="117"/>
      <c r="D65" s="103"/>
      <c r="E65" s="118"/>
      <c r="F65" s="133"/>
      <c r="G65" s="118"/>
      <c r="H65" s="103"/>
      <c r="I65" s="103"/>
      <c r="J65" s="103"/>
      <c r="K65" s="103"/>
      <c r="L65" s="407"/>
      <c r="M65" s="407"/>
      <c r="N65" s="117"/>
      <c r="O65" s="401"/>
    </row>
    <row r="66" spans="2:15" s="408" customFormat="1" ht="12.75" customHeight="1" x14ac:dyDescent="0.2">
      <c r="B66" s="409"/>
      <c r="C66" s="410"/>
      <c r="D66" s="690" t="s">
        <v>362</v>
      </c>
      <c r="E66" s="411"/>
      <c r="F66" s="412"/>
      <c r="G66" s="411"/>
      <c r="H66" s="419"/>
      <c r="I66" s="419"/>
      <c r="J66" s="419"/>
      <c r="K66" s="419"/>
      <c r="L66" s="414"/>
      <c r="M66" s="414"/>
      <c r="N66" s="410"/>
      <c r="O66" s="415"/>
    </row>
    <row r="67" spans="2:15" s="134" customFormat="1" ht="12.75" customHeight="1" x14ac:dyDescent="0.2">
      <c r="B67" s="116"/>
      <c r="C67" s="121"/>
      <c r="D67" s="153"/>
      <c r="E67" s="96"/>
      <c r="F67" s="98"/>
      <c r="G67" s="96"/>
      <c r="H67" s="70"/>
      <c r="I67" s="70"/>
      <c r="J67" s="70"/>
      <c r="K67" s="70"/>
      <c r="L67" s="395"/>
      <c r="M67" s="395"/>
      <c r="N67" s="121"/>
      <c r="O67" s="401"/>
    </row>
    <row r="68" spans="2:15" s="134" customFormat="1" ht="12.75" customHeight="1" x14ac:dyDescent="0.2">
      <c r="B68" s="116"/>
      <c r="C68" s="121"/>
      <c r="D68" s="71" t="s">
        <v>12</v>
      </c>
      <c r="E68" s="96"/>
      <c r="F68" s="98"/>
      <c r="G68" s="96"/>
      <c r="H68" s="394">
        <v>0</v>
      </c>
      <c r="I68" s="394">
        <f>H68</f>
        <v>0</v>
      </c>
      <c r="J68" s="394">
        <f>I68</f>
        <v>0</v>
      </c>
      <c r="K68" s="394">
        <f>J68</f>
        <v>0</v>
      </c>
      <c r="L68" s="394">
        <f t="shared" ref="L68:M75" si="15">K68</f>
        <v>0</v>
      </c>
      <c r="M68" s="394">
        <f t="shared" si="15"/>
        <v>0</v>
      </c>
      <c r="N68" s="121"/>
      <c r="O68" s="401"/>
    </row>
    <row r="69" spans="2:15" s="134" customFormat="1" ht="12.75" customHeight="1" x14ac:dyDescent="0.2">
      <c r="B69" s="116"/>
      <c r="C69" s="121"/>
      <c r="D69" s="71" t="s">
        <v>315</v>
      </c>
      <c r="E69" s="96"/>
      <c r="F69" s="98"/>
      <c r="G69" s="96"/>
      <c r="H69" s="394">
        <v>0</v>
      </c>
      <c r="I69" s="394">
        <f t="shared" ref="I69:K71" si="16">H69</f>
        <v>0</v>
      </c>
      <c r="J69" s="394">
        <f t="shared" si="16"/>
        <v>0</v>
      </c>
      <c r="K69" s="394">
        <f t="shared" si="16"/>
        <v>0</v>
      </c>
      <c r="L69" s="394">
        <f t="shared" si="15"/>
        <v>0</v>
      </c>
      <c r="M69" s="394">
        <f t="shared" si="15"/>
        <v>0</v>
      </c>
      <c r="N69" s="121"/>
      <c r="O69" s="401"/>
    </row>
    <row r="70" spans="2:15" s="134" customFormat="1" ht="12.75" customHeight="1" x14ac:dyDescent="0.2">
      <c r="B70" s="116"/>
      <c r="C70" s="121"/>
      <c r="D70" s="71" t="s">
        <v>350</v>
      </c>
      <c r="E70" s="96"/>
      <c r="F70" s="98"/>
      <c r="G70" s="96"/>
      <c r="H70" s="394">
        <v>0</v>
      </c>
      <c r="I70" s="394">
        <f t="shared" si="16"/>
        <v>0</v>
      </c>
      <c r="J70" s="394">
        <f t="shared" si="16"/>
        <v>0</v>
      </c>
      <c r="K70" s="394">
        <f t="shared" si="16"/>
        <v>0</v>
      </c>
      <c r="L70" s="394">
        <f t="shared" si="15"/>
        <v>0</v>
      </c>
      <c r="M70" s="394">
        <f t="shared" si="15"/>
        <v>0</v>
      </c>
      <c r="N70" s="121"/>
      <c r="O70" s="401"/>
    </row>
    <row r="71" spans="2:15" s="134" customFormat="1" ht="12.75" customHeight="1" x14ac:dyDescent="0.2">
      <c r="B71" s="116"/>
      <c r="C71" s="121"/>
      <c r="D71" s="668"/>
      <c r="E71" s="96"/>
      <c r="F71" s="98"/>
      <c r="G71" s="96"/>
      <c r="H71" s="394">
        <v>0</v>
      </c>
      <c r="I71" s="394">
        <f t="shared" si="16"/>
        <v>0</v>
      </c>
      <c r="J71" s="394">
        <f>I71</f>
        <v>0</v>
      </c>
      <c r="K71" s="394">
        <f>J71</f>
        <v>0</v>
      </c>
      <c r="L71" s="394">
        <f t="shared" si="15"/>
        <v>0</v>
      </c>
      <c r="M71" s="394">
        <f t="shared" si="15"/>
        <v>0</v>
      </c>
      <c r="N71" s="121"/>
      <c r="O71" s="401"/>
    </row>
    <row r="72" spans="2:15" s="134" customFormat="1" ht="12.75" customHeight="1" x14ac:dyDescent="0.2">
      <c r="B72" s="116"/>
      <c r="C72" s="121"/>
      <c r="D72" s="164"/>
      <c r="E72" s="96"/>
      <c r="F72" s="98"/>
      <c r="G72" s="96"/>
      <c r="H72" s="394">
        <v>0</v>
      </c>
      <c r="I72" s="394">
        <f t="shared" ref="I72:M73" si="17">H72</f>
        <v>0</v>
      </c>
      <c r="J72" s="394">
        <f t="shared" si="17"/>
        <v>0</v>
      </c>
      <c r="K72" s="394">
        <f t="shared" si="17"/>
        <v>0</v>
      </c>
      <c r="L72" s="394">
        <f t="shared" si="17"/>
        <v>0</v>
      </c>
      <c r="M72" s="394">
        <f t="shared" si="17"/>
        <v>0</v>
      </c>
      <c r="N72" s="121"/>
      <c r="O72" s="401"/>
    </row>
    <row r="73" spans="2:15" s="134" customFormat="1" ht="12.75" customHeight="1" x14ac:dyDescent="0.2">
      <c r="B73" s="116"/>
      <c r="C73" s="121"/>
      <c r="D73" s="164"/>
      <c r="E73" s="96"/>
      <c r="F73" s="98"/>
      <c r="G73" s="96"/>
      <c r="H73" s="394">
        <v>0</v>
      </c>
      <c r="I73" s="394">
        <f t="shared" si="17"/>
        <v>0</v>
      </c>
      <c r="J73" s="394">
        <f t="shared" si="17"/>
        <v>0</v>
      </c>
      <c r="K73" s="394">
        <f t="shared" si="17"/>
        <v>0</v>
      </c>
      <c r="L73" s="394">
        <f t="shared" si="17"/>
        <v>0</v>
      </c>
      <c r="M73" s="394">
        <f t="shared" si="17"/>
        <v>0</v>
      </c>
      <c r="N73" s="121"/>
      <c r="O73" s="401"/>
    </row>
    <row r="74" spans="2:15" s="134" customFormat="1" ht="12.75" customHeight="1" x14ac:dyDescent="0.2">
      <c r="B74" s="116"/>
      <c r="C74" s="121"/>
      <c r="D74" s="164"/>
      <c r="E74" s="96"/>
      <c r="F74" s="98"/>
      <c r="G74" s="96"/>
      <c r="H74" s="394">
        <v>0</v>
      </c>
      <c r="I74" s="394">
        <f t="shared" ref="I74:K75" si="18">H74</f>
        <v>0</v>
      </c>
      <c r="J74" s="394">
        <f t="shared" si="18"/>
        <v>0</v>
      </c>
      <c r="K74" s="394">
        <f t="shared" si="18"/>
        <v>0</v>
      </c>
      <c r="L74" s="394">
        <f t="shared" si="15"/>
        <v>0</v>
      </c>
      <c r="M74" s="394">
        <f t="shared" si="15"/>
        <v>0</v>
      </c>
      <c r="N74" s="121"/>
      <c r="O74" s="401"/>
    </row>
    <row r="75" spans="2:15" s="134" customFormat="1" ht="12.75" customHeight="1" x14ac:dyDescent="0.2">
      <c r="B75" s="116"/>
      <c r="C75" s="121"/>
      <c r="D75" s="164"/>
      <c r="E75" s="96"/>
      <c r="F75" s="98"/>
      <c r="G75" s="96"/>
      <c r="H75" s="394">
        <v>0</v>
      </c>
      <c r="I75" s="394">
        <f t="shared" si="18"/>
        <v>0</v>
      </c>
      <c r="J75" s="394">
        <f t="shared" si="18"/>
        <v>0</v>
      </c>
      <c r="K75" s="394">
        <f t="shared" si="18"/>
        <v>0</v>
      </c>
      <c r="L75" s="394">
        <f t="shared" si="15"/>
        <v>0</v>
      </c>
      <c r="M75" s="394">
        <f t="shared" si="15"/>
        <v>0</v>
      </c>
      <c r="N75" s="121"/>
      <c r="O75" s="401"/>
    </row>
    <row r="76" spans="2:15" s="134" customFormat="1" ht="12.75" customHeight="1" x14ac:dyDescent="0.2">
      <c r="B76" s="116"/>
      <c r="C76" s="121"/>
      <c r="D76" s="71"/>
      <c r="E76" s="96"/>
      <c r="F76" s="98"/>
      <c r="G76" s="96"/>
      <c r="H76" s="416"/>
      <c r="I76" s="416"/>
      <c r="J76" s="416"/>
      <c r="K76" s="416"/>
      <c r="L76" s="416"/>
      <c r="M76" s="416"/>
      <c r="N76" s="121"/>
      <c r="O76" s="401"/>
    </row>
    <row r="77" spans="2:15" s="134" customFormat="1" ht="12.75" customHeight="1" x14ac:dyDescent="0.2">
      <c r="B77" s="116"/>
      <c r="C77" s="121"/>
      <c r="D77" s="89" t="s">
        <v>284</v>
      </c>
      <c r="E77" s="96"/>
      <c r="F77" s="98"/>
      <c r="G77" s="96"/>
      <c r="H77" s="771">
        <f t="shared" ref="H77:M77" si="19">SUM(H68:H75)</f>
        <v>0</v>
      </c>
      <c r="I77" s="771">
        <f t="shared" si="19"/>
        <v>0</v>
      </c>
      <c r="J77" s="771">
        <f t="shared" si="19"/>
        <v>0</v>
      </c>
      <c r="K77" s="771">
        <f t="shared" si="19"/>
        <v>0</v>
      </c>
      <c r="L77" s="771">
        <f t="shared" si="19"/>
        <v>0</v>
      </c>
      <c r="M77" s="771">
        <f t="shared" si="19"/>
        <v>0</v>
      </c>
      <c r="N77" s="121"/>
      <c r="O77" s="401"/>
    </row>
    <row r="78" spans="2:15" s="204" customFormat="1" ht="12.75" customHeight="1" x14ac:dyDescent="0.2">
      <c r="B78" s="94"/>
      <c r="C78" s="177"/>
      <c r="D78" s="77"/>
      <c r="E78" s="77"/>
      <c r="F78" s="143"/>
      <c r="G78" s="77"/>
      <c r="H78" s="420"/>
      <c r="I78" s="420"/>
      <c r="J78" s="420"/>
      <c r="K78" s="420"/>
      <c r="L78" s="421"/>
      <c r="M78" s="421"/>
      <c r="N78" s="177"/>
      <c r="O78" s="391"/>
    </row>
    <row r="79" spans="2:15" s="204" customFormat="1" ht="12.75" customHeight="1" x14ac:dyDescent="0.2">
      <c r="B79" s="94"/>
      <c r="C79" s="108"/>
      <c r="D79" s="50"/>
      <c r="E79" s="50"/>
      <c r="F79" s="129"/>
      <c r="G79" s="50"/>
      <c r="H79" s="422"/>
      <c r="I79" s="422"/>
      <c r="J79" s="422"/>
      <c r="K79" s="422"/>
      <c r="L79" s="423"/>
      <c r="M79" s="423"/>
      <c r="N79" s="108"/>
      <c r="O79" s="391"/>
    </row>
    <row r="80" spans="2:15" s="204" customFormat="1" ht="12.75" customHeight="1" x14ac:dyDescent="0.2">
      <c r="B80" s="94"/>
      <c r="C80" s="181"/>
      <c r="D80" s="67"/>
      <c r="E80" s="67"/>
      <c r="F80" s="132"/>
      <c r="G80" s="67"/>
      <c r="H80" s="424"/>
      <c r="I80" s="424"/>
      <c r="J80" s="424"/>
      <c r="K80" s="424"/>
      <c r="L80" s="425"/>
      <c r="M80" s="425"/>
      <c r="N80" s="181"/>
      <c r="O80" s="391"/>
    </row>
    <row r="81" spans="2:15" s="204" customFormat="1" ht="12.75" customHeight="1" x14ac:dyDescent="0.2">
      <c r="B81" s="94"/>
      <c r="C81" s="95"/>
      <c r="D81" s="89" t="s">
        <v>356</v>
      </c>
      <c r="E81" s="71"/>
      <c r="F81" s="74"/>
      <c r="G81" s="71"/>
      <c r="H81" s="771">
        <f t="shared" ref="H81:M81" si="20">H50+H62+H77</f>
        <v>249180.15000000002</v>
      </c>
      <c r="I81" s="771">
        <f t="shared" si="20"/>
        <v>233318.15000000002</v>
      </c>
      <c r="J81" s="771">
        <f t="shared" si="20"/>
        <v>233318.15000000002</v>
      </c>
      <c r="K81" s="771">
        <f t="shared" si="20"/>
        <v>233318.15000000002</v>
      </c>
      <c r="L81" s="771">
        <f t="shared" si="20"/>
        <v>233318.15000000002</v>
      </c>
      <c r="M81" s="771">
        <f t="shared" si="20"/>
        <v>233318.15000000002</v>
      </c>
      <c r="N81" s="95"/>
      <c r="O81" s="391"/>
    </row>
    <row r="82" spans="2:15" s="204" customFormat="1" ht="12.75" customHeight="1" x14ac:dyDescent="0.2">
      <c r="B82" s="94"/>
      <c r="C82" s="177"/>
      <c r="D82" s="77"/>
      <c r="E82" s="77"/>
      <c r="F82" s="143"/>
      <c r="G82" s="77"/>
      <c r="H82" s="420"/>
      <c r="I82" s="420"/>
      <c r="J82" s="420"/>
      <c r="K82" s="420"/>
      <c r="L82" s="421"/>
      <c r="M82" s="421"/>
      <c r="N82" s="177"/>
      <c r="O82" s="391"/>
    </row>
    <row r="83" spans="2:15" ht="12.75" customHeight="1" x14ac:dyDescent="0.2">
      <c r="B83" s="49"/>
      <c r="C83" s="50"/>
      <c r="D83" s="376"/>
      <c r="E83" s="426"/>
      <c r="F83" s="110"/>
      <c r="G83" s="426"/>
      <c r="H83" s="427"/>
      <c r="I83" s="427"/>
      <c r="J83" s="427"/>
      <c r="K83" s="427"/>
      <c r="L83" s="428"/>
      <c r="M83" s="428"/>
      <c r="N83" s="50"/>
      <c r="O83" s="429"/>
    </row>
    <row r="84" spans="2:15" ht="12.75" customHeight="1" x14ac:dyDescent="0.2">
      <c r="B84" s="124"/>
      <c r="C84" s="125"/>
      <c r="D84" s="125"/>
      <c r="E84" s="125"/>
      <c r="F84" s="318"/>
      <c r="G84" s="125"/>
      <c r="H84" s="430"/>
      <c r="I84" s="430"/>
      <c r="J84" s="430"/>
      <c r="K84" s="430"/>
      <c r="L84" s="125"/>
      <c r="M84" s="125"/>
      <c r="N84" s="125"/>
      <c r="O84" s="126"/>
    </row>
    <row r="85" spans="2:15" x14ac:dyDescent="0.2">
      <c r="B85" s="43"/>
      <c r="C85" s="44"/>
      <c r="D85" s="44"/>
      <c r="E85" s="44"/>
      <c r="F85" s="128"/>
      <c r="G85" s="44"/>
      <c r="H85" s="222"/>
      <c r="I85" s="222"/>
      <c r="J85" s="222"/>
      <c r="K85" s="222"/>
      <c r="L85" s="44"/>
      <c r="M85" s="44"/>
      <c r="N85" s="44"/>
      <c r="O85" s="47"/>
    </row>
    <row r="86" spans="2:15" x14ac:dyDescent="0.2">
      <c r="B86" s="49"/>
      <c r="C86" s="50"/>
      <c r="D86" s="687"/>
      <c r="E86" s="687"/>
      <c r="F86" s="810"/>
      <c r="G86" s="687"/>
      <c r="H86" s="811"/>
      <c r="I86" s="811"/>
      <c r="J86" s="811"/>
      <c r="K86" s="811"/>
      <c r="L86" s="687"/>
      <c r="M86" s="687"/>
      <c r="N86" s="50"/>
      <c r="O86" s="53"/>
    </row>
    <row r="87" spans="2:15" ht="12.75" customHeight="1" x14ac:dyDescent="0.2">
      <c r="B87" s="49"/>
      <c r="C87" s="50"/>
      <c r="D87" s="807"/>
      <c r="E87" s="808"/>
      <c r="F87" s="812"/>
      <c r="G87" s="808"/>
      <c r="H87" s="809">
        <f>H8</f>
        <v>2019</v>
      </c>
      <c r="I87" s="809">
        <f>H87+1</f>
        <v>2020</v>
      </c>
      <c r="J87" s="809">
        <f>I87+1</f>
        <v>2021</v>
      </c>
      <c r="K87" s="809">
        <f>J87+1</f>
        <v>2022</v>
      </c>
      <c r="L87" s="809">
        <f>K87+1</f>
        <v>2023</v>
      </c>
      <c r="M87" s="809">
        <f>L87+1</f>
        <v>2024</v>
      </c>
      <c r="N87" s="50"/>
      <c r="O87" s="86"/>
    </row>
    <row r="88" spans="2:15" ht="12.75" customHeight="1" x14ac:dyDescent="0.2">
      <c r="B88" s="49"/>
      <c r="C88" s="50"/>
      <c r="D88" s="689"/>
      <c r="E88" s="813"/>
      <c r="F88" s="688"/>
      <c r="G88" s="813"/>
      <c r="H88" s="814"/>
      <c r="I88" s="814"/>
      <c r="J88" s="814"/>
      <c r="K88" s="814"/>
      <c r="L88" s="809"/>
      <c r="M88" s="809"/>
      <c r="N88" s="50"/>
      <c r="O88" s="379"/>
    </row>
    <row r="89" spans="2:15" ht="12.75" customHeight="1" x14ac:dyDescent="0.2">
      <c r="B89" s="49"/>
      <c r="C89" s="66"/>
      <c r="D89" s="815"/>
      <c r="E89" s="815"/>
      <c r="F89" s="816"/>
      <c r="G89" s="815"/>
      <c r="H89" s="817"/>
      <c r="I89" s="817"/>
      <c r="J89" s="817"/>
      <c r="K89" s="817"/>
      <c r="L89" s="818"/>
      <c r="M89" s="818"/>
      <c r="N89" s="66"/>
      <c r="O89" s="379"/>
    </row>
    <row r="90" spans="2:15" ht="12.75" customHeight="1" x14ac:dyDescent="0.2">
      <c r="B90" s="49"/>
      <c r="C90" s="69"/>
      <c r="D90" s="819" t="s">
        <v>249</v>
      </c>
      <c r="E90" s="701"/>
      <c r="F90" s="702" t="s">
        <v>47</v>
      </c>
      <c r="G90" s="701"/>
      <c r="H90" s="820"/>
      <c r="I90" s="820"/>
      <c r="J90" s="820"/>
      <c r="K90" s="820"/>
      <c r="L90" s="821"/>
      <c r="M90" s="821"/>
      <c r="N90" s="69"/>
      <c r="O90" s="379"/>
    </row>
    <row r="91" spans="2:15" ht="12.75" customHeight="1" x14ac:dyDescent="0.2">
      <c r="B91" s="49"/>
      <c r="C91" s="69"/>
      <c r="D91" s="71"/>
      <c r="E91" s="71"/>
      <c r="F91" s="74"/>
      <c r="G91" s="71"/>
      <c r="H91" s="435"/>
      <c r="I91" s="435"/>
      <c r="J91" s="435"/>
      <c r="K91" s="435"/>
      <c r="L91" s="436"/>
      <c r="M91" s="436"/>
      <c r="N91" s="69"/>
      <c r="O91" s="379"/>
    </row>
    <row r="92" spans="2:15" ht="12.75" customHeight="1" x14ac:dyDescent="0.2">
      <c r="B92" s="49"/>
      <c r="C92" s="69"/>
      <c r="D92" s="70" t="s">
        <v>236</v>
      </c>
      <c r="E92" s="71"/>
      <c r="F92" s="198"/>
      <c r="G92" s="71"/>
      <c r="H92" s="739">
        <f>act!F34+act!F42</f>
        <v>0</v>
      </c>
      <c r="I92" s="739">
        <f>act!G34+act!G42</f>
        <v>0</v>
      </c>
      <c r="J92" s="739">
        <f>act!H34+act!H42</f>
        <v>0</v>
      </c>
      <c r="K92" s="739">
        <f>act!I34+act!I42</f>
        <v>0</v>
      </c>
      <c r="L92" s="739">
        <f>act!J34+act!J42</f>
        <v>0</v>
      </c>
      <c r="M92" s="739">
        <f>act!K34+act!K42</f>
        <v>0</v>
      </c>
      <c r="N92" s="69"/>
      <c r="O92" s="379"/>
    </row>
    <row r="93" spans="2:15" ht="12.75" customHeight="1" x14ac:dyDescent="0.2">
      <c r="B93" s="49"/>
      <c r="C93" s="69"/>
      <c r="D93" s="70" t="s">
        <v>237</v>
      </c>
      <c r="E93" s="71"/>
      <c r="F93" s="198"/>
      <c r="G93" s="71"/>
      <c r="H93" s="739">
        <f>act!F35+act!F43</f>
        <v>0</v>
      </c>
      <c r="I93" s="739">
        <f>act!G35+act!G43</f>
        <v>0</v>
      </c>
      <c r="J93" s="739">
        <f>act!H35+act!H43</f>
        <v>0</v>
      </c>
      <c r="K93" s="739">
        <f>act!I35+act!I43</f>
        <v>0</v>
      </c>
      <c r="L93" s="739">
        <f>act!J35+act!J43</f>
        <v>0</v>
      </c>
      <c r="M93" s="739">
        <f>act!K35+act!K43</f>
        <v>0</v>
      </c>
      <c r="N93" s="69"/>
      <c r="O93" s="379"/>
    </row>
    <row r="94" spans="2:15" ht="12.75" customHeight="1" x14ac:dyDescent="0.2">
      <c r="B94" s="49"/>
      <c r="C94" s="69"/>
      <c r="D94" s="161" t="s">
        <v>41</v>
      </c>
      <c r="E94" s="71"/>
      <c r="F94" s="198"/>
      <c r="G94" s="71"/>
      <c r="H94" s="739">
        <f>act!F36+act!F44</f>
        <v>0</v>
      </c>
      <c r="I94" s="739">
        <f>act!G36+act!G44</f>
        <v>0</v>
      </c>
      <c r="J94" s="739">
        <f>act!H36+act!H44</f>
        <v>0</v>
      </c>
      <c r="K94" s="739">
        <f>act!I36+act!I44</f>
        <v>0</v>
      </c>
      <c r="L94" s="739">
        <f>act!J36+act!J44</f>
        <v>0</v>
      </c>
      <c r="M94" s="739">
        <f>act!K36+act!K44</f>
        <v>0</v>
      </c>
      <c r="N94" s="69"/>
      <c r="O94" s="379"/>
    </row>
    <row r="95" spans="2:15" ht="12.75" customHeight="1" x14ac:dyDescent="0.2">
      <c r="B95" s="49"/>
      <c r="C95" s="69"/>
      <c r="D95" s="161" t="s">
        <v>42</v>
      </c>
      <c r="E95" s="71"/>
      <c r="F95" s="198"/>
      <c r="G95" s="71"/>
      <c r="H95" s="739">
        <f>act!F37+act!F45</f>
        <v>0</v>
      </c>
      <c r="I95" s="739">
        <f>act!G37+act!G45</f>
        <v>0</v>
      </c>
      <c r="J95" s="739">
        <f>act!H37+act!H45</f>
        <v>0</v>
      </c>
      <c r="K95" s="739">
        <f>act!I37+act!I45</f>
        <v>0</v>
      </c>
      <c r="L95" s="739">
        <f>act!J37+act!J45</f>
        <v>0</v>
      </c>
      <c r="M95" s="739">
        <f>act!K37+act!K45</f>
        <v>0</v>
      </c>
      <c r="N95" s="69"/>
      <c r="O95" s="379"/>
    </row>
    <row r="96" spans="2:15" ht="12.75" customHeight="1" x14ac:dyDescent="0.2">
      <c r="B96" s="49"/>
      <c r="C96" s="69"/>
      <c r="D96" s="70" t="s">
        <v>277</v>
      </c>
      <c r="E96" s="71"/>
      <c r="F96" s="198"/>
      <c r="G96" s="71"/>
      <c r="H96" s="739">
        <f>act!F38+act!F46</f>
        <v>0</v>
      </c>
      <c r="I96" s="739">
        <f>act!G38+act!G46</f>
        <v>0</v>
      </c>
      <c r="J96" s="739">
        <f>act!H38+act!H46</f>
        <v>0</v>
      </c>
      <c r="K96" s="739">
        <f>act!I38+act!I46</f>
        <v>0</v>
      </c>
      <c r="L96" s="739">
        <f>act!J38+act!J46</f>
        <v>0</v>
      </c>
      <c r="M96" s="739">
        <f>act!K38+act!K46</f>
        <v>0</v>
      </c>
      <c r="N96" s="69"/>
      <c r="O96" s="379"/>
    </row>
    <row r="97" spans="2:18" ht="12.75" customHeight="1" x14ac:dyDescent="0.2">
      <c r="B97" s="49"/>
      <c r="C97" s="69"/>
      <c r="D97" s="70" t="s">
        <v>238</v>
      </c>
      <c r="E97" s="71"/>
      <c r="F97" s="198"/>
      <c r="G97" s="71"/>
      <c r="H97" s="739">
        <f>act!F39+act!F47</f>
        <v>0</v>
      </c>
      <c r="I97" s="739">
        <f>act!G39+act!G47</f>
        <v>0</v>
      </c>
      <c r="J97" s="739">
        <f>act!H39+act!H47</f>
        <v>0</v>
      </c>
      <c r="K97" s="739">
        <f>act!I39+act!I47</f>
        <v>0</v>
      </c>
      <c r="L97" s="739">
        <f>act!J39+act!J47</f>
        <v>0</v>
      </c>
      <c r="M97" s="739">
        <f>act!K39+act!K47</f>
        <v>0</v>
      </c>
      <c r="N97" s="69"/>
      <c r="O97" s="379"/>
    </row>
    <row r="98" spans="2:18" ht="12.75" customHeight="1" x14ac:dyDescent="0.2">
      <c r="B98" s="49"/>
      <c r="C98" s="69"/>
      <c r="D98" s="71"/>
      <c r="E98" s="71"/>
      <c r="F98" s="93"/>
      <c r="G98" s="437"/>
      <c r="H98" s="435"/>
      <c r="I98" s="435"/>
      <c r="J98" s="435"/>
      <c r="K98" s="435"/>
      <c r="L98" s="436"/>
      <c r="M98" s="436"/>
      <c r="N98" s="69"/>
      <c r="O98" s="379"/>
    </row>
    <row r="99" spans="2:18" ht="12.75" customHeight="1" x14ac:dyDescent="0.2">
      <c r="B99" s="49"/>
      <c r="C99" s="69"/>
      <c r="D99" s="96" t="s">
        <v>284</v>
      </c>
      <c r="E99" s="71"/>
      <c r="F99" s="74"/>
      <c r="G99" s="71"/>
      <c r="H99" s="770">
        <f t="shared" ref="H99:M99" si="21">SUM(H92:H97)</f>
        <v>0</v>
      </c>
      <c r="I99" s="770">
        <f t="shared" si="21"/>
        <v>0</v>
      </c>
      <c r="J99" s="770">
        <f t="shared" si="21"/>
        <v>0</v>
      </c>
      <c r="K99" s="770">
        <f t="shared" si="21"/>
        <v>0</v>
      </c>
      <c r="L99" s="770">
        <f t="shared" si="21"/>
        <v>0</v>
      </c>
      <c r="M99" s="770">
        <f t="shared" si="21"/>
        <v>0</v>
      </c>
      <c r="N99" s="69"/>
      <c r="O99" s="379"/>
    </row>
    <row r="100" spans="2:18" ht="12.75" customHeight="1" x14ac:dyDescent="0.2">
      <c r="B100" s="49"/>
      <c r="C100" s="76"/>
      <c r="D100" s="438"/>
      <c r="E100" s="439"/>
      <c r="F100" s="78"/>
      <c r="G100" s="439"/>
      <c r="H100" s="440"/>
      <c r="I100" s="440"/>
      <c r="J100" s="440"/>
      <c r="K100" s="440"/>
      <c r="L100" s="441"/>
      <c r="M100" s="441"/>
      <c r="N100" s="76"/>
      <c r="O100" s="379"/>
    </row>
    <row r="101" spans="2:18" ht="12.75" customHeight="1" x14ac:dyDescent="0.2">
      <c r="B101" s="49"/>
      <c r="C101" s="50"/>
      <c r="D101" s="51"/>
      <c r="E101" s="376"/>
      <c r="F101" s="52"/>
      <c r="G101" s="376"/>
      <c r="H101" s="377"/>
      <c r="I101" s="377"/>
      <c r="J101" s="377"/>
      <c r="K101" s="377"/>
      <c r="L101" s="378"/>
      <c r="M101" s="378"/>
      <c r="N101" s="50"/>
      <c r="O101" s="379"/>
    </row>
    <row r="102" spans="2:18" ht="12.75" customHeight="1" x14ac:dyDescent="0.2">
      <c r="B102" s="49"/>
      <c r="C102" s="66"/>
      <c r="D102" s="67"/>
      <c r="E102" s="67"/>
      <c r="F102" s="132"/>
      <c r="G102" s="67"/>
      <c r="H102" s="442"/>
      <c r="I102" s="442"/>
      <c r="J102" s="442"/>
      <c r="K102" s="442"/>
      <c r="L102" s="443"/>
      <c r="M102" s="443"/>
      <c r="N102" s="66"/>
      <c r="O102" s="444"/>
    </row>
    <row r="103" spans="2:18" ht="12.75" customHeight="1" x14ac:dyDescent="0.2">
      <c r="B103" s="49"/>
      <c r="C103" s="69"/>
      <c r="D103" s="690" t="s">
        <v>250</v>
      </c>
      <c r="E103" s="701"/>
      <c r="F103" s="702"/>
      <c r="G103" s="71"/>
      <c r="H103" s="445"/>
      <c r="I103" s="445"/>
      <c r="J103" s="445"/>
      <c r="K103" s="445"/>
      <c r="L103" s="446"/>
      <c r="M103" s="446"/>
      <c r="N103" s="69"/>
      <c r="O103" s="447"/>
    </row>
    <row r="104" spans="2:18" ht="12.75" customHeight="1" x14ac:dyDescent="0.2">
      <c r="B104" s="49"/>
      <c r="C104" s="69"/>
      <c r="D104" s="822"/>
      <c r="E104" s="701"/>
      <c r="F104" s="702" t="s">
        <v>47</v>
      </c>
      <c r="G104" s="71"/>
      <c r="H104" s="445"/>
      <c r="I104" s="445"/>
      <c r="J104" s="445"/>
      <c r="K104" s="445"/>
      <c r="L104" s="446"/>
      <c r="M104" s="446"/>
      <c r="N104" s="69"/>
      <c r="O104" s="447"/>
    </row>
    <row r="105" spans="2:18" ht="12.75" customHeight="1" x14ac:dyDescent="0.2">
      <c r="B105" s="49"/>
      <c r="C105" s="69"/>
      <c r="D105" s="437" t="s">
        <v>502</v>
      </c>
      <c r="E105" s="71"/>
      <c r="F105" s="448"/>
      <c r="G105" s="71"/>
      <c r="H105" s="739">
        <f>mop!F17</f>
        <v>0</v>
      </c>
      <c r="I105" s="739">
        <f>mop!G17</f>
        <v>0</v>
      </c>
      <c r="J105" s="739">
        <f>mop!H17</f>
        <v>0</v>
      </c>
      <c r="K105" s="739">
        <f>mop!I17</f>
        <v>0</v>
      </c>
      <c r="L105" s="739">
        <f>mop!J17</f>
        <v>0</v>
      </c>
      <c r="M105" s="739">
        <f>mop!K17</f>
        <v>0</v>
      </c>
      <c r="N105" s="69"/>
      <c r="O105" s="449"/>
      <c r="R105" s="329"/>
    </row>
    <row r="106" spans="2:18" ht="12.75" customHeight="1" x14ac:dyDescent="0.2">
      <c r="B106" s="49"/>
      <c r="C106" s="69"/>
      <c r="D106" s="450"/>
      <c r="E106" s="437"/>
      <c r="F106" s="198"/>
      <c r="G106" s="437"/>
      <c r="H106" s="394">
        <v>0</v>
      </c>
      <c r="I106" s="394">
        <f t="shared" ref="I106:K114" si="22">H106</f>
        <v>0</v>
      </c>
      <c r="J106" s="394">
        <f t="shared" si="22"/>
        <v>0</v>
      </c>
      <c r="K106" s="394">
        <f t="shared" si="22"/>
        <v>0</v>
      </c>
      <c r="L106" s="394">
        <f t="shared" ref="L106:M114" si="23">K106</f>
        <v>0</v>
      </c>
      <c r="M106" s="394">
        <f t="shared" si="23"/>
        <v>0</v>
      </c>
      <c r="N106" s="69"/>
      <c r="O106" s="451"/>
    </row>
    <row r="107" spans="2:18" ht="12.75" customHeight="1" x14ac:dyDescent="0.2">
      <c r="B107" s="49"/>
      <c r="C107" s="69"/>
      <c r="D107" s="164"/>
      <c r="E107" s="437"/>
      <c r="F107" s="198"/>
      <c r="G107" s="437"/>
      <c r="H107" s="394">
        <v>0</v>
      </c>
      <c r="I107" s="394">
        <f t="shared" si="22"/>
        <v>0</v>
      </c>
      <c r="J107" s="394">
        <f t="shared" si="22"/>
        <v>0</v>
      </c>
      <c r="K107" s="394">
        <f t="shared" si="22"/>
        <v>0</v>
      </c>
      <c r="L107" s="394">
        <f t="shared" si="23"/>
        <v>0</v>
      </c>
      <c r="M107" s="394">
        <f t="shared" si="23"/>
        <v>0</v>
      </c>
      <c r="N107" s="69"/>
      <c r="O107" s="451"/>
    </row>
    <row r="108" spans="2:18" ht="12.75" customHeight="1" x14ac:dyDescent="0.2">
      <c r="B108" s="49"/>
      <c r="C108" s="69"/>
      <c r="D108" s="164"/>
      <c r="E108" s="437"/>
      <c r="F108" s="198"/>
      <c r="G108" s="437"/>
      <c r="H108" s="394">
        <v>0</v>
      </c>
      <c r="I108" s="394">
        <f t="shared" si="22"/>
        <v>0</v>
      </c>
      <c r="J108" s="394">
        <f t="shared" si="22"/>
        <v>0</v>
      </c>
      <c r="K108" s="394">
        <f t="shared" si="22"/>
        <v>0</v>
      </c>
      <c r="L108" s="394">
        <f t="shared" si="23"/>
        <v>0</v>
      </c>
      <c r="M108" s="394">
        <f t="shared" si="23"/>
        <v>0</v>
      </c>
      <c r="N108" s="69"/>
      <c r="O108" s="451"/>
    </row>
    <row r="109" spans="2:18" ht="12.75" customHeight="1" x14ac:dyDescent="0.2">
      <c r="B109" s="49"/>
      <c r="C109" s="69"/>
      <c r="D109" s="164"/>
      <c r="E109" s="437"/>
      <c r="F109" s="198"/>
      <c r="G109" s="437"/>
      <c r="H109" s="394">
        <v>0</v>
      </c>
      <c r="I109" s="394">
        <f t="shared" si="22"/>
        <v>0</v>
      </c>
      <c r="J109" s="394">
        <f t="shared" si="22"/>
        <v>0</v>
      </c>
      <c r="K109" s="394">
        <f t="shared" si="22"/>
        <v>0</v>
      </c>
      <c r="L109" s="394">
        <f t="shared" si="23"/>
        <v>0</v>
      </c>
      <c r="M109" s="394">
        <f t="shared" si="23"/>
        <v>0</v>
      </c>
      <c r="N109" s="69"/>
      <c r="O109" s="451"/>
    </row>
    <row r="110" spans="2:18" ht="12.75" customHeight="1" x14ac:dyDescent="0.2">
      <c r="B110" s="49"/>
      <c r="C110" s="69"/>
      <c r="D110" s="164"/>
      <c r="E110" s="437"/>
      <c r="F110" s="198"/>
      <c r="G110" s="437"/>
      <c r="H110" s="394">
        <v>0</v>
      </c>
      <c r="I110" s="394">
        <f t="shared" si="22"/>
        <v>0</v>
      </c>
      <c r="J110" s="394">
        <f t="shared" si="22"/>
        <v>0</v>
      </c>
      <c r="K110" s="394">
        <f t="shared" si="22"/>
        <v>0</v>
      </c>
      <c r="L110" s="394">
        <f t="shared" si="23"/>
        <v>0</v>
      </c>
      <c r="M110" s="394">
        <f t="shared" si="23"/>
        <v>0</v>
      </c>
      <c r="N110" s="69"/>
      <c r="O110" s="451"/>
    </row>
    <row r="111" spans="2:18" ht="12.75" customHeight="1" x14ac:dyDescent="0.2">
      <c r="B111" s="49"/>
      <c r="C111" s="69"/>
      <c r="D111" s="164"/>
      <c r="E111" s="437"/>
      <c r="F111" s="198"/>
      <c r="G111" s="437"/>
      <c r="H111" s="394">
        <v>0</v>
      </c>
      <c r="I111" s="394">
        <f t="shared" si="22"/>
        <v>0</v>
      </c>
      <c r="J111" s="394">
        <f t="shared" si="22"/>
        <v>0</v>
      </c>
      <c r="K111" s="394">
        <f t="shared" si="22"/>
        <v>0</v>
      </c>
      <c r="L111" s="394">
        <f t="shared" si="23"/>
        <v>0</v>
      </c>
      <c r="M111" s="394">
        <f t="shared" si="23"/>
        <v>0</v>
      </c>
      <c r="N111" s="69"/>
      <c r="O111" s="451"/>
    </row>
    <row r="112" spans="2:18" ht="12.75" customHeight="1" x14ac:dyDescent="0.2">
      <c r="B112" s="49"/>
      <c r="C112" s="69"/>
      <c r="D112" s="164"/>
      <c r="E112" s="437"/>
      <c r="F112" s="198"/>
      <c r="G112" s="437"/>
      <c r="H112" s="394">
        <v>0</v>
      </c>
      <c r="I112" s="394">
        <f t="shared" ref="I112:K113" si="24">H112</f>
        <v>0</v>
      </c>
      <c r="J112" s="394">
        <f t="shared" si="24"/>
        <v>0</v>
      </c>
      <c r="K112" s="394">
        <f t="shared" si="24"/>
        <v>0</v>
      </c>
      <c r="L112" s="394">
        <f t="shared" si="23"/>
        <v>0</v>
      </c>
      <c r="M112" s="394">
        <f t="shared" si="23"/>
        <v>0</v>
      </c>
      <c r="N112" s="69"/>
      <c r="O112" s="451"/>
    </row>
    <row r="113" spans="2:15" ht="12.75" customHeight="1" x14ac:dyDescent="0.2">
      <c r="B113" s="49"/>
      <c r="C113" s="69"/>
      <c r="D113" s="164"/>
      <c r="E113" s="437"/>
      <c r="F113" s="198"/>
      <c r="G113" s="437"/>
      <c r="H113" s="394">
        <v>0</v>
      </c>
      <c r="I113" s="394">
        <f t="shared" si="24"/>
        <v>0</v>
      </c>
      <c r="J113" s="394">
        <f t="shared" si="24"/>
        <v>0</v>
      </c>
      <c r="K113" s="394">
        <f t="shared" si="24"/>
        <v>0</v>
      </c>
      <c r="L113" s="394">
        <f t="shared" si="23"/>
        <v>0</v>
      </c>
      <c r="M113" s="394">
        <f t="shared" si="23"/>
        <v>0</v>
      </c>
      <c r="N113" s="69"/>
      <c r="O113" s="451"/>
    </row>
    <row r="114" spans="2:15" ht="12.75" customHeight="1" x14ac:dyDescent="0.2">
      <c r="B114" s="49"/>
      <c r="C114" s="69"/>
      <c r="D114" s="164"/>
      <c r="E114" s="437"/>
      <c r="F114" s="198"/>
      <c r="G114" s="437"/>
      <c r="H114" s="394">
        <v>0</v>
      </c>
      <c r="I114" s="394">
        <f t="shared" si="22"/>
        <v>0</v>
      </c>
      <c r="J114" s="394">
        <f t="shared" si="22"/>
        <v>0</v>
      </c>
      <c r="K114" s="394">
        <f t="shared" si="22"/>
        <v>0</v>
      </c>
      <c r="L114" s="394">
        <f t="shared" si="23"/>
        <v>0</v>
      </c>
      <c r="M114" s="394">
        <f t="shared" si="23"/>
        <v>0</v>
      </c>
      <c r="N114" s="69"/>
      <c r="O114" s="451"/>
    </row>
    <row r="115" spans="2:15" ht="12.75" customHeight="1" x14ac:dyDescent="0.2">
      <c r="B115" s="49"/>
      <c r="C115" s="69"/>
      <c r="D115" s="437"/>
      <c r="E115" s="437"/>
      <c r="F115" s="93"/>
      <c r="G115" s="437"/>
      <c r="H115" s="435"/>
      <c r="I115" s="435"/>
      <c r="J115" s="435"/>
      <c r="K115" s="435"/>
      <c r="L115" s="435"/>
      <c r="M115" s="435"/>
      <c r="N115" s="69"/>
      <c r="O115" s="451"/>
    </row>
    <row r="116" spans="2:15" ht="12.75" customHeight="1" x14ac:dyDescent="0.2">
      <c r="B116" s="49"/>
      <c r="C116" s="69"/>
      <c r="D116" s="96" t="s">
        <v>284</v>
      </c>
      <c r="E116" s="71"/>
      <c r="F116" s="74"/>
      <c r="G116" s="71"/>
      <c r="H116" s="770">
        <f t="shared" ref="H116:M116" si="25">SUM(H105:H114)</f>
        <v>0</v>
      </c>
      <c r="I116" s="770">
        <f t="shared" si="25"/>
        <v>0</v>
      </c>
      <c r="J116" s="770">
        <f t="shared" si="25"/>
        <v>0</v>
      </c>
      <c r="K116" s="770">
        <f t="shared" si="25"/>
        <v>0</v>
      </c>
      <c r="L116" s="770">
        <f t="shared" si="25"/>
        <v>0</v>
      </c>
      <c r="M116" s="770">
        <f t="shared" si="25"/>
        <v>0</v>
      </c>
      <c r="N116" s="69"/>
      <c r="O116" s="452"/>
    </row>
    <row r="117" spans="2:15" ht="12.75" customHeight="1" x14ac:dyDescent="0.2">
      <c r="B117" s="49"/>
      <c r="C117" s="76"/>
      <c r="D117" s="77"/>
      <c r="E117" s="77"/>
      <c r="F117" s="143"/>
      <c r="G117" s="77"/>
      <c r="H117" s="453"/>
      <c r="I117" s="453"/>
      <c r="J117" s="453"/>
      <c r="K117" s="453"/>
      <c r="L117" s="453"/>
      <c r="M117" s="453"/>
      <c r="N117" s="76"/>
      <c r="O117" s="449"/>
    </row>
    <row r="118" spans="2:15" ht="12.75" customHeight="1" x14ac:dyDescent="0.2">
      <c r="B118" s="49"/>
      <c r="C118" s="50"/>
      <c r="D118" s="50"/>
      <c r="E118" s="50"/>
      <c r="F118" s="129"/>
      <c r="G118" s="50"/>
      <c r="H118" s="352"/>
      <c r="I118" s="352"/>
      <c r="J118" s="352"/>
      <c r="K118" s="352"/>
      <c r="L118" s="352"/>
      <c r="M118" s="352"/>
      <c r="N118" s="50"/>
      <c r="O118" s="449"/>
    </row>
    <row r="119" spans="2:15" ht="12.75" customHeight="1" x14ac:dyDescent="0.2">
      <c r="B119" s="49"/>
      <c r="C119" s="66"/>
      <c r="D119" s="431"/>
      <c r="E119" s="431"/>
      <c r="F119" s="432"/>
      <c r="G119" s="431"/>
      <c r="H119" s="433"/>
      <c r="I119" s="433"/>
      <c r="J119" s="433"/>
      <c r="K119" s="433"/>
      <c r="L119" s="433"/>
      <c r="M119" s="433"/>
      <c r="N119" s="66"/>
      <c r="O119" s="449"/>
    </row>
    <row r="120" spans="2:15" s="134" customFormat="1" ht="12.75" customHeight="1" x14ac:dyDescent="0.2">
      <c r="B120" s="116"/>
      <c r="C120" s="121"/>
      <c r="D120" s="690" t="s">
        <v>354</v>
      </c>
      <c r="E120" s="819"/>
      <c r="F120" s="702" t="s">
        <v>47</v>
      </c>
      <c r="G120" s="454"/>
      <c r="H120" s="455"/>
      <c r="I120" s="455"/>
      <c r="J120" s="455"/>
      <c r="K120" s="455"/>
      <c r="L120" s="455"/>
      <c r="M120" s="455"/>
      <c r="N120" s="121"/>
      <c r="O120" s="452"/>
    </row>
    <row r="121" spans="2:15" s="134" customFormat="1" ht="12.75" customHeight="1" x14ac:dyDescent="0.2">
      <c r="B121" s="116"/>
      <c r="C121" s="121"/>
      <c r="D121" s="456"/>
      <c r="E121" s="454"/>
      <c r="F121" s="457"/>
      <c r="G121" s="454"/>
      <c r="H121" s="455"/>
      <c r="I121" s="455"/>
      <c r="J121" s="455"/>
      <c r="K121" s="455"/>
      <c r="L121" s="455"/>
      <c r="M121" s="455"/>
      <c r="N121" s="121"/>
      <c r="O121" s="452"/>
    </row>
    <row r="122" spans="2:15" ht="12.75" customHeight="1" x14ac:dyDescent="0.2">
      <c r="B122" s="49"/>
      <c r="C122" s="69"/>
      <c r="D122" s="450"/>
      <c r="E122" s="437"/>
      <c r="F122" s="198"/>
      <c r="G122" s="437"/>
      <c r="H122" s="394">
        <v>0</v>
      </c>
      <c r="I122" s="394">
        <f t="shared" ref="I122:K135" si="26">H122</f>
        <v>0</v>
      </c>
      <c r="J122" s="394">
        <f t="shared" si="26"/>
        <v>0</v>
      </c>
      <c r="K122" s="394">
        <f t="shared" si="26"/>
        <v>0</v>
      </c>
      <c r="L122" s="394">
        <f t="shared" ref="L122:M139" si="27">K122</f>
        <v>0</v>
      </c>
      <c r="M122" s="394">
        <f t="shared" si="27"/>
        <v>0</v>
      </c>
      <c r="N122" s="69"/>
      <c r="O122" s="451"/>
    </row>
    <row r="123" spans="2:15" ht="12.75" customHeight="1" x14ac:dyDescent="0.2">
      <c r="B123" s="49"/>
      <c r="C123" s="69"/>
      <c r="D123" s="450"/>
      <c r="E123" s="437"/>
      <c r="F123" s="198"/>
      <c r="G123" s="437"/>
      <c r="H123" s="394">
        <v>0</v>
      </c>
      <c r="I123" s="394">
        <f t="shared" ref="I123:M125" si="28">H123</f>
        <v>0</v>
      </c>
      <c r="J123" s="394">
        <f t="shared" si="28"/>
        <v>0</v>
      </c>
      <c r="K123" s="394">
        <f t="shared" si="28"/>
        <v>0</v>
      </c>
      <c r="L123" s="394">
        <f t="shared" si="28"/>
        <v>0</v>
      </c>
      <c r="M123" s="394">
        <f t="shared" si="28"/>
        <v>0</v>
      </c>
      <c r="N123" s="69"/>
      <c r="O123" s="451"/>
    </row>
    <row r="124" spans="2:15" ht="12.75" customHeight="1" x14ac:dyDescent="0.2">
      <c r="B124" s="49"/>
      <c r="C124" s="69"/>
      <c r="D124" s="450"/>
      <c r="E124" s="437"/>
      <c r="F124" s="198"/>
      <c r="G124" s="437"/>
      <c r="H124" s="394">
        <v>0</v>
      </c>
      <c r="I124" s="394">
        <f t="shared" si="28"/>
        <v>0</v>
      </c>
      <c r="J124" s="394">
        <f t="shared" si="28"/>
        <v>0</v>
      </c>
      <c r="K124" s="394">
        <f t="shared" si="28"/>
        <v>0</v>
      </c>
      <c r="L124" s="394">
        <f t="shared" si="28"/>
        <v>0</v>
      </c>
      <c r="M124" s="394">
        <f t="shared" si="28"/>
        <v>0</v>
      </c>
      <c r="N124" s="69"/>
      <c r="O124" s="451"/>
    </row>
    <row r="125" spans="2:15" ht="12.75" customHeight="1" x14ac:dyDescent="0.2">
      <c r="B125" s="49"/>
      <c r="C125" s="69"/>
      <c r="D125" s="450"/>
      <c r="E125" s="437"/>
      <c r="F125" s="198"/>
      <c r="G125" s="437"/>
      <c r="H125" s="394">
        <v>0</v>
      </c>
      <c r="I125" s="394">
        <f t="shared" si="28"/>
        <v>0</v>
      </c>
      <c r="J125" s="394">
        <f t="shared" si="28"/>
        <v>0</v>
      </c>
      <c r="K125" s="394">
        <f t="shared" si="28"/>
        <v>0</v>
      </c>
      <c r="L125" s="394">
        <f t="shared" si="28"/>
        <v>0</v>
      </c>
      <c r="M125" s="394">
        <f t="shared" si="28"/>
        <v>0</v>
      </c>
      <c r="N125" s="69"/>
      <c r="O125" s="451"/>
    </row>
    <row r="126" spans="2:15" ht="12.75" customHeight="1" x14ac:dyDescent="0.2">
      <c r="B126" s="49"/>
      <c r="C126" s="69"/>
      <c r="D126" s="450"/>
      <c r="E126" s="437"/>
      <c r="F126" s="198"/>
      <c r="G126" s="437"/>
      <c r="H126" s="394">
        <v>0</v>
      </c>
      <c r="I126" s="394">
        <f t="shared" si="26"/>
        <v>0</v>
      </c>
      <c r="J126" s="394">
        <f t="shared" si="26"/>
        <v>0</v>
      </c>
      <c r="K126" s="394">
        <f t="shared" si="26"/>
        <v>0</v>
      </c>
      <c r="L126" s="394">
        <f t="shared" si="27"/>
        <v>0</v>
      </c>
      <c r="M126" s="394">
        <f t="shared" si="27"/>
        <v>0</v>
      </c>
      <c r="N126" s="69"/>
      <c r="O126" s="451"/>
    </row>
    <row r="127" spans="2:15" ht="12.75" customHeight="1" x14ac:dyDescent="0.2">
      <c r="B127" s="49"/>
      <c r="C127" s="69"/>
      <c r="D127" s="450"/>
      <c r="E127" s="437"/>
      <c r="F127" s="198"/>
      <c r="G127" s="437"/>
      <c r="H127" s="394">
        <v>0</v>
      </c>
      <c r="I127" s="394">
        <f t="shared" si="26"/>
        <v>0</v>
      </c>
      <c r="J127" s="394">
        <f t="shared" si="26"/>
        <v>0</v>
      </c>
      <c r="K127" s="394">
        <f t="shared" si="26"/>
        <v>0</v>
      </c>
      <c r="L127" s="394">
        <f t="shared" si="27"/>
        <v>0</v>
      </c>
      <c r="M127" s="394">
        <f t="shared" si="27"/>
        <v>0</v>
      </c>
      <c r="N127" s="69"/>
      <c r="O127" s="451"/>
    </row>
    <row r="128" spans="2:15" ht="12.75" customHeight="1" x14ac:dyDescent="0.2">
      <c r="B128" s="49"/>
      <c r="C128" s="69"/>
      <c r="D128" s="450"/>
      <c r="E128" s="437"/>
      <c r="F128" s="198"/>
      <c r="G128" s="437"/>
      <c r="H128" s="394">
        <v>0</v>
      </c>
      <c r="I128" s="394">
        <f t="shared" si="26"/>
        <v>0</v>
      </c>
      <c r="J128" s="394">
        <f t="shared" si="26"/>
        <v>0</v>
      </c>
      <c r="K128" s="394">
        <f t="shared" si="26"/>
        <v>0</v>
      </c>
      <c r="L128" s="394">
        <f t="shared" si="27"/>
        <v>0</v>
      </c>
      <c r="M128" s="394">
        <f t="shared" si="27"/>
        <v>0</v>
      </c>
      <c r="N128" s="69"/>
      <c r="O128" s="451"/>
    </row>
    <row r="129" spans="2:15" ht="12.75" customHeight="1" x14ac:dyDescent="0.2">
      <c r="B129" s="49"/>
      <c r="C129" s="69"/>
      <c r="D129" s="450"/>
      <c r="E129" s="437"/>
      <c r="F129" s="198"/>
      <c r="G129" s="437"/>
      <c r="H129" s="394">
        <v>0</v>
      </c>
      <c r="I129" s="394">
        <f t="shared" si="26"/>
        <v>0</v>
      </c>
      <c r="J129" s="394">
        <f t="shared" si="26"/>
        <v>0</v>
      </c>
      <c r="K129" s="394">
        <f t="shared" si="26"/>
        <v>0</v>
      </c>
      <c r="L129" s="394">
        <f t="shared" si="27"/>
        <v>0</v>
      </c>
      <c r="M129" s="394">
        <f t="shared" si="27"/>
        <v>0</v>
      </c>
      <c r="N129" s="69"/>
      <c r="O129" s="451"/>
    </row>
    <row r="130" spans="2:15" ht="12.75" customHeight="1" x14ac:dyDescent="0.2">
      <c r="B130" s="49"/>
      <c r="C130" s="69"/>
      <c r="D130" s="450"/>
      <c r="E130" s="437"/>
      <c r="F130" s="198"/>
      <c r="G130" s="437"/>
      <c r="H130" s="394">
        <v>0</v>
      </c>
      <c r="I130" s="394">
        <f t="shared" si="26"/>
        <v>0</v>
      </c>
      <c r="J130" s="394">
        <f t="shared" si="26"/>
        <v>0</v>
      </c>
      <c r="K130" s="394">
        <f t="shared" si="26"/>
        <v>0</v>
      </c>
      <c r="L130" s="394">
        <f t="shared" si="27"/>
        <v>0</v>
      </c>
      <c r="M130" s="394">
        <f t="shared" si="27"/>
        <v>0</v>
      </c>
      <c r="N130" s="69"/>
      <c r="O130" s="451"/>
    </row>
    <row r="131" spans="2:15" ht="12.75" customHeight="1" x14ac:dyDescent="0.2">
      <c r="B131" s="49"/>
      <c r="C131" s="69"/>
      <c r="D131" s="450"/>
      <c r="E131" s="437"/>
      <c r="F131" s="198"/>
      <c r="G131" s="437"/>
      <c r="H131" s="394">
        <v>0</v>
      </c>
      <c r="I131" s="394">
        <f t="shared" si="26"/>
        <v>0</v>
      </c>
      <c r="J131" s="394">
        <f t="shared" si="26"/>
        <v>0</v>
      </c>
      <c r="K131" s="394">
        <f t="shared" si="26"/>
        <v>0</v>
      </c>
      <c r="L131" s="394">
        <f t="shared" si="27"/>
        <v>0</v>
      </c>
      <c r="M131" s="394">
        <f t="shared" si="27"/>
        <v>0</v>
      </c>
      <c r="N131" s="69"/>
      <c r="O131" s="451"/>
    </row>
    <row r="132" spans="2:15" ht="12.75" customHeight="1" x14ac:dyDescent="0.2">
      <c r="B132" s="49"/>
      <c r="C132" s="69"/>
      <c r="D132" s="450"/>
      <c r="E132" s="437"/>
      <c r="F132" s="198"/>
      <c r="G132" s="437"/>
      <c r="H132" s="394">
        <v>0</v>
      </c>
      <c r="I132" s="394">
        <f t="shared" si="26"/>
        <v>0</v>
      </c>
      <c r="J132" s="394">
        <f t="shared" si="26"/>
        <v>0</v>
      </c>
      <c r="K132" s="394">
        <f t="shared" si="26"/>
        <v>0</v>
      </c>
      <c r="L132" s="394">
        <f t="shared" si="27"/>
        <v>0</v>
      </c>
      <c r="M132" s="394">
        <f t="shared" si="27"/>
        <v>0</v>
      </c>
      <c r="N132" s="69"/>
      <c r="O132" s="451"/>
    </row>
    <row r="133" spans="2:15" ht="12.75" customHeight="1" x14ac:dyDescent="0.2">
      <c r="B133" s="49"/>
      <c r="C133" s="69"/>
      <c r="D133" s="450"/>
      <c r="E133" s="437"/>
      <c r="F133" s="198"/>
      <c r="G133" s="437"/>
      <c r="H133" s="394">
        <v>0</v>
      </c>
      <c r="I133" s="394">
        <f t="shared" si="26"/>
        <v>0</v>
      </c>
      <c r="J133" s="394">
        <f t="shared" si="26"/>
        <v>0</v>
      </c>
      <c r="K133" s="394">
        <f t="shared" si="26"/>
        <v>0</v>
      </c>
      <c r="L133" s="394">
        <f t="shared" si="27"/>
        <v>0</v>
      </c>
      <c r="M133" s="394">
        <f t="shared" si="27"/>
        <v>0</v>
      </c>
      <c r="N133" s="69"/>
      <c r="O133" s="451"/>
    </row>
    <row r="134" spans="2:15" ht="12.75" customHeight="1" x14ac:dyDescent="0.2">
      <c r="B134" s="49"/>
      <c r="C134" s="69"/>
      <c r="D134" s="450"/>
      <c r="E134" s="437"/>
      <c r="F134" s="198"/>
      <c r="G134" s="437"/>
      <c r="H134" s="394">
        <v>0</v>
      </c>
      <c r="I134" s="394">
        <f t="shared" si="26"/>
        <v>0</v>
      </c>
      <c r="J134" s="394">
        <f t="shared" si="26"/>
        <v>0</v>
      </c>
      <c r="K134" s="394">
        <f t="shared" si="26"/>
        <v>0</v>
      </c>
      <c r="L134" s="394">
        <f t="shared" si="27"/>
        <v>0</v>
      </c>
      <c r="M134" s="394">
        <f t="shared" si="27"/>
        <v>0</v>
      </c>
      <c r="N134" s="69"/>
      <c r="O134" s="451"/>
    </row>
    <row r="135" spans="2:15" ht="12.75" customHeight="1" x14ac:dyDescent="0.2">
      <c r="B135" s="49"/>
      <c r="C135" s="69"/>
      <c r="D135" s="450"/>
      <c r="E135" s="437"/>
      <c r="F135" s="198"/>
      <c r="G135" s="437"/>
      <c r="H135" s="394">
        <v>0</v>
      </c>
      <c r="I135" s="394">
        <f t="shared" si="26"/>
        <v>0</v>
      </c>
      <c r="J135" s="394">
        <f t="shared" si="26"/>
        <v>0</v>
      </c>
      <c r="K135" s="394">
        <f t="shared" si="26"/>
        <v>0</v>
      </c>
      <c r="L135" s="394">
        <f t="shared" si="27"/>
        <v>0</v>
      </c>
      <c r="M135" s="394">
        <f t="shared" si="27"/>
        <v>0</v>
      </c>
      <c r="N135" s="69"/>
      <c r="O135" s="451"/>
    </row>
    <row r="136" spans="2:15" ht="12.75" customHeight="1" x14ac:dyDescent="0.2">
      <c r="B136" s="49"/>
      <c r="C136" s="69"/>
      <c r="D136" s="450"/>
      <c r="E136" s="437"/>
      <c r="F136" s="198"/>
      <c r="G136" s="437"/>
      <c r="H136" s="394">
        <v>0</v>
      </c>
      <c r="I136" s="394">
        <f t="shared" ref="I136:K139" si="29">H136</f>
        <v>0</v>
      </c>
      <c r="J136" s="394">
        <f t="shared" si="29"/>
        <v>0</v>
      </c>
      <c r="K136" s="394">
        <f t="shared" si="29"/>
        <v>0</v>
      </c>
      <c r="L136" s="394">
        <f t="shared" si="27"/>
        <v>0</v>
      </c>
      <c r="M136" s="394">
        <f t="shared" si="27"/>
        <v>0</v>
      </c>
      <c r="N136" s="69"/>
      <c r="O136" s="451"/>
    </row>
    <row r="137" spans="2:15" ht="12.75" customHeight="1" x14ac:dyDescent="0.2">
      <c r="B137" s="49"/>
      <c r="C137" s="69"/>
      <c r="D137" s="450"/>
      <c r="E137" s="437"/>
      <c r="F137" s="198"/>
      <c r="G137" s="437"/>
      <c r="H137" s="394">
        <v>0</v>
      </c>
      <c r="I137" s="394">
        <f t="shared" si="29"/>
        <v>0</v>
      </c>
      <c r="J137" s="394">
        <f t="shared" si="29"/>
        <v>0</v>
      </c>
      <c r="K137" s="394">
        <f t="shared" si="29"/>
        <v>0</v>
      </c>
      <c r="L137" s="394">
        <f t="shared" si="27"/>
        <v>0</v>
      </c>
      <c r="M137" s="394">
        <f t="shared" si="27"/>
        <v>0</v>
      </c>
      <c r="N137" s="69"/>
      <c r="O137" s="451"/>
    </row>
    <row r="138" spans="2:15" ht="12.75" customHeight="1" x14ac:dyDescent="0.2">
      <c r="B138" s="49"/>
      <c r="C138" s="69"/>
      <c r="D138" s="450"/>
      <c r="E138" s="437"/>
      <c r="F138" s="198"/>
      <c r="G138" s="437"/>
      <c r="H138" s="394">
        <v>0</v>
      </c>
      <c r="I138" s="394">
        <f t="shared" si="29"/>
        <v>0</v>
      </c>
      <c r="J138" s="394">
        <f t="shared" si="29"/>
        <v>0</v>
      </c>
      <c r="K138" s="394">
        <f t="shared" si="29"/>
        <v>0</v>
      </c>
      <c r="L138" s="394">
        <f t="shared" si="27"/>
        <v>0</v>
      </c>
      <c r="M138" s="394">
        <f t="shared" si="27"/>
        <v>0</v>
      </c>
      <c r="N138" s="69"/>
      <c r="O138" s="451"/>
    </row>
    <row r="139" spans="2:15" ht="12.75" customHeight="1" x14ac:dyDescent="0.2">
      <c r="B139" s="49"/>
      <c r="C139" s="69"/>
      <c r="D139" s="450"/>
      <c r="E139" s="437"/>
      <c r="F139" s="198"/>
      <c r="G139" s="437"/>
      <c r="H139" s="394">
        <v>0</v>
      </c>
      <c r="I139" s="394">
        <f t="shared" si="29"/>
        <v>0</v>
      </c>
      <c r="J139" s="394">
        <f t="shared" si="29"/>
        <v>0</v>
      </c>
      <c r="K139" s="394">
        <f t="shared" si="29"/>
        <v>0</v>
      </c>
      <c r="L139" s="394">
        <f t="shared" si="27"/>
        <v>0</v>
      </c>
      <c r="M139" s="394">
        <f t="shared" si="27"/>
        <v>0</v>
      </c>
      <c r="N139" s="69"/>
      <c r="O139" s="451"/>
    </row>
    <row r="140" spans="2:15" ht="12.75" customHeight="1" x14ac:dyDescent="0.2">
      <c r="B140" s="49"/>
      <c r="C140" s="69"/>
      <c r="D140" s="450"/>
      <c r="E140" s="437"/>
      <c r="F140" s="198"/>
      <c r="G140" s="437"/>
      <c r="H140" s="394">
        <v>0</v>
      </c>
      <c r="I140" s="394">
        <f t="shared" ref="I140:K142" si="30">H140</f>
        <v>0</v>
      </c>
      <c r="J140" s="394">
        <f t="shared" si="30"/>
        <v>0</v>
      </c>
      <c r="K140" s="394">
        <f t="shared" si="30"/>
        <v>0</v>
      </c>
      <c r="L140" s="394">
        <f t="shared" ref="L140:M156" si="31">K140</f>
        <v>0</v>
      </c>
      <c r="M140" s="394">
        <f t="shared" si="31"/>
        <v>0</v>
      </c>
      <c r="N140" s="69"/>
      <c r="O140" s="451"/>
    </row>
    <row r="141" spans="2:15" ht="12.75" customHeight="1" x14ac:dyDescent="0.2">
      <c r="B141" s="49"/>
      <c r="C141" s="69"/>
      <c r="D141" s="450"/>
      <c r="E141" s="437"/>
      <c r="F141" s="198"/>
      <c r="G141" s="437"/>
      <c r="H141" s="394">
        <v>0</v>
      </c>
      <c r="I141" s="394">
        <f t="shared" si="30"/>
        <v>0</v>
      </c>
      <c r="J141" s="394">
        <f t="shared" si="30"/>
        <v>0</v>
      </c>
      <c r="K141" s="394">
        <f t="shared" si="30"/>
        <v>0</v>
      </c>
      <c r="L141" s="394">
        <f t="shared" si="31"/>
        <v>0</v>
      </c>
      <c r="M141" s="394">
        <f t="shared" si="31"/>
        <v>0</v>
      </c>
      <c r="N141" s="69"/>
      <c r="O141" s="451"/>
    </row>
    <row r="142" spans="2:15" ht="12.75" customHeight="1" x14ac:dyDescent="0.2">
      <c r="B142" s="49"/>
      <c r="C142" s="69"/>
      <c r="D142" s="450"/>
      <c r="E142" s="437"/>
      <c r="F142" s="198"/>
      <c r="G142" s="437"/>
      <c r="H142" s="394">
        <v>0</v>
      </c>
      <c r="I142" s="394">
        <f t="shared" si="30"/>
        <v>0</v>
      </c>
      <c r="J142" s="394">
        <f t="shared" si="30"/>
        <v>0</v>
      </c>
      <c r="K142" s="394">
        <f t="shared" si="30"/>
        <v>0</v>
      </c>
      <c r="L142" s="394">
        <f t="shared" si="31"/>
        <v>0</v>
      </c>
      <c r="M142" s="394">
        <f t="shared" si="31"/>
        <v>0</v>
      </c>
      <c r="N142" s="69"/>
      <c r="O142" s="451"/>
    </row>
    <row r="143" spans="2:15" ht="12.75" customHeight="1" x14ac:dyDescent="0.2">
      <c r="B143" s="49"/>
      <c r="C143" s="69"/>
      <c r="D143" s="450"/>
      <c r="E143" s="437"/>
      <c r="F143" s="198"/>
      <c r="G143" s="437"/>
      <c r="H143" s="394">
        <v>0</v>
      </c>
      <c r="I143" s="394">
        <f t="shared" ref="I143:K146" si="32">H143</f>
        <v>0</v>
      </c>
      <c r="J143" s="394">
        <f t="shared" si="32"/>
        <v>0</v>
      </c>
      <c r="K143" s="394">
        <f t="shared" si="32"/>
        <v>0</v>
      </c>
      <c r="L143" s="394">
        <f t="shared" si="31"/>
        <v>0</v>
      </c>
      <c r="M143" s="394">
        <f t="shared" si="31"/>
        <v>0</v>
      </c>
      <c r="N143" s="69"/>
      <c r="O143" s="451"/>
    </row>
    <row r="144" spans="2:15" ht="12.75" customHeight="1" x14ac:dyDescent="0.2">
      <c r="B144" s="49"/>
      <c r="C144" s="69"/>
      <c r="D144" s="450"/>
      <c r="E144" s="437"/>
      <c r="F144" s="198"/>
      <c r="G144" s="437"/>
      <c r="H144" s="394">
        <v>0</v>
      </c>
      <c r="I144" s="394">
        <f t="shared" si="32"/>
        <v>0</v>
      </c>
      <c r="J144" s="394">
        <f t="shared" si="32"/>
        <v>0</v>
      </c>
      <c r="K144" s="394">
        <f t="shared" si="32"/>
        <v>0</v>
      </c>
      <c r="L144" s="394">
        <f t="shared" si="31"/>
        <v>0</v>
      </c>
      <c r="M144" s="394">
        <f t="shared" si="31"/>
        <v>0</v>
      </c>
      <c r="N144" s="69"/>
      <c r="O144" s="451"/>
    </row>
    <row r="145" spans="2:15" ht="12.75" customHeight="1" x14ac:dyDescent="0.2">
      <c r="B145" s="49"/>
      <c r="C145" s="69"/>
      <c r="D145" s="450"/>
      <c r="E145" s="437"/>
      <c r="F145" s="198"/>
      <c r="G145" s="437"/>
      <c r="H145" s="394">
        <v>0</v>
      </c>
      <c r="I145" s="394">
        <f t="shared" si="32"/>
        <v>0</v>
      </c>
      <c r="J145" s="394">
        <f t="shared" si="32"/>
        <v>0</v>
      </c>
      <c r="K145" s="394">
        <f t="shared" si="32"/>
        <v>0</v>
      </c>
      <c r="L145" s="394">
        <f t="shared" si="31"/>
        <v>0</v>
      </c>
      <c r="M145" s="394">
        <f t="shared" si="31"/>
        <v>0</v>
      </c>
      <c r="N145" s="69"/>
      <c r="O145" s="451"/>
    </row>
    <row r="146" spans="2:15" ht="12.75" customHeight="1" x14ac:dyDescent="0.2">
      <c r="B146" s="49"/>
      <c r="C146" s="69"/>
      <c r="D146" s="450"/>
      <c r="E146" s="437"/>
      <c r="F146" s="198"/>
      <c r="G146" s="437"/>
      <c r="H146" s="394">
        <v>0</v>
      </c>
      <c r="I146" s="394">
        <f t="shared" si="32"/>
        <v>0</v>
      </c>
      <c r="J146" s="394">
        <f t="shared" si="32"/>
        <v>0</v>
      </c>
      <c r="K146" s="394">
        <f t="shared" si="32"/>
        <v>0</v>
      </c>
      <c r="L146" s="394">
        <f t="shared" si="31"/>
        <v>0</v>
      </c>
      <c r="M146" s="394">
        <f t="shared" si="31"/>
        <v>0</v>
      </c>
      <c r="N146" s="69"/>
      <c r="O146" s="451"/>
    </row>
    <row r="147" spans="2:15" ht="12.75" customHeight="1" x14ac:dyDescent="0.2">
      <c r="B147" s="49"/>
      <c r="C147" s="69"/>
      <c r="D147" s="450"/>
      <c r="E147" s="437"/>
      <c r="F147" s="198"/>
      <c r="G147" s="437"/>
      <c r="H147" s="394">
        <v>0</v>
      </c>
      <c r="I147" s="394">
        <f t="shared" ref="I147:K156" si="33">H147</f>
        <v>0</v>
      </c>
      <c r="J147" s="394">
        <f t="shared" si="33"/>
        <v>0</v>
      </c>
      <c r="K147" s="394">
        <f t="shared" si="33"/>
        <v>0</v>
      </c>
      <c r="L147" s="394">
        <f t="shared" si="31"/>
        <v>0</v>
      </c>
      <c r="M147" s="394">
        <f t="shared" si="31"/>
        <v>0</v>
      </c>
      <c r="N147" s="69"/>
      <c r="O147" s="451"/>
    </row>
    <row r="148" spans="2:15" ht="12.75" customHeight="1" x14ac:dyDescent="0.2">
      <c r="B148" s="49"/>
      <c r="C148" s="69"/>
      <c r="D148" s="450"/>
      <c r="E148" s="437"/>
      <c r="F148" s="198"/>
      <c r="G148" s="437"/>
      <c r="H148" s="394">
        <v>0</v>
      </c>
      <c r="I148" s="394">
        <f t="shared" si="33"/>
        <v>0</v>
      </c>
      <c r="J148" s="394">
        <f t="shared" si="33"/>
        <v>0</v>
      </c>
      <c r="K148" s="394">
        <f t="shared" si="33"/>
        <v>0</v>
      </c>
      <c r="L148" s="394">
        <f t="shared" si="31"/>
        <v>0</v>
      </c>
      <c r="M148" s="394">
        <f t="shared" si="31"/>
        <v>0</v>
      </c>
      <c r="N148" s="69"/>
      <c r="O148" s="451"/>
    </row>
    <row r="149" spans="2:15" ht="12.75" customHeight="1" x14ac:dyDescent="0.2">
      <c r="B149" s="49"/>
      <c r="C149" s="69"/>
      <c r="D149" s="450"/>
      <c r="E149" s="437"/>
      <c r="F149" s="198"/>
      <c r="G149" s="437"/>
      <c r="H149" s="394">
        <v>0</v>
      </c>
      <c r="I149" s="394">
        <f t="shared" si="33"/>
        <v>0</v>
      </c>
      <c r="J149" s="394">
        <f t="shared" si="33"/>
        <v>0</v>
      </c>
      <c r="K149" s="394">
        <f t="shared" si="33"/>
        <v>0</v>
      </c>
      <c r="L149" s="394">
        <f t="shared" si="31"/>
        <v>0</v>
      </c>
      <c r="M149" s="394">
        <f t="shared" si="31"/>
        <v>0</v>
      </c>
      <c r="N149" s="69"/>
      <c r="O149" s="451"/>
    </row>
    <row r="150" spans="2:15" ht="12.75" customHeight="1" x14ac:dyDescent="0.2">
      <c r="B150" s="49"/>
      <c r="C150" s="69"/>
      <c r="D150" s="450"/>
      <c r="E150" s="437"/>
      <c r="F150" s="198"/>
      <c r="G150" s="437"/>
      <c r="H150" s="394">
        <v>0</v>
      </c>
      <c r="I150" s="394">
        <f t="shared" si="33"/>
        <v>0</v>
      </c>
      <c r="J150" s="394">
        <f t="shared" si="33"/>
        <v>0</v>
      </c>
      <c r="K150" s="394">
        <f t="shared" si="33"/>
        <v>0</v>
      </c>
      <c r="L150" s="394">
        <f t="shared" si="31"/>
        <v>0</v>
      </c>
      <c r="M150" s="394">
        <f t="shared" si="31"/>
        <v>0</v>
      </c>
      <c r="N150" s="69"/>
      <c r="O150" s="451"/>
    </row>
    <row r="151" spans="2:15" ht="12.75" customHeight="1" x14ac:dyDescent="0.2">
      <c r="B151" s="49"/>
      <c r="C151" s="69"/>
      <c r="D151" s="458"/>
      <c r="E151" s="437"/>
      <c r="F151" s="198"/>
      <c r="G151" s="437"/>
      <c r="H151" s="394">
        <v>0</v>
      </c>
      <c r="I151" s="394">
        <f t="shared" si="33"/>
        <v>0</v>
      </c>
      <c r="J151" s="394">
        <f t="shared" si="33"/>
        <v>0</v>
      </c>
      <c r="K151" s="394">
        <f t="shared" si="33"/>
        <v>0</v>
      </c>
      <c r="L151" s="394">
        <f t="shared" si="31"/>
        <v>0</v>
      </c>
      <c r="M151" s="394">
        <f t="shared" si="31"/>
        <v>0</v>
      </c>
      <c r="N151" s="69"/>
      <c r="O151" s="451"/>
    </row>
    <row r="152" spans="2:15" ht="12.75" customHeight="1" x14ac:dyDescent="0.2">
      <c r="B152" s="49"/>
      <c r="C152" s="69"/>
      <c r="D152" s="458"/>
      <c r="E152" s="437"/>
      <c r="F152" s="198"/>
      <c r="G152" s="437"/>
      <c r="H152" s="394">
        <v>0</v>
      </c>
      <c r="I152" s="394">
        <f t="shared" si="33"/>
        <v>0</v>
      </c>
      <c r="J152" s="394">
        <f t="shared" si="33"/>
        <v>0</v>
      </c>
      <c r="K152" s="394">
        <f t="shared" si="33"/>
        <v>0</v>
      </c>
      <c r="L152" s="394">
        <f t="shared" si="31"/>
        <v>0</v>
      </c>
      <c r="M152" s="394">
        <f t="shared" si="31"/>
        <v>0</v>
      </c>
      <c r="N152" s="69"/>
      <c r="O152" s="451"/>
    </row>
    <row r="153" spans="2:15" ht="12.75" customHeight="1" x14ac:dyDescent="0.2">
      <c r="B153" s="49"/>
      <c r="C153" s="69"/>
      <c r="D153" s="458"/>
      <c r="E153" s="437"/>
      <c r="F153" s="198"/>
      <c r="G153" s="437"/>
      <c r="H153" s="394">
        <v>0</v>
      </c>
      <c r="I153" s="394">
        <f t="shared" si="33"/>
        <v>0</v>
      </c>
      <c r="J153" s="394">
        <f t="shared" si="33"/>
        <v>0</v>
      </c>
      <c r="K153" s="394">
        <f t="shared" si="33"/>
        <v>0</v>
      </c>
      <c r="L153" s="394">
        <f t="shared" si="31"/>
        <v>0</v>
      </c>
      <c r="M153" s="394">
        <f t="shared" si="31"/>
        <v>0</v>
      </c>
      <c r="N153" s="69"/>
      <c r="O153" s="451"/>
    </row>
    <row r="154" spans="2:15" ht="12.75" customHeight="1" x14ac:dyDescent="0.2">
      <c r="B154" s="49"/>
      <c r="C154" s="69"/>
      <c r="D154" s="458"/>
      <c r="E154" s="437"/>
      <c r="F154" s="198"/>
      <c r="G154" s="437"/>
      <c r="H154" s="394">
        <v>0</v>
      </c>
      <c r="I154" s="394">
        <f t="shared" si="33"/>
        <v>0</v>
      </c>
      <c r="J154" s="394">
        <f t="shared" si="33"/>
        <v>0</v>
      </c>
      <c r="K154" s="394">
        <f t="shared" si="33"/>
        <v>0</v>
      </c>
      <c r="L154" s="394">
        <f t="shared" si="31"/>
        <v>0</v>
      </c>
      <c r="M154" s="394">
        <f t="shared" si="31"/>
        <v>0</v>
      </c>
      <c r="N154" s="69"/>
      <c r="O154" s="451"/>
    </row>
    <row r="155" spans="2:15" ht="12.75" customHeight="1" x14ac:dyDescent="0.2">
      <c r="B155" s="49"/>
      <c r="C155" s="69"/>
      <c r="D155" s="458"/>
      <c r="E155" s="437"/>
      <c r="F155" s="198"/>
      <c r="G155" s="437"/>
      <c r="H155" s="394">
        <v>0</v>
      </c>
      <c r="I155" s="394">
        <f t="shared" si="33"/>
        <v>0</v>
      </c>
      <c r="J155" s="394">
        <f t="shared" si="33"/>
        <v>0</v>
      </c>
      <c r="K155" s="394">
        <f t="shared" si="33"/>
        <v>0</v>
      </c>
      <c r="L155" s="394">
        <f t="shared" si="31"/>
        <v>0</v>
      </c>
      <c r="M155" s="394">
        <f t="shared" si="31"/>
        <v>0</v>
      </c>
      <c r="N155" s="69"/>
      <c r="O155" s="451"/>
    </row>
    <row r="156" spans="2:15" ht="12.75" customHeight="1" x14ac:dyDescent="0.2">
      <c r="B156" s="49"/>
      <c r="C156" s="69"/>
      <c r="D156" s="458"/>
      <c r="E156" s="437"/>
      <c r="F156" s="198"/>
      <c r="G156" s="437"/>
      <c r="H156" s="394">
        <v>0</v>
      </c>
      <c r="I156" s="394">
        <f t="shared" si="33"/>
        <v>0</v>
      </c>
      <c r="J156" s="394">
        <f t="shared" si="33"/>
        <v>0</v>
      </c>
      <c r="K156" s="394">
        <f t="shared" si="33"/>
        <v>0</v>
      </c>
      <c r="L156" s="394">
        <f t="shared" si="31"/>
        <v>0</v>
      </c>
      <c r="M156" s="394">
        <f t="shared" si="31"/>
        <v>0</v>
      </c>
      <c r="N156" s="69"/>
      <c r="O156" s="451"/>
    </row>
    <row r="157" spans="2:15" ht="12.75" customHeight="1" x14ac:dyDescent="0.2">
      <c r="B157" s="49"/>
      <c r="C157" s="69"/>
      <c r="D157" s="437"/>
      <c r="E157" s="437"/>
      <c r="F157" s="93"/>
      <c r="G157" s="437"/>
      <c r="H157" s="435"/>
      <c r="I157" s="435"/>
      <c r="J157" s="435"/>
      <c r="K157" s="435"/>
      <c r="L157" s="435"/>
      <c r="M157" s="435"/>
      <c r="N157" s="69"/>
      <c r="O157" s="451"/>
    </row>
    <row r="158" spans="2:15" ht="12.75" customHeight="1" x14ac:dyDescent="0.2">
      <c r="B158" s="49"/>
      <c r="C158" s="69"/>
      <c r="D158" s="96" t="s">
        <v>284</v>
      </c>
      <c r="E158" s="437"/>
      <c r="F158" s="93"/>
      <c r="G158" s="437"/>
      <c r="H158" s="770">
        <f t="shared" ref="H158:M158" si="34">SUM(H122:H156)</f>
        <v>0</v>
      </c>
      <c r="I158" s="770">
        <f t="shared" si="34"/>
        <v>0</v>
      </c>
      <c r="J158" s="770">
        <f t="shared" si="34"/>
        <v>0</v>
      </c>
      <c r="K158" s="770">
        <f t="shared" si="34"/>
        <v>0</v>
      </c>
      <c r="L158" s="770">
        <f t="shared" si="34"/>
        <v>0</v>
      </c>
      <c r="M158" s="770">
        <f t="shared" si="34"/>
        <v>0</v>
      </c>
      <c r="N158" s="69"/>
      <c r="O158" s="452"/>
    </row>
    <row r="159" spans="2:15" ht="12.75" customHeight="1" x14ac:dyDescent="0.2">
      <c r="B159" s="49"/>
      <c r="C159" s="76"/>
      <c r="D159" s="459"/>
      <c r="E159" s="459"/>
      <c r="F159" s="460"/>
      <c r="G159" s="459"/>
      <c r="H159" s="453"/>
      <c r="I159" s="453"/>
      <c r="J159" s="453"/>
      <c r="K159" s="453"/>
      <c r="L159" s="461"/>
      <c r="M159" s="461"/>
      <c r="N159" s="76"/>
      <c r="O159" s="449"/>
    </row>
    <row r="160" spans="2:15" ht="12.75" customHeight="1" x14ac:dyDescent="0.2">
      <c r="B160" s="49"/>
      <c r="C160" s="50"/>
      <c r="D160" s="462"/>
      <c r="E160" s="462"/>
      <c r="F160" s="463"/>
      <c r="G160" s="462"/>
      <c r="H160" s="352"/>
      <c r="I160" s="352"/>
      <c r="J160" s="352"/>
      <c r="K160" s="352"/>
      <c r="L160" s="464"/>
      <c r="M160" s="464"/>
      <c r="N160" s="50"/>
      <c r="O160" s="449"/>
    </row>
    <row r="161" spans="2:17" ht="12.75" customHeight="1" x14ac:dyDescent="0.2">
      <c r="B161" s="49"/>
      <c r="C161" s="66"/>
      <c r="D161" s="465"/>
      <c r="E161" s="465"/>
      <c r="F161" s="182"/>
      <c r="G161" s="465"/>
      <c r="H161" s="433"/>
      <c r="I161" s="433"/>
      <c r="J161" s="433"/>
      <c r="K161" s="433"/>
      <c r="L161" s="434"/>
      <c r="M161" s="434"/>
      <c r="N161" s="66"/>
      <c r="O161" s="449"/>
    </row>
    <row r="162" spans="2:17" ht="12.75" customHeight="1" x14ac:dyDescent="0.2">
      <c r="B162" s="49"/>
      <c r="C162" s="69"/>
      <c r="D162" s="89" t="s">
        <v>355</v>
      </c>
      <c r="E162" s="96"/>
      <c r="F162" s="98"/>
      <c r="G162" s="96"/>
      <c r="H162" s="769">
        <f t="shared" ref="H162:M162" si="35">H116+H158+H99</f>
        <v>0</v>
      </c>
      <c r="I162" s="769">
        <f t="shared" si="35"/>
        <v>0</v>
      </c>
      <c r="J162" s="769">
        <f t="shared" si="35"/>
        <v>0</v>
      </c>
      <c r="K162" s="769">
        <f t="shared" si="35"/>
        <v>0</v>
      </c>
      <c r="L162" s="769">
        <f t="shared" si="35"/>
        <v>0</v>
      </c>
      <c r="M162" s="769">
        <f t="shared" si="35"/>
        <v>0</v>
      </c>
      <c r="N162" s="69"/>
      <c r="O162" s="452"/>
    </row>
    <row r="163" spans="2:17" ht="12.75" customHeight="1" x14ac:dyDescent="0.2">
      <c r="B163" s="49"/>
      <c r="C163" s="76"/>
      <c r="D163" s="466"/>
      <c r="E163" s="142"/>
      <c r="F163" s="345"/>
      <c r="G163" s="142"/>
      <c r="H163" s="467"/>
      <c r="I163" s="467"/>
      <c r="J163" s="467"/>
      <c r="K163" s="467"/>
      <c r="L163" s="468"/>
      <c r="M163" s="468"/>
      <c r="N163" s="76"/>
      <c r="O163" s="452"/>
    </row>
    <row r="164" spans="2:17" ht="12.75" customHeight="1" x14ac:dyDescent="0.2">
      <c r="B164" s="49"/>
      <c r="C164" s="50"/>
      <c r="D164" s="469"/>
      <c r="E164" s="144"/>
      <c r="F164" s="417"/>
      <c r="G164" s="144"/>
      <c r="H164" s="470"/>
      <c r="I164" s="470"/>
      <c r="J164" s="470"/>
      <c r="K164" s="470"/>
      <c r="L164" s="471"/>
      <c r="M164" s="471"/>
      <c r="N164" s="50"/>
      <c r="O164" s="452"/>
    </row>
    <row r="165" spans="2:17" ht="12.75" customHeight="1" x14ac:dyDescent="0.2">
      <c r="B165" s="49"/>
      <c r="C165" s="50"/>
      <c r="D165" s="469"/>
      <c r="E165" s="144"/>
      <c r="F165" s="417"/>
      <c r="G165" s="144"/>
      <c r="H165" s="470"/>
      <c r="I165" s="470"/>
      <c r="J165" s="470"/>
      <c r="K165" s="470"/>
      <c r="L165" s="471"/>
      <c r="M165" s="471"/>
      <c r="N165" s="50"/>
      <c r="O165" s="452"/>
    </row>
    <row r="166" spans="2:17" ht="12.75" customHeight="1" x14ac:dyDescent="0.2">
      <c r="B166" s="49"/>
      <c r="C166" s="66"/>
      <c r="D166" s="472"/>
      <c r="E166" s="118"/>
      <c r="F166" s="133"/>
      <c r="G166" s="118"/>
      <c r="H166" s="473"/>
      <c r="I166" s="473"/>
      <c r="J166" s="473"/>
      <c r="K166" s="473"/>
      <c r="L166" s="474"/>
      <c r="M166" s="474"/>
      <c r="N166" s="66"/>
      <c r="O166" s="452"/>
    </row>
    <row r="167" spans="2:17" s="134" customFormat="1" ht="12.75" customHeight="1" x14ac:dyDescent="0.2">
      <c r="B167" s="116"/>
      <c r="C167" s="121"/>
      <c r="D167" s="96" t="s">
        <v>360</v>
      </c>
      <c r="E167" s="96"/>
      <c r="F167" s="98"/>
      <c r="G167" s="96"/>
      <c r="H167" s="769">
        <f t="shared" ref="H167:M167" si="36">H81-H162</f>
        <v>249180.15000000002</v>
      </c>
      <c r="I167" s="769">
        <f t="shared" si="36"/>
        <v>233318.15000000002</v>
      </c>
      <c r="J167" s="769">
        <f t="shared" si="36"/>
        <v>233318.15000000002</v>
      </c>
      <c r="K167" s="769">
        <f t="shared" si="36"/>
        <v>233318.15000000002</v>
      </c>
      <c r="L167" s="769">
        <f t="shared" si="36"/>
        <v>233318.15000000002</v>
      </c>
      <c r="M167" s="769">
        <f t="shared" si="36"/>
        <v>233318.15000000002</v>
      </c>
      <c r="N167" s="121"/>
      <c r="O167" s="452"/>
    </row>
    <row r="168" spans="2:17" ht="12.75" customHeight="1" x14ac:dyDescent="0.2">
      <c r="B168" s="49"/>
      <c r="C168" s="76"/>
      <c r="D168" s="466"/>
      <c r="E168" s="142"/>
      <c r="F168" s="345"/>
      <c r="G168" s="142"/>
      <c r="H168" s="467"/>
      <c r="I168" s="467"/>
      <c r="J168" s="467"/>
      <c r="K168" s="467"/>
      <c r="L168" s="468"/>
      <c r="M168" s="468"/>
      <c r="N168" s="76"/>
      <c r="O168" s="452"/>
    </row>
    <row r="169" spans="2:17" ht="12.75" customHeight="1" x14ac:dyDescent="0.2">
      <c r="B169" s="49"/>
      <c r="C169" s="50"/>
      <c r="D169" s="469"/>
      <c r="E169" s="144"/>
      <c r="F169" s="417"/>
      <c r="G169" s="144"/>
      <c r="H169" s="470"/>
      <c r="I169" s="470"/>
      <c r="J169" s="470"/>
      <c r="K169" s="470"/>
      <c r="L169" s="471"/>
      <c r="M169" s="471"/>
      <c r="N169" s="50"/>
      <c r="O169" s="452"/>
    </row>
    <row r="170" spans="2:17" ht="12.75" customHeight="1" x14ac:dyDescent="0.2">
      <c r="B170" s="124"/>
      <c r="C170" s="125"/>
      <c r="D170" s="125"/>
      <c r="E170" s="125"/>
      <c r="F170" s="318"/>
      <c r="G170" s="125"/>
      <c r="H170" s="430"/>
      <c r="I170" s="430"/>
      <c r="J170" s="430"/>
      <c r="K170" s="430"/>
      <c r="L170" s="125"/>
      <c r="M170" s="125"/>
      <c r="N170" s="125"/>
      <c r="O170" s="126"/>
    </row>
    <row r="171" spans="2:17" ht="12.75" customHeight="1" x14ac:dyDescent="0.2"/>
    <row r="172" spans="2:17" ht="12.75" customHeight="1" x14ac:dyDescent="0.2"/>
    <row r="173" spans="2:17" ht="12.75" customHeight="1" x14ac:dyDescent="0.2"/>
    <row r="174" spans="2:17" ht="12.75" customHeight="1" x14ac:dyDescent="0.2">
      <c r="D174" s="710"/>
      <c r="E174" s="710"/>
      <c r="F174" s="710"/>
      <c r="G174" s="710"/>
      <c r="H174" s="710"/>
      <c r="I174" s="710"/>
      <c r="J174" s="710"/>
      <c r="K174" s="710"/>
      <c r="L174" s="710"/>
      <c r="M174" s="710"/>
      <c r="O174" s="710"/>
      <c r="P174" s="710"/>
      <c r="Q174" s="710"/>
    </row>
    <row r="175" spans="2:17" ht="12.75" customHeight="1" x14ac:dyDescent="0.2">
      <c r="D175" s="710"/>
      <c r="E175" s="710"/>
      <c r="F175" s="710"/>
      <c r="G175" s="710"/>
      <c r="H175" s="710"/>
      <c r="I175" s="710"/>
      <c r="J175" s="710"/>
      <c r="K175" s="710"/>
      <c r="L175" s="710"/>
      <c r="M175" s="710"/>
      <c r="O175" s="710"/>
      <c r="P175" s="710"/>
      <c r="Q175" s="710"/>
    </row>
    <row r="176" spans="2:17" ht="12.75" customHeight="1" x14ac:dyDescent="0.2">
      <c r="D176" s="761"/>
      <c r="E176" s="762"/>
      <c r="F176" s="707"/>
      <c r="G176" s="707"/>
      <c r="H176" s="707" t="str">
        <f>+tab!D2</f>
        <v>2018/19</v>
      </c>
      <c r="I176" s="707" t="str">
        <f>+tab!E2</f>
        <v>2019/20</v>
      </c>
      <c r="J176" s="707" t="str">
        <f>+tab!F2</f>
        <v>2020/21</v>
      </c>
      <c r="K176" s="707" t="str">
        <f>+tab!G2</f>
        <v>2021/22</v>
      </c>
      <c r="L176" s="707" t="str">
        <f>+tab!H2</f>
        <v>2022/23</v>
      </c>
      <c r="M176" s="707" t="str">
        <f>+tab!I2</f>
        <v>2023/24</v>
      </c>
      <c r="O176" s="707"/>
      <c r="P176" s="710"/>
      <c r="Q176" s="710"/>
    </row>
    <row r="177" spans="2:17" ht="12.75" customHeight="1" x14ac:dyDescent="0.2">
      <c r="D177" s="705" t="s">
        <v>365</v>
      </c>
      <c r="E177" s="751"/>
      <c r="F177" s="705"/>
      <c r="G177" s="751"/>
      <c r="H177" s="763"/>
      <c r="I177" s="763"/>
      <c r="J177" s="763"/>
      <c r="K177" s="763"/>
      <c r="L177" s="710"/>
      <c r="M177" s="710"/>
      <c r="O177" s="710"/>
      <c r="P177" s="710"/>
      <c r="Q177" s="710"/>
    </row>
    <row r="178" spans="2:17" ht="12.75" customHeight="1" x14ac:dyDescent="0.2">
      <c r="D178" s="713" t="s">
        <v>251</v>
      </c>
      <c r="E178" s="751"/>
      <c r="F178" s="705"/>
      <c r="G178" s="751"/>
      <c r="H178" s="763">
        <f>0.416666666666667*H50+0.583333333333333*I50</f>
        <v>239927.31666666671</v>
      </c>
      <c r="I178" s="763">
        <f>0.416666666666667*I50+0.583333333333333*J50</f>
        <v>233318.15000000005</v>
      </c>
      <c r="J178" s="763">
        <f>0.416666666666667*J50+0.583333333333333*K50</f>
        <v>233318.15000000005</v>
      </c>
      <c r="K178" s="763">
        <f>0.416666666666667*K50+0.583333333333333*L50</f>
        <v>233318.15000000005</v>
      </c>
      <c r="L178" s="763">
        <f>0.416666666666667*L50+0.583333333333333*M50</f>
        <v>233318.15000000005</v>
      </c>
      <c r="M178" s="763">
        <f>(M50)</f>
        <v>233318.15000000002</v>
      </c>
      <c r="O178" s="710"/>
      <c r="P178" s="710"/>
      <c r="Q178" s="710"/>
    </row>
    <row r="179" spans="2:17" ht="12.75" customHeight="1" x14ac:dyDescent="0.2">
      <c r="D179" s="713" t="s">
        <v>363</v>
      </c>
      <c r="E179" s="751"/>
      <c r="F179" s="705"/>
      <c r="G179" s="751"/>
      <c r="H179" s="763">
        <f>5/12*H62+7/12*I62</f>
        <v>0</v>
      </c>
      <c r="I179" s="763">
        <f>5/12*I62+7/12*J62</f>
        <v>0</v>
      </c>
      <c r="J179" s="763">
        <f>5/12*J62+7/12*K62</f>
        <v>0</v>
      </c>
      <c r="K179" s="763">
        <f>5/12*K62+7/12*L62</f>
        <v>0</v>
      </c>
      <c r="L179" s="763">
        <f>5/12*L62+7/12*M62</f>
        <v>0</v>
      </c>
      <c r="M179" s="763">
        <f>M62</f>
        <v>0</v>
      </c>
      <c r="O179" s="710"/>
      <c r="P179" s="710"/>
      <c r="Q179" s="710"/>
    </row>
    <row r="180" spans="2:17" ht="12.75" hidden="1" customHeight="1" x14ac:dyDescent="0.2">
      <c r="D180" s="713" t="s">
        <v>369</v>
      </c>
      <c r="E180" s="751"/>
      <c r="F180" s="705"/>
      <c r="G180" s="751"/>
      <c r="H180" s="763"/>
      <c r="I180" s="763"/>
      <c r="J180" s="763"/>
      <c r="K180" s="763"/>
      <c r="L180" s="763"/>
      <c r="M180" s="710"/>
      <c r="O180" s="710"/>
      <c r="P180" s="710"/>
      <c r="Q180" s="710"/>
    </row>
    <row r="181" spans="2:17" ht="12.75" customHeight="1" x14ac:dyDescent="0.2">
      <c r="D181" s="713" t="s">
        <v>370</v>
      </c>
      <c r="E181" s="751"/>
      <c r="F181" s="705"/>
      <c r="G181" s="751"/>
      <c r="H181" s="763">
        <f>0.416666666666667*H68+0.583333333333333*I68</f>
        <v>0</v>
      </c>
      <c r="I181" s="763">
        <f>0.416666666666667*I68+0.583333333333333*J68</f>
        <v>0</v>
      </c>
      <c r="J181" s="763">
        <f>0.416666666666667*J68+0.583333333333333*K68</f>
        <v>0</v>
      </c>
      <c r="K181" s="763">
        <f>0.416666666666667*K68+0.583333333333333*L68</f>
        <v>0</v>
      </c>
      <c r="L181" s="763">
        <f>0.416666666666667*L68+0.583333333333333*M68</f>
        <v>0</v>
      </c>
      <c r="M181" s="763">
        <f>M68</f>
        <v>0</v>
      </c>
      <c r="O181" s="710"/>
      <c r="P181" s="710"/>
      <c r="Q181" s="710"/>
    </row>
    <row r="182" spans="2:17" ht="12.75" customHeight="1" x14ac:dyDescent="0.2">
      <c r="D182" s="713" t="s">
        <v>247</v>
      </c>
      <c r="E182" s="751"/>
      <c r="F182" s="705"/>
      <c r="G182" s="751"/>
      <c r="H182" s="763">
        <f>0.416666666666667*(H77-H68)+0.583333333333333*(I77-I68)</f>
        <v>0</v>
      </c>
      <c r="I182" s="763">
        <f>0.416666666666667*(I77-I68)+0.583333333333333*(J77-J68)</f>
        <v>0</v>
      </c>
      <c r="J182" s="763">
        <f>0.416666666666667*(J77-J68)+0.583333333333333*(K77-K68)</f>
        <v>0</v>
      </c>
      <c r="K182" s="763">
        <f>0.416666666666667*(K77-K68)+0.583333333333333*(L77-L68)</f>
        <v>0</v>
      </c>
      <c r="L182" s="763">
        <f>0.416666666666667*(L77-L68)+0.583333333333333*(M77-M68)</f>
        <v>0</v>
      </c>
      <c r="M182" s="763">
        <f>(M77-M68)</f>
        <v>0</v>
      </c>
      <c r="O182" s="710"/>
      <c r="P182" s="710"/>
      <c r="Q182" s="710"/>
    </row>
    <row r="183" spans="2:17" ht="12.75" customHeight="1" x14ac:dyDescent="0.2">
      <c r="D183" s="764" t="s">
        <v>284</v>
      </c>
      <c r="E183" s="751"/>
      <c r="F183" s="705"/>
      <c r="G183" s="751"/>
      <c r="H183" s="765">
        <f t="shared" ref="H183:M183" si="37">SUM(H178:H182)</f>
        <v>239927.31666666671</v>
      </c>
      <c r="I183" s="765">
        <f t="shared" si="37"/>
        <v>233318.15000000005</v>
      </c>
      <c r="J183" s="765">
        <f t="shared" si="37"/>
        <v>233318.15000000005</v>
      </c>
      <c r="K183" s="765">
        <f t="shared" si="37"/>
        <v>233318.15000000005</v>
      </c>
      <c r="L183" s="765">
        <f t="shared" si="37"/>
        <v>233318.15000000005</v>
      </c>
      <c r="M183" s="765">
        <f t="shared" si="37"/>
        <v>233318.15000000002</v>
      </c>
      <c r="O183" s="710"/>
      <c r="P183" s="710"/>
      <c r="Q183" s="710"/>
    </row>
    <row r="184" spans="2:17" ht="12.75" customHeight="1" x14ac:dyDescent="0.2">
      <c r="D184" s="766"/>
      <c r="E184" s="751"/>
      <c r="F184" s="705"/>
      <c r="G184" s="751"/>
      <c r="H184" s="763"/>
      <c r="I184" s="763"/>
      <c r="J184" s="763"/>
      <c r="K184" s="763"/>
      <c r="L184" s="710"/>
      <c r="M184" s="710"/>
      <c r="O184" s="710"/>
      <c r="P184" s="710"/>
      <c r="Q184" s="710"/>
    </row>
    <row r="185" spans="2:17" ht="12.75" customHeight="1" x14ac:dyDescent="0.2">
      <c r="B185" s="326"/>
      <c r="C185" s="326"/>
      <c r="D185" s="705" t="s">
        <v>78</v>
      </c>
      <c r="E185" s="751"/>
      <c r="F185" s="705"/>
      <c r="G185" s="751"/>
      <c r="H185" s="763"/>
      <c r="I185" s="763"/>
      <c r="J185" s="763"/>
      <c r="K185" s="763"/>
      <c r="L185" s="710"/>
      <c r="M185" s="710"/>
      <c r="N185" s="326"/>
      <c r="O185" s="710"/>
      <c r="P185" s="710"/>
      <c r="Q185" s="710"/>
    </row>
    <row r="186" spans="2:17" ht="12.75" customHeight="1" x14ac:dyDescent="0.2">
      <c r="D186" s="710" t="s">
        <v>249</v>
      </c>
      <c r="E186" s="751"/>
      <c r="F186" s="705"/>
      <c r="G186" s="751"/>
      <c r="H186" s="763">
        <f>0.416666666666667*H99+0.583333333333333*I99</f>
        <v>0</v>
      </c>
      <c r="I186" s="763">
        <f>0.416666666666667*I99+0.583333333333333*J99</f>
        <v>0</v>
      </c>
      <c r="J186" s="763">
        <f>0.416666666666667*J99+0.583333333333333*K99</f>
        <v>0</v>
      </c>
      <c r="K186" s="763">
        <f>0.416666666666667*K99+0.583333333333333*L99</f>
        <v>0</v>
      </c>
      <c r="L186" s="763">
        <f>0.416666666666667*L99+0.583333333333333*M99</f>
        <v>0</v>
      </c>
      <c r="M186" s="763">
        <f>M99</f>
        <v>0</v>
      </c>
      <c r="O186" s="710"/>
      <c r="P186" s="710"/>
      <c r="Q186" s="710"/>
    </row>
    <row r="187" spans="2:17" ht="12.75" customHeight="1" x14ac:dyDescent="0.2">
      <c r="D187" s="710" t="s">
        <v>250</v>
      </c>
      <c r="E187" s="751"/>
      <c r="F187" s="705"/>
      <c r="G187" s="751"/>
      <c r="H187" s="763">
        <f>0.416666666666667*H116+0.583333333333333*I116</f>
        <v>0</v>
      </c>
      <c r="I187" s="763">
        <f>0.416666666666667*I116+0.583333333333333*J116</f>
        <v>0</v>
      </c>
      <c r="J187" s="763">
        <f>0.416666666666667*J116+0.583333333333333*K116</f>
        <v>0</v>
      </c>
      <c r="K187" s="763">
        <f>0.416666666666667*K116+0.583333333333333*L116</f>
        <v>0</v>
      </c>
      <c r="L187" s="763">
        <f>0.416666666666667*L116+0.583333333333333*M116</f>
        <v>0</v>
      </c>
      <c r="M187" s="763">
        <f>M116</f>
        <v>0</v>
      </c>
      <c r="O187" s="710"/>
      <c r="P187" s="710"/>
      <c r="Q187" s="710"/>
    </row>
    <row r="188" spans="2:17" ht="12.75" customHeight="1" x14ac:dyDescent="0.2">
      <c r="D188" s="710" t="s">
        <v>366</v>
      </c>
      <c r="E188" s="751"/>
      <c r="F188" s="705"/>
      <c r="G188" s="751"/>
      <c r="H188" s="763">
        <f>0.416666666666667*H158+0.583333333333333*I158</f>
        <v>0</v>
      </c>
      <c r="I188" s="763">
        <f>0.416666666666667*I158+0.583333333333333*J158</f>
        <v>0</v>
      </c>
      <c r="J188" s="763">
        <f>0.416666666666667*J158+0.583333333333333*K158</f>
        <v>0</v>
      </c>
      <c r="K188" s="763">
        <f>0.416666666666667*K158+0.583333333333333*L158</f>
        <v>0</v>
      </c>
      <c r="L188" s="763">
        <f>0.416666666666667*L158+0.583333333333333*M158</f>
        <v>0</v>
      </c>
      <c r="M188" s="763">
        <f>M158</f>
        <v>0</v>
      </c>
      <c r="O188" s="710"/>
      <c r="P188" s="710"/>
      <c r="Q188" s="710"/>
    </row>
    <row r="189" spans="2:17" ht="12.75" customHeight="1" x14ac:dyDescent="0.2">
      <c r="D189" s="764" t="s">
        <v>284</v>
      </c>
      <c r="E189" s="751"/>
      <c r="F189" s="705"/>
      <c r="G189" s="751"/>
      <c r="H189" s="765">
        <f t="shared" ref="H189:M189" si="38">SUM(H186:H188)</f>
        <v>0</v>
      </c>
      <c r="I189" s="765">
        <f t="shared" si="38"/>
        <v>0</v>
      </c>
      <c r="J189" s="765">
        <f t="shared" si="38"/>
        <v>0</v>
      </c>
      <c r="K189" s="765">
        <f t="shared" si="38"/>
        <v>0</v>
      </c>
      <c r="L189" s="765">
        <f t="shared" si="38"/>
        <v>0</v>
      </c>
      <c r="M189" s="765">
        <f t="shared" si="38"/>
        <v>0</v>
      </c>
      <c r="O189" s="710"/>
      <c r="P189" s="710"/>
      <c r="Q189" s="710"/>
    </row>
    <row r="190" spans="2:17" ht="12.75" customHeight="1" x14ac:dyDescent="0.2">
      <c r="D190" s="767"/>
      <c r="E190" s="751"/>
      <c r="F190" s="705"/>
      <c r="G190" s="751"/>
      <c r="H190" s="763"/>
      <c r="I190" s="763"/>
      <c r="J190" s="763"/>
      <c r="K190" s="763"/>
      <c r="L190" s="710"/>
      <c r="M190" s="710"/>
      <c r="O190" s="710"/>
      <c r="P190" s="710"/>
      <c r="Q190" s="710"/>
    </row>
    <row r="191" spans="2:17" ht="12.75" customHeight="1" x14ac:dyDescent="0.2">
      <c r="B191" s="134"/>
      <c r="C191" s="134"/>
      <c r="D191" s="764" t="s">
        <v>367</v>
      </c>
      <c r="E191" s="751"/>
      <c r="F191" s="705"/>
      <c r="G191" s="751"/>
      <c r="H191" s="765">
        <f t="shared" ref="H191:M191" si="39">+H183-H189</f>
        <v>239927.31666666671</v>
      </c>
      <c r="I191" s="765">
        <f t="shared" si="39"/>
        <v>233318.15000000005</v>
      </c>
      <c r="J191" s="765">
        <f t="shared" si="39"/>
        <v>233318.15000000005</v>
      </c>
      <c r="K191" s="765">
        <f t="shared" si="39"/>
        <v>233318.15000000005</v>
      </c>
      <c r="L191" s="765">
        <f t="shared" si="39"/>
        <v>233318.15000000005</v>
      </c>
      <c r="M191" s="765">
        <f t="shared" si="39"/>
        <v>233318.15000000002</v>
      </c>
      <c r="N191" s="134"/>
      <c r="O191" s="710"/>
      <c r="P191" s="710"/>
      <c r="Q191" s="710"/>
    </row>
    <row r="192" spans="2:17" ht="12.75" customHeight="1" x14ac:dyDescent="0.2">
      <c r="D192" s="767"/>
      <c r="E192" s="751"/>
      <c r="F192" s="705"/>
      <c r="G192" s="751"/>
      <c r="H192" s="763"/>
      <c r="I192" s="763"/>
      <c r="J192" s="763"/>
      <c r="K192" s="763"/>
      <c r="L192" s="710"/>
      <c r="M192" s="710"/>
      <c r="O192" s="710"/>
      <c r="P192" s="710"/>
      <c r="Q192" s="710"/>
    </row>
    <row r="193" spans="4:17" ht="12.75" customHeight="1" x14ac:dyDescent="0.2">
      <c r="D193" s="767"/>
      <c r="E193" s="710"/>
      <c r="F193" s="709"/>
      <c r="G193" s="710"/>
      <c r="H193" s="763"/>
      <c r="I193" s="763"/>
      <c r="J193" s="763"/>
      <c r="K193" s="763"/>
      <c r="L193" s="710"/>
      <c r="M193" s="710"/>
      <c r="O193" s="710"/>
      <c r="P193" s="710"/>
      <c r="Q193" s="710"/>
    </row>
    <row r="194" spans="4:17" ht="12.75" customHeight="1" x14ac:dyDescent="0.2">
      <c r="D194" s="705" t="s">
        <v>372</v>
      </c>
      <c r="E194" s="751"/>
      <c r="F194" s="705"/>
      <c r="G194" s="751"/>
      <c r="H194" s="763"/>
      <c r="I194" s="763"/>
      <c r="J194" s="763"/>
      <c r="K194" s="763"/>
      <c r="L194" s="710"/>
      <c r="M194" s="710"/>
      <c r="O194" s="710"/>
      <c r="P194" s="710"/>
      <c r="Q194" s="710"/>
    </row>
    <row r="195" spans="4:17" ht="12.75" customHeight="1" x14ac:dyDescent="0.2">
      <c r="D195" s="710" t="s">
        <v>374</v>
      </c>
      <c r="E195" s="751"/>
      <c r="F195" s="705"/>
      <c r="G195" s="751"/>
      <c r="H195" s="765">
        <f>0.416666666666667*H47+0.583333333333333*I47</f>
        <v>0</v>
      </c>
      <c r="I195" s="765">
        <f>0.416666666666667*I47+0.583333333333333*J47</f>
        <v>0</v>
      </c>
      <c r="J195" s="765">
        <f>0.416666666666667*J47+0.583333333333333*K47</f>
        <v>0</v>
      </c>
      <c r="K195" s="765">
        <f>0.416666666666667*K47+0.583333333333333*L47</f>
        <v>0</v>
      </c>
      <c r="L195" s="765">
        <f>0.416666666666667*L47+0.583333333333333*M47</f>
        <v>0</v>
      </c>
      <c r="M195" s="765">
        <f>M47</f>
        <v>0</v>
      </c>
      <c r="O195" s="710"/>
      <c r="P195" s="710"/>
      <c r="Q195" s="710"/>
    </row>
    <row r="196" spans="4:17" ht="12.75" customHeight="1" x14ac:dyDescent="0.2">
      <c r="D196" s="710"/>
      <c r="E196" s="751"/>
      <c r="F196" s="705"/>
      <c r="G196" s="751"/>
      <c r="H196" s="763"/>
      <c r="I196" s="763"/>
      <c r="J196" s="763"/>
      <c r="K196" s="763"/>
      <c r="L196" s="710"/>
      <c r="M196" s="710"/>
      <c r="O196" s="710"/>
      <c r="P196" s="710"/>
      <c r="Q196" s="710"/>
    </row>
    <row r="197" spans="4:17" ht="12.75" customHeight="1" x14ac:dyDescent="0.2">
      <c r="D197" s="768"/>
      <c r="E197" s="710"/>
      <c r="F197" s="709"/>
      <c r="G197" s="710"/>
      <c r="H197" s="763"/>
      <c r="I197" s="763"/>
      <c r="J197" s="763"/>
      <c r="K197" s="763"/>
      <c r="L197" s="710"/>
      <c r="M197" s="710"/>
      <c r="O197" s="710"/>
      <c r="P197" s="710"/>
      <c r="Q197" s="710"/>
    </row>
    <row r="198" spans="4:17" ht="12.75" customHeight="1" x14ac:dyDescent="0.2">
      <c r="D198" s="768"/>
      <c r="E198" s="710"/>
      <c r="F198" s="709"/>
      <c r="G198" s="710"/>
      <c r="H198" s="763"/>
      <c r="I198" s="763"/>
      <c r="J198" s="763"/>
      <c r="K198" s="763"/>
      <c r="L198" s="710"/>
      <c r="M198" s="710"/>
      <c r="O198" s="710"/>
      <c r="P198" s="710"/>
      <c r="Q198" s="710"/>
    </row>
    <row r="199" spans="4:17" ht="12.75" customHeight="1" x14ac:dyDescent="0.2">
      <c r="D199" s="768"/>
      <c r="E199" s="710"/>
      <c r="F199" s="709"/>
      <c r="G199" s="710"/>
      <c r="H199" s="763"/>
      <c r="I199" s="763"/>
      <c r="J199" s="763"/>
      <c r="K199" s="763"/>
      <c r="L199" s="710"/>
      <c r="M199" s="710"/>
      <c r="O199" s="710"/>
      <c r="P199" s="710"/>
      <c r="Q199" s="710"/>
    </row>
    <row r="200" spans="4:17" ht="12.75" customHeight="1" x14ac:dyDescent="0.2">
      <c r="D200" s="710"/>
      <c r="E200" s="710"/>
      <c r="F200" s="709"/>
      <c r="G200" s="710"/>
      <c r="H200" s="763"/>
      <c r="I200" s="763"/>
      <c r="J200" s="763"/>
      <c r="K200" s="763"/>
      <c r="L200" s="710"/>
      <c r="M200" s="710"/>
      <c r="O200" s="710"/>
      <c r="P200" s="710"/>
      <c r="Q200" s="710"/>
    </row>
    <row r="201" spans="4:17" ht="12.75" customHeight="1" x14ac:dyDescent="0.2">
      <c r="D201" s="710"/>
      <c r="E201" s="710"/>
      <c r="F201" s="709"/>
      <c r="G201" s="710"/>
      <c r="H201" s="763"/>
      <c r="I201" s="763"/>
      <c r="J201" s="763"/>
      <c r="K201" s="763"/>
      <c r="L201" s="710"/>
      <c r="M201" s="710"/>
      <c r="O201" s="710"/>
      <c r="P201" s="710"/>
      <c r="Q201" s="710"/>
    </row>
    <row r="202" spans="4:17" ht="12.75" customHeight="1" x14ac:dyDescent="0.2">
      <c r="D202" s="710"/>
      <c r="E202" s="710"/>
      <c r="F202" s="709"/>
      <c r="G202" s="710"/>
      <c r="H202" s="763"/>
      <c r="I202" s="763"/>
      <c r="J202" s="763"/>
      <c r="K202" s="763"/>
      <c r="L202" s="710"/>
      <c r="M202" s="710"/>
      <c r="O202" s="710"/>
      <c r="P202" s="710"/>
      <c r="Q202" s="710"/>
    </row>
    <row r="203" spans="4:17" ht="12.75" customHeight="1" x14ac:dyDescent="0.2"/>
    <row r="204" spans="4:17" ht="12.75" customHeight="1" x14ac:dyDescent="0.2"/>
    <row r="205" spans="4:17" ht="12.75" customHeight="1" x14ac:dyDescent="0.2"/>
    <row r="206" spans="4:17" ht="12.75" customHeight="1" x14ac:dyDescent="0.2"/>
    <row r="207" spans="4:17" ht="12.75" customHeight="1" x14ac:dyDescent="0.2"/>
    <row r="208" spans="4:17" ht="12.75" customHeight="1" x14ac:dyDescent="0.2"/>
    <row r="209" spans="4:15" ht="12.75" customHeight="1" x14ac:dyDescent="0.2"/>
    <row r="210" spans="4:15" ht="12.75" customHeight="1" x14ac:dyDescent="0.2"/>
    <row r="211" spans="4:15" ht="12.75" customHeight="1" x14ac:dyDescent="0.2"/>
    <row r="212" spans="4:15" ht="12.75" customHeight="1" x14ac:dyDescent="0.2"/>
    <row r="213" spans="4:15" ht="12.75" customHeight="1" x14ac:dyDescent="0.2"/>
    <row r="214" spans="4:15" ht="12.75" customHeight="1" x14ac:dyDescent="0.2"/>
    <row r="215" spans="4:15" ht="12.75" customHeight="1" x14ac:dyDescent="0.2"/>
    <row r="216" spans="4:15" ht="12.75" customHeight="1" x14ac:dyDescent="0.2"/>
    <row r="217" spans="4:15" ht="12.75" customHeight="1" x14ac:dyDescent="0.2"/>
    <row r="218" spans="4:15" ht="12.75" customHeight="1" x14ac:dyDescent="0.2">
      <c r="D218" s="312"/>
      <c r="E218" s="312"/>
      <c r="F218" s="476"/>
      <c r="G218" s="312"/>
      <c r="H218" s="477"/>
      <c r="I218" s="477"/>
      <c r="J218" s="477"/>
      <c r="K218" s="477"/>
      <c r="L218" s="312"/>
      <c r="M218" s="312"/>
      <c r="O218" s="312"/>
    </row>
    <row r="219" spans="4:15" ht="12.75" customHeight="1" x14ac:dyDescent="0.2"/>
    <row r="220" spans="4:15" ht="12.75" customHeight="1" x14ac:dyDescent="0.2"/>
    <row r="221" spans="4:15" ht="12.75" customHeight="1" x14ac:dyDescent="0.2"/>
    <row r="222" spans="4:15" ht="12.75" customHeight="1" x14ac:dyDescent="0.2"/>
    <row r="223" spans="4:15" ht="12.75" customHeight="1" x14ac:dyDescent="0.2"/>
    <row r="224" spans="4:15"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row r="1047" ht="12.75" customHeight="1" x14ac:dyDescent="0.2"/>
    <row r="1048" ht="12.75" customHeight="1" x14ac:dyDescent="0.2"/>
    <row r="1049" ht="12.75" customHeight="1" x14ac:dyDescent="0.2"/>
    <row r="1050" ht="12.75" customHeight="1" x14ac:dyDescent="0.2"/>
    <row r="1051" ht="12.75" customHeight="1" x14ac:dyDescent="0.2"/>
    <row r="1052" ht="12.75" customHeight="1" x14ac:dyDescent="0.2"/>
    <row r="1053" ht="12.75" customHeight="1" x14ac:dyDescent="0.2"/>
    <row r="1054" ht="12.75" customHeight="1" x14ac:dyDescent="0.2"/>
    <row r="1055" ht="12.75" customHeight="1" x14ac:dyDescent="0.2"/>
    <row r="1056" ht="12.75" customHeight="1" x14ac:dyDescent="0.2"/>
    <row r="1057" ht="12.75" customHeight="1" x14ac:dyDescent="0.2"/>
    <row r="1058" ht="12.75" customHeight="1" x14ac:dyDescent="0.2"/>
    <row r="1059" ht="12.75" customHeight="1" x14ac:dyDescent="0.2"/>
    <row r="1060" ht="12.75" customHeight="1" x14ac:dyDescent="0.2"/>
    <row r="1061" ht="12.75" customHeight="1" x14ac:dyDescent="0.2"/>
    <row r="1062" ht="12.75" customHeight="1" x14ac:dyDescent="0.2"/>
    <row r="1063" ht="12.75" customHeight="1" x14ac:dyDescent="0.2"/>
    <row r="1064" ht="12.75" customHeight="1" x14ac:dyDescent="0.2"/>
    <row r="1065" ht="12.75" customHeight="1" x14ac:dyDescent="0.2"/>
    <row r="1066" ht="12.75" customHeight="1" x14ac:dyDescent="0.2"/>
    <row r="1067" ht="12.75" customHeight="1" x14ac:dyDescent="0.2"/>
    <row r="1068" ht="12.75" customHeight="1" x14ac:dyDescent="0.2"/>
    <row r="1069" ht="12.75" customHeight="1" x14ac:dyDescent="0.2"/>
    <row r="1070" ht="12.75" customHeight="1" x14ac:dyDescent="0.2"/>
    <row r="1071" ht="12.75" customHeight="1" x14ac:dyDescent="0.2"/>
    <row r="1072" ht="12.75" customHeight="1" x14ac:dyDescent="0.2"/>
    <row r="1073" ht="12.75" customHeight="1" x14ac:dyDescent="0.2"/>
    <row r="1074" ht="12.75" customHeight="1" x14ac:dyDescent="0.2"/>
    <row r="1075" ht="12.75" customHeight="1" x14ac:dyDescent="0.2"/>
    <row r="1076" ht="12.75" customHeight="1" x14ac:dyDescent="0.2"/>
    <row r="1077" ht="12.75" customHeight="1" x14ac:dyDescent="0.2"/>
    <row r="1078" ht="12.75" customHeight="1" x14ac:dyDescent="0.2"/>
    <row r="1079" ht="12.75" customHeight="1" x14ac:dyDescent="0.2"/>
    <row r="1080" ht="12.75" customHeight="1" x14ac:dyDescent="0.2"/>
    <row r="1081" ht="12.75" customHeight="1" x14ac:dyDescent="0.2"/>
    <row r="1082" ht="12.75" customHeight="1" x14ac:dyDescent="0.2"/>
    <row r="1083" ht="12.75" customHeight="1" x14ac:dyDescent="0.2"/>
    <row r="1084" ht="12.75" customHeight="1" x14ac:dyDescent="0.2"/>
    <row r="1085" ht="12.75" customHeight="1" x14ac:dyDescent="0.2"/>
    <row r="1086" ht="12.75" customHeight="1" x14ac:dyDescent="0.2"/>
    <row r="1087" ht="12.75" customHeight="1" x14ac:dyDescent="0.2"/>
    <row r="1088" ht="12.75" customHeight="1" x14ac:dyDescent="0.2"/>
    <row r="1089" ht="12.75" customHeight="1" x14ac:dyDescent="0.2"/>
    <row r="1090" ht="12.75" customHeight="1" x14ac:dyDescent="0.2"/>
    <row r="1091" ht="12.75" customHeight="1" x14ac:dyDescent="0.2"/>
    <row r="1092" ht="12.75" customHeight="1" x14ac:dyDescent="0.2"/>
    <row r="1093" ht="12.75" customHeight="1" x14ac:dyDescent="0.2"/>
    <row r="1094" ht="12.75" customHeight="1" x14ac:dyDescent="0.2"/>
    <row r="1095" ht="12.75" customHeight="1" x14ac:dyDescent="0.2"/>
    <row r="1096" ht="12.75" customHeight="1" x14ac:dyDescent="0.2"/>
    <row r="1097" ht="12.75" customHeight="1" x14ac:dyDescent="0.2"/>
    <row r="1098" ht="12.75" customHeight="1" x14ac:dyDescent="0.2"/>
    <row r="1099" ht="12.75" customHeight="1" x14ac:dyDescent="0.2"/>
    <row r="1100" ht="12.75" customHeight="1" x14ac:dyDescent="0.2"/>
    <row r="1101" ht="12.75" customHeight="1" x14ac:dyDescent="0.2"/>
    <row r="1102" ht="12.75" customHeight="1" x14ac:dyDescent="0.2"/>
    <row r="1103" ht="12.75" customHeight="1" x14ac:dyDescent="0.2"/>
    <row r="1104" ht="12.75" customHeight="1" x14ac:dyDescent="0.2"/>
    <row r="1105" ht="12.75" customHeight="1" x14ac:dyDescent="0.2"/>
    <row r="1106" ht="12.75" customHeight="1" x14ac:dyDescent="0.2"/>
    <row r="1107" ht="12.75" customHeight="1" x14ac:dyDescent="0.2"/>
    <row r="1108" ht="12.75" customHeight="1" x14ac:dyDescent="0.2"/>
    <row r="1109" ht="12.75" customHeight="1" x14ac:dyDescent="0.2"/>
    <row r="1110" ht="12.75" customHeight="1" x14ac:dyDescent="0.2"/>
    <row r="1111" ht="12.75" customHeight="1" x14ac:dyDescent="0.2"/>
    <row r="1112" ht="12.75" customHeight="1" x14ac:dyDescent="0.2"/>
    <row r="1113" ht="12.75" customHeight="1" x14ac:dyDescent="0.2"/>
    <row r="1114" ht="12.75" customHeight="1" x14ac:dyDescent="0.2"/>
    <row r="1115" ht="12.75" customHeight="1" x14ac:dyDescent="0.2"/>
    <row r="1116" ht="12.75" customHeight="1" x14ac:dyDescent="0.2"/>
    <row r="1117" ht="12.75" customHeight="1" x14ac:dyDescent="0.2"/>
    <row r="1118" ht="12.75" customHeight="1" x14ac:dyDescent="0.2"/>
    <row r="1119" ht="12.75" customHeight="1" x14ac:dyDescent="0.2"/>
    <row r="1120" ht="12.75" customHeight="1" x14ac:dyDescent="0.2"/>
    <row r="1121" ht="12.75" customHeight="1" x14ac:dyDescent="0.2"/>
    <row r="1122" ht="12.75" customHeight="1" x14ac:dyDescent="0.2"/>
    <row r="1123" ht="12.75" customHeight="1" x14ac:dyDescent="0.2"/>
    <row r="1124" ht="12.75" customHeight="1" x14ac:dyDescent="0.2"/>
    <row r="1125" ht="12.75" customHeight="1" x14ac:dyDescent="0.2"/>
    <row r="1126" ht="12.75" customHeight="1" x14ac:dyDescent="0.2"/>
    <row r="1127" ht="12.75" customHeight="1" x14ac:dyDescent="0.2"/>
    <row r="1128" ht="12.75" customHeight="1" x14ac:dyDescent="0.2"/>
    <row r="1129" ht="12.75" customHeight="1" x14ac:dyDescent="0.2"/>
    <row r="1130" ht="12.75" customHeight="1" x14ac:dyDescent="0.2"/>
    <row r="1131" ht="12.75" customHeight="1" x14ac:dyDescent="0.2"/>
    <row r="1132" ht="12.75" customHeight="1" x14ac:dyDescent="0.2"/>
    <row r="1133" ht="12.75" customHeight="1" x14ac:dyDescent="0.2"/>
    <row r="1134" ht="12.75" customHeight="1" x14ac:dyDescent="0.2"/>
    <row r="1135" ht="12.75" customHeight="1" x14ac:dyDescent="0.2"/>
    <row r="1136" ht="12.75" customHeight="1" x14ac:dyDescent="0.2"/>
    <row r="1137" ht="12.75" customHeight="1" x14ac:dyDescent="0.2"/>
    <row r="1138" ht="12.75" customHeight="1" x14ac:dyDescent="0.2"/>
    <row r="1139" ht="12.75" customHeight="1" x14ac:dyDescent="0.2"/>
    <row r="1140" ht="12.75" customHeight="1" x14ac:dyDescent="0.2"/>
    <row r="1141" ht="12.75" customHeight="1" x14ac:dyDescent="0.2"/>
    <row r="1142" ht="12.75" customHeight="1" x14ac:dyDescent="0.2"/>
    <row r="1143" ht="12.75" customHeight="1" x14ac:dyDescent="0.2"/>
    <row r="1144" ht="12.75" customHeight="1" x14ac:dyDescent="0.2"/>
    <row r="1145" ht="12.75" customHeight="1" x14ac:dyDescent="0.2"/>
    <row r="1146" ht="12.75" customHeight="1" x14ac:dyDescent="0.2"/>
    <row r="1147" ht="12.75" customHeight="1" x14ac:dyDescent="0.2"/>
    <row r="1148" ht="12.75" customHeight="1" x14ac:dyDescent="0.2"/>
    <row r="1149" ht="12.75" customHeight="1" x14ac:dyDescent="0.2"/>
    <row r="1150" ht="12.75" customHeight="1" x14ac:dyDescent="0.2"/>
    <row r="1151" ht="12.75" customHeight="1" x14ac:dyDescent="0.2"/>
    <row r="1152" ht="12.75" customHeight="1" x14ac:dyDescent="0.2"/>
    <row r="1153" ht="12.75" customHeight="1" x14ac:dyDescent="0.2"/>
    <row r="1154" ht="12.75" customHeight="1" x14ac:dyDescent="0.2"/>
    <row r="1155" ht="12.75" customHeight="1" x14ac:dyDescent="0.2"/>
    <row r="1156" ht="12.75" customHeight="1" x14ac:dyDescent="0.2"/>
    <row r="1157" ht="12.75" customHeight="1" x14ac:dyDescent="0.2"/>
    <row r="1158" ht="12.75" customHeight="1" x14ac:dyDescent="0.2"/>
    <row r="1159" ht="12.75" customHeight="1" x14ac:dyDescent="0.2"/>
    <row r="1160" ht="12.75" customHeight="1" x14ac:dyDescent="0.2"/>
    <row r="1161" ht="12.75" customHeight="1" x14ac:dyDescent="0.2"/>
    <row r="1162" ht="12.75" customHeight="1" x14ac:dyDescent="0.2"/>
    <row r="1163" ht="12.75" customHeight="1" x14ac:dyDescent="0.2"/>
    <row r="1164" ht="12.75" customHeight="1" x14ac:dyDescent="0.2"/>
    <row r="1165" ht="12.75" customHeight="1" x14ac:dyDescent="0.2"/>
    <row r="1166" ht="12.75" customHeight="1" x14ac:dyDescent="0.2"/>
    <row r="1167" ht="12.75" customHeight="1" x14ac:dyDescent="0.2"/>
    <row r="1168" ht="12.75" customHeight="1" x14ac:dyDescent="0.2"/>
    <row r="1169" ht="12.75" customHeight="1" x14ac:dyDescent="0.2"/>
    <row r="1170" ht="12.75" customHeight="1" x14ac:dyDescent="0.2"/>
    <row r="1171" ht="12.75" customHeight="1" x14ac:dyDescent="0.2"/>
    <row r="1172" ht="12.75" customHeight="1" x14ac:dyDescent="0.2"/>
    <row r="1173" ht="12.75" customHeight="1" x14ac:dyDescent="0.2"/>
    <row r="1174" ht="12.75" customHeight="1" x14ac:dyDescent="0.2"/>
    <row r="1175" ht="12.75" customHeight="1" x14ac:dyDescent="0.2"/>
    <row r="1176" ht="12.75" customHeight="1" x14ac:dyDescent="0.2"/>
    <row r="1177" ht="12.75" customHeight="1" x14ac:dyDescent="0.2"/>
    <row r="1178" ht="12.75" customHeight="1" x14ac:dyDescent="0.2"/>
    <row r="1179" ht="12.75" customHeight="1" x14ac:dyDescent="0.2"/>
    <row r="1180" ht="12.75" customHeight="1" x14ac:dyDescent="0.2"/>
    <row r="1181" ht="12.75" customHeight="1" x14ac:dyDescent="0.2"/>
    <row r="1182" ht="12.75" customHeight="1" x14ac:dyDescent="0.2"/>
    <row r="1183" ht="12.75" customHeight="1" x14ac:dyDescent="0.2"/>
    <row r="1184" ht="12.75" customHeight="1" x14ac:dyDescent="0.2"/>
    <row r="1185" ht="12.75" customHeight="1" x14ac:dyDescent="0.2"/>
    <row r="1186" ht="12.75" customHeight="1" x14ac:dyDescent="0.2"/>
    <row r="1187" ht="12.75" customHeight="1" x14ac:dyDescent="0.2"/>
    <row r="1188" ht="12.75" customHeight="1" x14ac:dyDescent="0.2"/>
    <row r="1189" ht="12.75" customHeight="1" x14ac:dyDescent="0.2"/>
    <row r="1190" ht="12.75" customHeight="1" x14ac:dyDescent="0.2"/>
    <row r="1191" ht="12.75" customHeight="1" x14ac:dyDescent="0.2"/>
    <row r="1192" ht="12.75" customHeight="1" x14ac:dyDescent="0.2"/>
    <row r="1193" ht="12.75" customHeight="1" x14ac:dyDescent="0.2"/>
    <row r="1194" ht="12.75" customHeight="1" x14ac:dyDescent="0.2"/>
    <row r="1195" ht="12.75" customHeight="1" x14ac:dyDescent="0.2"/>
    <row r="1196" ht="12.75" customHeight="1" x14ac:dyDescent="0.2"/>
    <row r="1197" ht="12.75" customHeight="1" x14ac:dyDescent="0.2"/>
    <row r="1198" ht="12.75" customHeight="1" x14ac:dyDescent="0.2"/>
    <row r="1199" ht="12.75" customHeight="1" x14ac:dyDescent="0.2"/>
    <row r="1200" ht="12.75" customHeight="1" x14ac:dyDescent="0.2"/>
    <row r="1201" ht="12.75" customHeight="1" x14ac:dyDescent="0.2"/>
    <row r="1202" ht="12.75" customHeight="1" x14ac:dyDescent="0.2"/>
    <row r="1203" ht="12.75" customHeight="1" x14ac:dyDescent="0.2"/>
    <row r="1204" ht="12.75" customHeight="1" x14ac:dyDescent="0.2"/>
    <row r="1205" ht="12.75" customHeight="1" x14ac:dyDescent="0.2"/>
    <row r="1206" ht="12.75" customHeight="1" x14ac:dyDescent="0.2"/>
    <row r="1207" ht="12.75" customHeight="1" x14ac:dyDescent="0.2"/>
    <row r="1208" ht="12.75" customHeight="1" x14ac:dyDescent="0.2"/>
    <row r="1209" ht="12.75" customHeight="1" x14ac:dyDescent="0.2"/>
    <row r="1210" ht="12.75" customHeight="1" x14ac:dyDescent="0.2"/>
    <row r="1211" ht="12.75" customHeight="1" x14ac:dyDescent="0.2"/>
    <row r="1212" ht="12.75" customHeight="1" x14ac:dyDescent="0.2"/>
    <row r="1213" ht="12.75" customHeight="1" x14ac:dyDescent="0.2"/>
    <row r="1214" ht="12.75" customHeight="1" x14ac:dyDescent="0.2"/>
    <row r="1215" ht="12.75" customHeight="1" x14ac:dyDescent="0.2"/>
    <row r="1216" ht="12.75" customHeight="1" x14ac:dyDescent="0.2"/>
    <row r="1217" ht="12.75" customHeight="1" x14ac:dyDescent="0.2"/>
    <row r="1218" ht="12.75" customHeight="1" x14ac:dyDescent="0.2"/>
    <row r="1219" ht="12.75" customHeight="1" x14ac:dyDescent="0.2"/>
    <row r="1220" ht="12.75" customHeight="1" x14ac:dyDescent="0.2"/>
    <row r="1221" ht="12.75" customHeight="1" x14ac:dyDescent="0.2"/>
    <row r="1222" ht="12.75" customHeight="1" x14ac:dyDescent="0.2"/>
    <row r="1223" ht="12.75" customHeight="1" x14ac:dyDescent="0.2"/>
    <row r="1224" ht="12.75" customHeight="1" x14ac:dyDescent="0.2"/>
    <row r="1225" ht="12.75" customHeight="1" x14ac:dyDescent="0.2"/>
    <row r="1226" ht="12.75" customHeight="1" x14ac:dyDescent="0.2"/>
    <row r="1227" ht="12.75" customHeight="1" x14ac:dyDescent="0.2"/>
    <row r="1228" ht="12.75" customHeight="1" x14ac:dyDescent="0.2"/>
    <row r="1229" ht="12.75" customHeight="1" x14ac:dyDescent="0.2"/>
    <row r="1230" ht="12.75" customHeight="1" x14ac:dyDescent="0.2"/>
    <row r="1231" ht="12.75" customHeight="1" x14ac:dyDescent="0.2"/>
    <row r="1232" ht="12.75" customHeight="1" x14ac:dyDescent="0.2"/>
    <row r="1233" ht="12.75" customHeight="1" x14ac:dyDescent="0.2"/>
    <row r="1234" ht="12.75" customHeight="1" x14ac:dyDescent="0.2"/>
    <row r="1235" ht="12.75" customHeight="1" x14ac:dyDescent="0.2"/>
    <row r="1236" ht="12.75" customHeight="1" x14ac:dyDescent="0.2"/>
    <row r="1237" ht="12.75" customHeight="1" x14ac:dyDescent="0.2"/>
    <row r="1238" ht="12.75" customHeight="1" x14ac:dyDescent="0.2"/>
    <row r="1239" ht="12.75" customHeight="1" x14ac:dyDescent="0.2"/>
    <row r="1240" ht="12.75" customHeight="1" x14ac:dyDescent="0.2"/>
    <row r="1241" ht="12.75" customHeight="1" x14ac:dyDescent="0.2"/>
    <row r="1242" ht="12.75" customHeight="1" x14ac:dyDescent="0.2"/>
    <row r="1243" ht="12.75" customHeight="1" x14ac:dyDescent="0.2"/>
    <row r="1244" ht="12.75" customHeight="1" x14ac:dyDescent="0.2"/>
    <row r="1245" ht="12.75" customHeight="1" x14ac:dyDescent="0.2"/>
    <row r="1246" ht="12.75" customHeight="1" x14ac:dyDescent="0.2"/>
    <row r="1247" ht="12.75" customHeight="1" x14ac:dyDescent="0.2"/>
    <row r="1248" ht="12.75" customHeight="1" x14ac:dyDescent="0.2"/>
    <row r="1249" ht="12.75" customHeight="1" x14ac:dyDescent="0.2"/>
    <row r="1250" ht="12.75" customHeight="1" x14ac:dyDescent="0.2"/>
    <row r="1251" ht="12.75" customHeight="1" x14ac:dyDescent="0.2"/>
    <row r="1252" ht="12.75" customHeight="1" x14ac:dyDescent="0.2"/>
    <row r="1253" ht="12.75" customHeight="1" x14ac:dyDescent="0.2"/>
    <row r="1254" ht="12.75" customHeight="1" x14ac:dyDescent="0.2"/>
    <row r="1255" ht="12.75" customHeight="1" x14ac:dyDescent="0.2"/>
    <row r="1256" ht="12.75" customHeight="1" x14ac:dyDescent="0.2"/>
    <row r="1257" ht="12.75" customHeight="1" x14ac:dyDescent="0.2"/>
    <row r="1258" ht="12.75" customHeight="1" x14ac:dyDescent="0.2"/>
    <row r="1259" ht="12.75" customHeight="1" x14ac:dyDescent="0.2"/>
    <row r="1260" ht="12.75" customHeight="1" x14ac:dyDescent="0.2"/>
    <row r="1261" ht="12.75" customHeight="1" x14ac:dyDescent="0.2"/>
    <row r="1262" ht="12.75" customHeight="1" x14ac:dyDescent="0.2"/>
    <row r="1263" ht="12.75" customHeight="1" x14ac:dyDescent="0.2"/>
    <row r="1264" ht="12.75" customHeight="1" x14ac:dyDescent="0.2"/>
    <row r="1265" ht="12.75" customHeight="1" x14ac:dyDescent="0.2"/>
    <row r="1266" ht="12.75" customHeight="1" x14ac:dyDescent="0.2"/>
    <row r="1267" ht="12.75" customHeight="1" x14ac:dyDescent="0.2"/>
    <row r="1268" ht="12.75" customHeight="1" x14ac:dyDescent="0.2"/>
    <row r="1269" ht="12.75" customHeight="1" x14ac:dyDescent="0.2"/>
    <row r="1270" ht="12.75" customHeight="1" x14ac:dyDescent="0.2"/>
    <row r="1271" ht="12.75" customHeight="1" x14ac:dyDescent="0.2"/>
    <row r="1272" ht="12.75" customHeight="1" x14ac:dyDescent="0.2"/>
    <row r="1273" ht="12.75" customHeight="1" x14ac:dyDescent="0.2"/>
    <row r="1274" ht="12.75" customHeight="1" x14ac:dyDescent="0.2"/>
    <row r="1275" ht="12.75" customHeight="1" x14ac:dyDescent="0.2"/>
    <row r="1276" ht="12.75" customHeight="1" x14ac:dyDescent="0.2"/>
    <row r="1277" ht="12.75" customHeight="1" x14ac:dyDescent="0.2"/>
    <row r="1278" ht="12.75" customHeight="1" x14ac:dyDescent="0.2"/>
    <row r="1279" ht="12.75" customHeight="1" x14ac:dyDescent="0.2"/>
    <row r="1280" ht="12.75" customHeight="1" x14ac:dyDescent="0.2"/>
    <row r="1281" ht="12.75" customHeight="1" x14ac:dyDescent="0.2"/>
    <row r="1282" ht="12.75" customHeight="1" x14ac:dyDescent="0.2"/>
    <row r="1283" ht="12.75" customHeight="1" x14ac:dyDescent="0.2"/>
    <row r="1284" ht="12.75" customHeight="1" x14ac:dyDescent="0.2"/>
    <row r="1285" ht="12.75" customHeight="1" x14ac:dyDescent="0.2"/>
    <row r="1286" ht="12.75" customHeight="1" x14ac:dyDescent="0.2"/>
    <row r="1287" ht="12.75" customHeight="1" x14ac:dyDescent="0.2"/>
    <row r="1288" ht="12.75" customHeight="1" x14ac:dyDescent="0.2"/>
    <row r="1289" ht="12.75" customHeight="1" x14ac:dyDescent="0.2"/>
    <row r="1290" ht="12.75" customHeight="1" x14ac:dyDescent="0.2"/>
    <row r="1291" ht="12.75" customHeight="1" x14ac:dyDescent="0.2"/>
    <row r="1292" ht="12.75" customHeight="1" x14ac:dyDescent="0.2"/>
    <row r="1293" ht="12.75" customHeight="1" x14ac:dyDescent="0.2"/>
    <row r="1294" ht="12.75" customHeight="1" x14ac:dyDescent="0.2"/>
    <row r="1295" ht="12.75" customHeight="1" x14ac:dyDescent="0.2"/>
    <row r="1296" ht="12.75" customHeight="1" x14ac:dyDescent="0.2"/>
    <row r="1297" ht="12.75" customHeight="1" x14ac:dyDescent="0.2"/>
    <row r="1298" ht="12.75" customHeight="1" x14ac:dyDescent="0.2"/>
    <row r="1299" ht="12.75" customHeight="1" x14ac:dyDescent="0.2"/>
    <row r="1300" ht="12.75" customHeight="1" x14ac:dyDescent="0.2"/>
    <row r="1301" ht="12.75" customHeight="1" x14ac:dyDescent="0.2"/>
    <row r="1302" ht="12.75" customHeight="1" x14ac:dyDescent="0.2"/>
    <row r="1303" ht="12.75" customHeight="1" x14ac:dyDescent="0.2"/>
    <row r="1304" ht="12.75" customHeight="1" x14ac:dyDescent="0.2"/>
    <row r="1305" ht="12.75" customHeight="1" x14ac:dyDescent="0.2"/>
    <row r="1306" ht="12.75" customHeight="1" x14ac:dyDescent="0.2"/>
    <row r="1307" ht="12.75" customHeight="1" x14ac:dyDescent="0.2"/>
    <row r="1308" ht="12.75" customHeight="1" x14ac:dyDescent="0.2"/>
    <row r="1309" ht="12.75" customHeight="1" x14ac:dyDescent="0.2"/>
    <row r="1310" ht="12.75" customHeight="1" x14ac:dyDescent="0.2"/>
    <row r="1311" ht="12.75" customHeight="1" x14ac:dyDescent="0.2"/>
    <row r="1312" ht="12.75" customHeight="1" x14ac:dyDescent="0.2"/>
    <row r="1313" ht="12.75" customHeight="1" x14ac:dyDescent="0.2"/>
    <row r="1314" ht="12.75" customHeight="1" x14ac:dyDescent="0.2"/>
    <row r="1315" ht="12.75" customHeight="1" x14ac:dyDescent="0.2"/>
    <row r="1316" ht="12.75" customHeight="1" x14ac:dyDescent="0.2"/>
    <row r="1317" ht="12.75" customHeight="1" x14ac:dyDescent="0.2"/>
    <row r="1318" ht="12.75" customHeight="1" x14ac:dyDescent="0.2"/>
    <row r="1319" ht="12.75" customHeight="1" x14ac:dyDescent="0.2"/>
    <row r="1320" ht="12.75" customHeight="1" x14ac:dyDescent="0.2"/>
    <row r="1321" ht="12.75" customHeight="1" x14ac:dyDescent="0.2"/>
    <row r="1322" ht="12.75" customHeight="1" x14ac:dyDescent="0.2"/>
    <row r="1323" ht="12.75" customHeight="1" x14ac:dyDescent="0.2"/>
    <row r="1324" ht="12.75" customHeight="1" x14ac:dyDescent="0.2"/>
    <row r="1325" ht="12.75" customHeight="1" x14ac:dyDescent="0.2"/>
    <row r="1326" ht="12.75" customHeight="1" x14ac:dyDescent="0.2"/>
    <row r="1327" ht="12.75" customHeight="1" x14ac:dyDescent="0.2"/>
    <row r="1328" ht="12.75" customHeight="1" x14ac:dyDescent="0.2"/>
    <row r="1329" ht="12.75" customHeight="1" x14ac:dyDescent="0.2"/>
    <row r="1330" ht="12.75" customHeight="1" x14ac:dyDescent="0.2"/>
    <row r="1331" ht="12.75" customHeight="1" x14ac:dyDescent="0.2"/>
    <row r="1332" ht="12.75" customHeight="1" x14ac:dyDescent="0.2"/>
    <row r="1333" ht="12.75" customHeight="1" x14ac:dyDescent="0.2"/>
    <row r="1334" ht="12.75" customHeight="1" x14ac:dyDescent="0.2"/>
    <row r="1335" ht="12.75" customHeight="1" x14ac:dyDescent="0.2"/>
    <row r="1336" ht="12.75" customHeight="1" x14ac:dyDescent="0.2"/>
    <row r="1337" ht="12.75" customHeight="1" x14ac:dyDescent="0.2"/>
    <row r="1338" ht="12.75" customHeight="1" x14ac:dyDescent="0.2"/>
    <row r="1339" ht="12.75" customHeight="1" x14ac:dyDescent="0.2"/>
    <row r="1340" ht="12.75" customHeight="1" x14ac:dyDescent="0.2"/>
    <row r="1341" ht="12.75" customHeight="1" x14ac:dyDescent="0.2"/>
    <row r="1342" ht="12.75" customHeight="1" x14ac:dyDescent="0.2"/>
    <row r="1343" ht="12.75" customHeight="1" x14ac:dyDescent="0.2"/>
    <row r="1344" ht="12.75" customHeight="1" x14ac:dyDescent="0.2"/>
    <row r="1345" ht="12.75" customHeight="1" x14ac:dyDescent="0.2"/>
    <row r="1346" ht="12.75" customHeight="1" x14ac:dyDescent="0.2"/>
    <row r="1347" ht="12.75" customHeight="1" x14ac:dyDescent="0.2"/>
    <row r="1348" ht="12.75" customHeight="1" x14ac:dyDescent="0.2"/>
    <row r="1349" ht="12.75" customHeight="1" x14ac:dyDescent="0.2"/>
    <row r="1350" ht="12.75" customHeight="1" x14ac:dyDescent="0.2"/>
    <row r="1351" ht="12.75" customHeight="1" x14ac:dyDescent="0.2"/>
    <row r="1352" ht="12.75" customHeight="1" x14ac:dyDescent="0.2"/>
    <row r="1353" ht="12.75" customHeight="1" x14ac:dyDescent="0.2"/>
    <row r="1354" ht="12.75" customHeight="1" x14ac:dyDescent="0.2"/>
    <row r="1355" ht="12.75" customHeight="1" x14ac:dyDescent="0.2"/>
    <row r="1356" ht="12.75" customHeight="1" x14ac:dyDescent="0.2"/>
    <row r="1357" ht="12.75" customHeight="1" x14ac:dyDescent="0.2"/>
    <row r="1358" ht="12.75" customHeight="1" x14ac:dyDescent="0.2"/>
    <row r="1359" ht="12.75" customHeight="1" x14ac:dyDescent="0.2"/>
    <row r="1360" ht="12.75" customHeight="1" x14ac:dyDescent="0.2"/>
    <row r="1361" ht="12.75" customHeight="1" x14ac:dyDescent="0.2"/>
    <row r="1362" ht="12.75" customHeight="1" x14ac:dyDescent="0.2"/>
    <row r="1363" ht="12.75" customHeight="1" x14ac:dyDescent="0.2"/>
    <row r="1364" ht="12.75" customHeight="1" x14ac:dyDescent="0.2"/>
    <row r="1365" ht="12.75" customHeight="1" x14ac:dyDescent="0.2"/>
    <row r="1366" ht="12.75" customHeight="1" x14ac:dyDescent="0.2"/>
    <row r="1367" ht="12.75" customHeight="1" x14ac:dyDescent="0.2"/>
    <row r="1368" ht="12.75" customHeight="1" x14ac:dyDescent="0.2"/>
    <row r="1369" ht="12.75" customHeight="1" x14ac:dyDescent="0.2"/>
    <row r="1370" ht="12.75" customHeight="1" x14ac:dyDescent="0.2"/>
    <row r="1371" ht="12.75" customHeight="1" x14ac:dyDescent="0.2"/>
    <row r="1372" ht="12.75" customHeight="1" x14ac:dyDescent="0.2"/>
    <row r="1373" ht="12.75" customHeight="1" x14ac:dyDescent="0.2"/>
    <row r="1374" ht="12.75" customHeight="1" x14ac:dyDescent="0.2"/>
    <row r="1375" ht="12.75" customHeight="1" x14ac:dyDescent="0.2"/>
    <row r="1376" ht="12.75" customHeight="1" x14ac:dyDescent="0.2"/>
    <row r="1377" ht="12.75" customHeight="1" x14ac:dyDescent="0.2"/>
    <row r="1378" ht="12.75" customHeight="1" x14ac:dyDescent="0.2"/>
    <row r="1379" ht="12.75" customHeight="1" x14ac:dyDescent="0.2"/>
    <row r="1380" ht="12.75" customHeight="1" x14ac:dyDescent="0.2"/>
    <row r="1381" ht="12.75" customHeight="1" x14ac:dyDescent="0.2"/>
    <row r="1382" ht="12.75" customHeight="1" x14ac:dyDescent="0.2"/>
    <row r="1383" ht="12.75" customHeight="1" x14ac:dyDescent="0.2"/>
    <row r="1384" ht="12.75" customHeight="1" x14ac:dyDescent="0.2"/>
    <row r="1385" ht="12.75" customHeight="1" x14ac:dyDescent="0.2"/>
    <row r="1386" ht="12.75" customHeight="1" x14ac:dyDescent="0.2"/>
    <row r="1387" ht="12.75" customHeight="1" x14ac:dyDescent="0.2"/>
    <row r="1388" ht="12.75" customHeight="1" x14ac:dyDescent="0.2"/>
    <row r="1389" ht="12.75" customHeight="1" x14ac:dyDescent="0.2"/>
    <row r="1390" ht="12.75" customHeight="1" x14ac:dyDescent="0.2"/>
    <row r="1391" ht="12.75" customHeight="1" x14ac:dyDescent="0.2"/>
    <row r="1392" ht="12.75" customHeight="1" x14ac:dyDescent="0.2"/>
    <row r="1393" ht="12.75" customHeight="1" x14ac:dyDescent="0.2"/>
    <row r="1394" ht="12.75" customHeight="1" x14ac:dyDescent="0.2"/>
    <row r="1395" ht="12.75" customHeight="1" x14ac:dyDescent="0.2"/>
    <row r="1396" ht="12.75" customHeight="1" x14ac:dyDescent="0.2"/>
    <row r="1397" ht="12.75" customHeight="1" x14ac:dyDescent="0.2"/>
    <row r="1398" ht="12.75" customHeight="1" x14ac:dyDescent="0.2"/>
    <row r="1399" ht="12.75" customHeight="1" x14ac:dyDescent="0.2"/>
    <row r="1400" ht="12.75" customHeight="1" x14ac:dyDescent="0.2"/>
    <row r="1401" ht="12.75" customHeight="1" x14ac:dyDescent="0.2"/>
    <row r="1402" ht="12.75" customHeight="1" x14ac:dyDescent="0.2"/>
    <row r="1403" ht="12.75" customHeight="1" x14ac:dyDescent="0.2"/>
    <row r="1404" ht="12.75" customHeight="1" x14ac:dyDescent="0.2"/>
    <row r="1405" ht="12.75" customHeight="1" x14ac:dyDescent="0.2"/>
    <row r="1406" ht="12.75" customHeight="1" x14ac:dyDescent="0.2"/>
    <row r="1407" ht="12.75" customHeight="1" x14ac:dyDescent="0.2"/>
    <row r="1408" ht="12.75" customHeight="1" x14ac:dyDescent="0.2"/>
    <row r="1409" ht="12.75" customHeight="1" x14ac:dyDescent="0.2"/>
    <row r="1410" ht="12.75" customHeight="1" x14ac:dyDescent="0.2"/>
    <row r="1411" ht="12.75" customHeight="1" x14ac:dyDescent="0.2"/>
    <row r="1412" ht="12.75" customHeight="1" x14ac:dyDescent="0.2"/>
    <row r="1413" ht="12.75" customHeight="1" x14ac:dyDescent="0.2"/>
    <row r="1414" ht="12.75" customHeight="1" x14ac:dyDescent="0.2"/>
    <row r="1415" ht="12.75" customHeight="1" x14ac:dyDescent="0.2"/>
    <row r="1416" ht="12.75" customHeight="1" x14ac:dyDescent="0.2"/>
    <row r="1417" ht="12.75" customHeight="1" x14ac:dyDescent="0.2"/>
    <row r="1418" ht="12.75" customHeight="1" x14ac:dyDescent="0.2"/>
    <row r="1419" ht="12.75" customHeight="1" x14ac:dyDescent="0.2"/>
    <row r="1420" ht="12.75" customHeight="1" x14ac:dyDescent="0.2"/>
    <row r="1421" ht="12.75" customHeight="1" x14ac:dyDescent="0.2"/>
    <row r="1422" ht="12.75" customHeight="1" x14ac:dyDescent="0.2"/>
    <row r="1423" ht="12.75" customHeight="1" x14ac:dyDescent="0.2"/>
    <row r="1424" ht="12.75" customHeight="1" x14ac:dyDescent="0.2"/>
    <row r="1425" ht="12.75" customHeight="1" x14ac:dyDescent="0.2"/>
    <row r="1426" ht="12.75" customHeight="1" x14ac:dyDescent="0.2"/>
    <row r="1427" ht="12.75" customHeight="1" x14ac:dyDescent="0.2"/>
    <row r="1428" ht="12.75" customHeight="1" x14ac:dyDescent="0.2"/>
    <row r="1429" ht="12.75" customHeight="1" x14ac:dyDescent="0.2"/>
    <row r="1430" ht="12.75" customHeight="1" x14ac:dyDescent="0.2"/>
    <row r="1431" ht="12.75" customHeight="1" x14ac:dyDescent="0.2"/>
    <row r="1432" ht="12.75" customHeight="1" x14ac:dyDescent="0.2"/>
    <row r="1433" ht="12.75" customHeight="1" x14ac:dyDescent="0.2"/>
    <row r="1434" ht="12.75" customHeight="1" x14ac:dyDescent="0.2"/>
    <row r="1435" ht="12.75" customHeight="1" x14ac:dyDescent="0.2"/>
    <row r="1436" ht="12.75" customHeight="1" x14ac:dyDescent="0.2"/>
    <row r="1437" ht="12.75" customHeight="1" x14ac:dyDescent="0.2"/>
    <row r="1438" ht="12.75" customHeight="1" x14ac:dyDescent="0.2"/>
    <row r="1439" ht="12.75" customHeight="1" x14ac:dyDescent="0.2"/>
    <row r="1440" ht="12.75" customHeight="1" x14ac:dyDescent="0.2"/>
    <row r="1441" ht="12.75" customHeight="1" x14ac:dyDescent="0.2"/>
    <row r="1442" ht="12.75" customHeight="1" x14ac:dyDescent="0.2"/>
    <row r="1443" ht="12.75" customHeight="1" x14ac:dyDescent="0.2"/>
    <row r="1444" ht="12.75" customHeight="1" x14ac:dyDescent="0.2"/>
    <row r="1445" ht="12.75" customHeight="1" x14ac:dyDescent="0.2"/>
    <row r="1446" ht="12.75" customHeight="1" x14ac:dyDescent="0.2"/>
    <row r="1447" ht="12.75" customHeight="1" x14ac:dyDescent="0.2"/>
    <row r="1448" ht="12.75" customHeight="1" x14ac:dyDescent="0.2"/>
    <row r="1449" ht="12.75" customHeight="1" x14ac:dyDescent="0.2"/>
    <row r="1450" ht="12.75" customHeight="1" x14ac:dyDescent="0.2"/>
    <row r="1451" ht="12.75" customHeight="1" x14ac:dyDescent="0.2"/>
    <row r="1452" ht="12.75" customHeight="1" x14ac:dyDescent="0.2"/>
    <row r="1453" ht="12.75" customHeight="1" x14ac:dyDescent="0.2"/>
    <row r="1454" ht="12.75" customHeight="1" x14ac:dyDescent="0.2"/>
    <row r="1455" ht="12.75" customHeight="1" x14ac:dyDescent="0.2"/>
    <row r="1456" ht="12.75" customHeight="1" x14ac:dyDescent="0.2"/>
    <row r="1457" ht="12.75" customHeight="1" x14ac:dyDescent="0.2"/>
    <row r="1458" ht="12.75" customHeight="1" x14ac:dyDescent="0.2"/>
    <row r="1459" ht="12.75" customHeight="1" x14ac:dyDescent="0.2"/>
    <row r="1460" ht="12.75" customHeight="1" x14ac:dyDescent="0.2"/>
    <row r="1461" ht="12.75" customHeight="1" x14ac:dyDescent="0.2"/>
    <row r="1462" ht="12.75" customHeight="1" x14ac:dyDescent="0.2"/>
    <row r="1463" ht="12.75" customHeight="1" x14ac:dyDescent="0.2"/>
    <row r="1464" ht="12.75" customHeight="1" x14ac:dyDescent="0.2"/>
    <row r="1465" ht="12.75" customHeight="1" x14ac:dyDescent="0.2"/>
    <row r="1466" ht="12.75" customHeight="1" x14ac:dyDescent="0.2"/>
    <row r="1467" ht="12.75" customHeight="1" x14ac:dyDescent="0.2"/>
    <row r="1468" ht="12.75" customHeight="1" x14ac:dyDescent="0.2"/>
    <row r="1469" ht="12.75" customHeight="1" x14ac:dyDescent="0.2"/>
    <row r="1470" ht="12.75" customHeight="1" x14ac:dyDescent="0.2"/>
    <row r="1471" ht="12.75" customHeight="1" x14ac:dyDescent="0.2"/>
    <row r="1472" ht="12.75" customHeight="1" x14ac:dyDescent="0.2"/>
    <row r="1473" ht="12.75" customHeight="1" x14ac:dyDescent="0.2"/>
    <row r="1474" ht="12.75" customHeight="1" x14ac:dyDescent="0.2"/>
    <row r="1475" ht="12.75" customHeight="1" x14ac:dyDescent="0.2"/>
    <row r="1476" ht="12.75" customHeight="1" x14ac:dyDescent="0.2"/>
    <row r="1477" ht="12.75" customHeight="1" x14ac:dyDescent="0.2"/>
    <row r="1478" ht="12.75" customHeight="1" x14ac:dyDescent="0.2"/>
    <row r="1479" ht="12.75" customHeight="1" x14ac:dyDescent="0.2"/>
    <row r="1480" ht="12.75" customHeight="1" x14ac:dyDescent="0.2"/>
    <row r="1481" ht="12.75" customHeight="1" x14ac:dyDescent="0.2"/>
    <row r="1482" ht="12.75" customHeight="1" x14ac:dyDescent="0.2"/>
    <row r="1483" ht="12.75" customHeight="1" x14ac:dyDescent="0.2"/>
    <row r="1484" ht="12.75" customHeight="1" x14ac:dyDescent="0.2"/>
    <row r="1485" ht="12.75" customHeight="1" x14ac:dyDescent="0.2"/>
    <row r="1486" ht="12.75" customHeight="1" x14ac:dyDescent="0.2"/>
    <row r="1487" ht="12.75" customHeight="1" x14ac:dyDescent="0.2"/>
    <row r="1488" ht="12.75" customHeight="1" x14ac:dyDescent="0.2"/>
    <row r="1489" ht="12.75" customHeight="1" x14ac:dyDescent="0.2"/>
    <row r="1490" ht="12.75" customHeight="1" x14ac:dyDescent="0.2"/>
    <row r="1491" ht="12.75" customHeight="1" x14ac:dyDescent="0.2"/>
    <row r="1492" ht="12.75" customHeight="1" x14ac:dyDescent="0.2"/>
    <row r="1493" ht="12.75" customHeight="1" x14ac:dyDescent="0.2"/>
    <row r="1494" ht="12.75" customHeight="1" x14ac:dyDescent="0.2"/>
    <row r="1495" ht="12.75" customHeight="1" x14ac:dyDescent="0.2"/>
    <row r="1496" ht="12.75" customHeight="1" x14ac:dyDescent="0.2"/>
    <row r="1497" ht="12.75" customHeight="1" x14ac:dyDescent="0.2"/>
    <row r="1498" ht="12.75" customHeight="1" x14ac:dyDescent="0.2"/>
    <row r="1499" ht="12.75" customHeight="1" x14ac:dyDescent="0.2"/>
    <row r="1500" ht="12.75" customHeight="1" x14ac:dyDescent="0.2"/>
    <row r="1501" ht="12.75" customHeight="1" x14ac:dyDescent="0.2"/>
    <row r="1502" ht="12.75" customHeight="1" x14ac:dyDescent="0.2"/>
    <row r="1503" ht="12.75" customHeight="1" x14ac:dyDescent="0.2"/>
    <row r="1504" ht="12.75" customHeight="1" x14ac:dyDescent="0.2"/>
    <row r="1505" ht="12.75" customHeight="1" x14ac:dyDescent="0.2"/>
    <row r="1506" ht="12.75" customHeight="1" x14ac:dyDescent="0.2"/>
    <row r="1507" ht="12.75" customHeight="1" x14ac:dyDescent="0.2"/>
    <row r="1508" ht="12.75" customHeight="1" x14ac:dyDescent="0.2"/>
    <row r="1509" ht="12.75" customHeight="1" x14ac:dyDescent="0.2"/>
    <row r="1510" ht="12.75" customHeight="1" x14ac:dyDescent="0.2"/>
    <row r="1511" ht="12.75" customHeight="1" x14ac:dyDescent="0.2"/>
    <row r="1512" ht="12.75" customHeight="1" x14ac:dyDescent="0.2"/>
    <row r="1513" ht="12.75" customHeight="1" x14ac:dyDescent="0.2"/>
    <row r="1514" ht="12.75" customHeight="1" x14ac:dyDescent="0.2"/>
    <row r="1515" ht="12.75" customHeight="1" x14ac:dyDescent="0.2"/>
    <row r="1516" ht="12.75" customHeight="1" x14ac:dyDescent="0.2"/>
    <row r="1517" ht="12.75" customHeight="1" x14ac:dyDescent="0.2"/>
    <row r="1518" ht="12.75" customHeight="1" x14ac:dyDescent="0.2"/>
    <row r="1519" ht="12.75" customHeight="1" x14ac:dyDescent="0.2"/>
    <row r="1520" ht="12.75" customHeight="1" x14ac:dyDescent="0.2"/>
    <row r="1521" ht="12.75" customHeight="1" x14ac:dyDescent="0.2"/>
    <row r="1522" ht="12.75" customHeight="1" x14ac:dyDescent="0.2"/>
    <row r="1523" ht="12.75" customHeight="1" x14ac:dyDescent="0.2"/>
    <row r="1524" ht="12.75" customHeight="1" x14ac:dyDescent="0.2"/>
    <row r="1525" ht="12.75" customHeight="1" x14ac:dyDescent="0.2"/>
    <row r="1526" ht="12.75" customHeight="1" x14ac:dyDescent="0.2"/>
    <row r="1527" ht="12.75" customHeight="1" x14ac:dyDescent="0.2"/>
    <row r="1528" ht="12.75" customHeight="1" x14ac:dyDescent="0.2"/>
    <row r="1529" ht="12.75" customHeight="1" x14ac:dyDescent="0.2"/>
    <row r="1530" ht="12.75" customHeight="1" x14ac:dyDescent="0.2"/>
    <row r="1531" ht="12.75" customHeight="1" x14ac:dyDescent="0.2"/>
    <row r="1532" ht="12.75" customHeight="1" x14ac:dyDescent="0.2"/>
    <row r="1533" ht="12.75" customHeight="1" x14ac:dyDescent="0.2"/>
    <row r="1534" ht="12.75" customHeight="1" x14ac:dyDescent="0.2"/>
    <row r="1535" ht="12.75" customHeight="1" x14ac:dyDescent="0.2"/>
    <row r="1536" ht="12.75" customHeight="1" x14ac:dyDescent="0.2"/>
    <row r="1537" ht="12.75" customHeight="1" x14ac:dyDescent="0.2"/>
    <row r="1538" ht="12.75" customHeight="1" x14ac:dyDescent="0.2"/>
    <row r="1539" ht="12.75" customHeight="1" x14ac:dyDescent="0.2"/>
    <row r="1540" ht="12.75" customHeight="1" x14ac:dyDescent="0.2"/>
    <row r="1541" ht="12.75" customHeight="1" x14ac:dyDescent="0.2"/>
    <row r="1542" ht="12.75" customHeight="1" x14ac:dyDescent="0.2"/>
    <row r="1543" ht="12.75" customHeight="1" x14ac:dyDescent="0.2"/>
    <row r="1544" ht="12.75" customHeight="1" x14ac:dyDescent="0.2"/>
    <row r="1545" ht="12.75" customHeight="1" x14ac:dyDescent="0.2"/>
    <row r="1546" ht="12.75" customHeight="1" x14ac:dyDescent="0.2"/>
    <row r="1547" ht="12.75" customHeight="1" x14ac:dyDescent="0.2"/>
    <row r="1548" ht="12.75" customHeight="1" x14ac:dyDescent="0.2"/>
    <row r="1549" ht="12.75" customHeight="1" x14ac:dyDescent="0.2"/>
    <row r="1550" ht="12.75" customHeight="1" x14ac:dyDescent="0.2"/>
    <row r="1551" ht="12.75" customHeight="1" x14ac:dyDescent="0.2"/>
    <row r="1552" ht="12.75" customHeight="1" x14ac:dyDescent="0.2"/>
    <row r="1553" ht="12.75" customHeight="1" x14ac:dyDescent="0.2"/>
    <row r="1554" ht="12.75" customHeight="1" x14ac:dyDescent="0.2"/>
    <row r="1555" ht="12.75" customHeight="1" x14ac:dyDescent="0.2"/>
    <row r="1556" ht="12.75" customHeight="1" x14ac:dyDescent="0.2"/>
    <row r="1557" ht="12.75" customHeight="1" x14ac:dyDescent="0.2"/>
    <row r="1558" ht="12.75" customHeight="1" x14ac:dyDescent="0.2"/>
    <row r="1559" ht="12.75" customHeight="1" x14ac:dyDescent="0.2"/>
    <row r="1560" ht="12.75" customHeight="1" x14ac:dyDescent="0.2"/>
  </sheetData>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&amp;L&amp;"Arial,Vet"PO-Raad&amp;C&amp;"Arial,Vet"&amp;D&amp;R&amp;"Arial,Vet"pagina &amp;P</oddFooter>
  </headerFooter>
  <rowBreaks count="2" manualBreakCount="2">
    <brk id="84" min="1" max="13" man="1"/>
    <brk id="171" min="1" max="12"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B1:Q32"/>
  <sheetViews>
    <sheetView zoomScale="85" zoomScaleNormal="85" workbookViewId="0">
      <selection activeCell="B2" sqref="B2"/>
    </sheetView>
  </sheetViews>
  <sheetFormatPr defaultColWidth="9.140625" defaultRowHeight="12.75" x14ac:dyDescent="0.2"/>
  <cols>
    <col min="1" max="1" width="3.7109375" style="48" customWidth="1"/>
    <col min="2" max="3" width="2.7109375" style="48" customWidth="1"/>
    <col min="4" max="4" width="45.7109375" style="48" customWidth="1"/>
    <col min="5" max="5" width="2.7109375" style="48" customWidth="1"/>
    <col min="6" max="8" width="14.85546875" style="48" customWidth="1"/>
    <col min="9" max="9" width="14.85546875" style="260" customWidth="1"/>
    <col min="10" max="15" width="14.85546875" style="48" customWidth="1"/>
    <col min="16" max="17" width="2.7109375" style="48" customWidth="1"/>
    <col min="18" max="16384" width="9.140625" style="48"/>
  </cols>
  <sheetData>
    <row r="1" spans="2:17" ht="12.75" customHeight="1" x14ac:dyDescent="0.2"/>
    <row r="2" spans="2:17" x14ac:dyDescent="0.2">
      <c r="B2" s="43"/>
      <c r="C2" s="44"/>
      <c r="D2" s="44"/>
      <c r="E2" s="44"/>
      <c r="F2" s="44"/>
      <c r="G2" s="44"/>
      <c r="H2" s="44"/>
      <c r="I2" s="478"/>
      <c r="J2" s="44"/>
      <c r="K2" s="44"/>
      <c r="L2" s="44"/>
      <c r="M2" s="44"/>
      <c r="N2" s="44"/>
      <c r="O2" s="44"/>
      <c r="P2" s="44"/>
      <c r="Q2" s="47"/>
    </row>
    <row r="3" spans="2:17" x14ac:dyDescent="0.2">
      <c r="B3" s="49"/>
      <c r="C3" s="50"/>
      <c r="D3" s="50"/>
      <c r="E3" s="50"/>
      <c r="F3" s="50"/>
      <c r="G3" s="50"/>
      <c r="H3" s="50"/>
      <c r="I3" s="309"/>
      <c r="J3" s="50"/>
      <c r="K3" s="50"/>
      <c r="L3" s="50"/>
      <c r="M3" s="50"/>
      <c r="N3" s="50"/>
      <c r="O3" s="50"/>
      <c r="P3" s="50"/>
      <c r="Q3" s="53"/>
    </row>
    <row r="4" spans="2:17" s="479" customFormat="1" ht="18.75" x14ac:dyDescent="0.3">
      <c r="B4" s="60"/>
      <c r="C4" s="673" t="s">
        <v>503</v>
      </c>
      <c r="D4" s="147"/>
      <c r="E4" s="480"/>
      <c r="F4" s="480"/>
      <c r="G4" s="480"/>
      <c r="H4" s="62"/>
      <c r="I4" s="62"/>
      <c r="J4" s="62"/>
      <c r="K4" s="480"/>
      <c r="L4" s="480"/>
      <c r="M4" s="480"/>
      <c r="N4" s="480"/>
      <c r="O4" s="480"/>
      <c r="P4" s="480"/>
      <c r="Q4" s="481"/>
    </row>
    <row r="5" spans="2:17" s="482" customFormat="1" ht="18" customHeight="1" x14ac:dyDescent="0.3">
      <c r="B5" s="483"/>
      <c r="C5" s="246" t="str">
        <f>geg!G12</f>
        <v>voorbeeld Basisschool</v>
      </c>
      <c r="D5" s="484"/>
      <c r="E5" s="61"/>
      <c r="F5" s="61"/>
      <c r="G5" s="61"/>
      <c r="H5" s="50"/>
      <c r="I5" s="50"/>
      <c r="J5" s="50"/>
      <c r="K5" s="61"/>
      <c r="L5" s="61"/>
      <c r="M5" s="61"/>
      <c r="N5" s="61"/>
      <c r="O5" s="61"/>
      <c r="P5" s="61"/>
      <c r="Q5" s="485"/>
    </row>
    <row r="6" spans="2:17" s="482" customFormat="1" ht="12" customHeight="1" x14ac:dyDescent="0.3">
      <c r="B6" s="483"/>
      <c r="C6" s="51"/>
      <c r="D6" s="484"/>
      <c r="E6" s="61"/>
      <c r="F6" s="61"/>
      <c r="G6" s="61"/>
      <c r="H6" s="50"/>
      <c r="I6" s="50"/>
      <c r="J6" s="50"/>
      <c r="K6" s="61"/>
      <c r="L6" s="61"/>
      <c r="M6" s="61"/>
      <c r="N6" s="61"/>
      <c r="O6" s="61"/>
      <c r="P6" s="61"/>
      <c r="Q6" s="485"/>
    </row>
    <row r="7" spans="2:17" s="482" customFormat="1" ht="12" customHeight="1" x14ac:dyDescent="0.3">
      <c r="B7" s="483"/>
      <c r="C7" s="51"/>
      <c r="D7" s="484"/>
      <c r="E7" s="61"/>
      <c r="F7" s="61"/>
      <c r="G7" s="61"/>
      <c r="H7" s="50"/>
      <c r="I7" s="50"/>
      <c r="J7" s="50"/>
      <c r="K7" s="61"/>
      <c r="L7" s="61"/>
      <c r="M7" s="61"/>
      <c r="N7" s="61"/>
      <c r="O7" s="61"/>
      <c r="P7" s="61"/>
      <c r="Q7" s="485"/>
    </row>
    <row r="8" spans="2:17" s="482" customFormat="1" ht="12" customHeight="1" x14ac:dyDescent="0.3">
      <c r="B8" s="483"/>
      <c r="C8" s="51"/>
      <c r="D8" s="776" t="s">
        <v>49</v>
      </c>
      <c r="E8" s="777"/>
      <c r="F8" s="777"/>
      <c r="G8" s="777"/>
      <c r="H8" s="687"/>
      <c r="I8" s="687"/>
      <c r="J8" s="687"/>
      <c r="K8" s="61"/>
      <c r="L8" s="61"/>
      <c r="M8" s="61"/>
      <c r="N8" s="61"/>
      <c r="O8" s="61"/>
      <c r="P8" s="61"/>
      <c r="Q8" s="485"/>
    </row>
    <row r="9" spans="2:17" s="482" customFormat="1" ht="12" customHeight="1" x14ac:dyDescent="0.3">
      <c r="B9" s="483"/>
      <c r="C9" s="51"/>
      <c r="D9" s="778" t="s">
        <v>348</v>
      </c>
      <c r="E9" s="777"/>
      <c r="F9" s="777"/>
      <c r="G9" s="777"/>
      <c r="H9" s="687"/>
      <c r="I9" s="687"/>
      <c r="J9" s="687"/>
      <c r="K9" s="61"/>
      <c r="L9" s="61"/>
      <c r="M9" s="61"/>
      <c r="N9" s="61"/>
      <c r="O9" s="61"/>
      <c r="P9" s="61"/>
      <c r="Q9" s="485"/>
    </row>
    <row r="10" spans="2:17" s="482" customFormat="1" ht="12" customHeight="1" x14ac:dyDescent="0.3">
      <c r="B10" s="483"/>
      <c r="C10" s="51"/>
      <c r="D10" s="778" t="s">
        <v>389</v>
      </c>
      <c r="E10" s="777"/>
      <c r="F10" s="777"/>
      <c r="G10" s="777"/>
      <c r="H10" s="687"/>
      <c r="I10" s="687"/>
      <c r="J10" s="687"/>
      <c r="K10" s="61"/>
      <c r="L10" s="61"/>
      <c r="M10" s="61"/>
      <c r="N10" s="61"/>
      <c r="O10" s="61"/>
      <c r="P10" s="61"/>
      <c r="Q10" s="485"/>
    </row>
    <row r="11" spans="2:17" s="482" customFormat="1" ht="12" customHeight="1" x14ac:dyDescent="0.3">
      <c r="B11" s="483"/>
      <c r="C11" s="487"/>
      <c r="D11" s="487"/>
      <c r="E11" s="61"/>
      <c r="F11" s="61"/>
      <c r="G11" s="61"/>
      <c r="H11" s="50"/>
      <c r="I11" s="50"/>
      <c r="J11" s="50"/>
      <c r="K11" s="61"/>
      <c r="L11" s="61"/>
      <c r="M11" s="61"/>
      <c r="N11" s="61"/>
      <c r="O11" s="61"/>
      <c r="P11" s="61"/>
      <c r="Q11" s="485"/>
    </row>
    <row r="12" spans="2:17" ht="12" customHeight="1" x14ac:dyDescent="0.2">
      <c r="B12" s="488"/>
      <c r="C12" s="51"/>
      <c r="D12" s="271"/>
      <c r="E12" s="50"/>
      <c r="F12" s="50"/>
      <c r="G12" s="52"/>
      <c r="H12" s="50"/>
      <c r="I12" s="50"/>
      <c r="J12" s="50"/>
      <c r="K12" s="50"/>
      <c r="L12" s="50"/>
      <c r="M12" s="50"/>
      <c r="N12" s="50"/>
      <c r="O12" s="50"/>
      <c r="P12" s="50"/>
      <c r="Q12" s="53"/>
    </row>
    <row r="13" spans="2:17" s="130" customFormat="1" ht="12" customHeight="1" x14ac:dyDescent="0.2">
      <c r="B13" s="409"/>
      <c r="C13" s="64"/>
      <c r="D13" s="489"/>
      <c r="E13" s="62"/>
      <c r="F13" s="688">
        <f>tab!E4</f>
        <v>2019</v>
      </c>
      <c r="G13" s="688">
        <f t="shared" ref="G13:O13" si="0">F13+1</f>
        <v>2020</v>
      </c>
      <c r="H13" s="688">
        <f t="shared" si="0"/>
        <v>2021</v>
      </c>
      <c r="I13" s="688">
        <f t="shared" si="0"/>
        <v>2022</v>
      </c>
      <c r="J13" s="688">
        <f t="shared" si="0"/>
        <v>2023</v>
      </c>
      <c r="K13" s="688">
        <f t="shared" si="0"/>
        <v>2024</v>
      </c>
      <c r="L13" s="688">
        <f t="shared" si="0"/>
        <v>2025</v>
      </c>
      <c r="M13" s="688">
        <f t="shared" si="0"/>
        <v>2026</v>
      </c>
      <c r="N13" s="688">
        <f t="shared" si="0"/>
        <v>2027</v>
      </c>
      <c r="O13" s="688">
        <f t="shared" si="0"/>
        <v>2028</v>
      </c>
      <c r="P13" s="62"/>
      <c r="Q13" s="86"/>
    </row>
    <row r="14" spans="2:17" ht="12" customHeight="1" x14ac:dyDescent="0.2">
      <c r="B14" s="488"/>
      <c r="C14" s="51"/>
      <c r="D14" s="271"/>
      <c r="E14" s="50"/>
      <c r="F14" s="50"/>
      <c r="G14" s="50"/>
      <c r="H14" s="50"/>
      <c r="I14" s="50"/>
      <c r="J14" s="50"/>
      <c r="K14" s="50"/>
      <c r="L14" s="50"/>
      <c r="M14" s="50"/>
      <c r="N14" s="50"/>
      <c r="O14" s="50"/>
      <c r="P14" s="50"/>
      <c r="Q14" s="53"/>
    </row>
    <row r="15" spans="2:17" x14ac:dyDescent="0.2">
      <c r="B15" s="49"/>
      <c r="C15" s="490"/>
      <c r="D15" s="491"/>
      <c r="F15" s="66"/>
      <c r="G15" s="67"/>
      <c r="H15" s="67"/>
      <c r="I15" s="67"/>
      <c r="J15" s="67"/>
      <c r="K15" s="274"/>
      <c r="L15" s="274"/>
      <c r="M15" s="274"/>
      <c r="N15" s="274"/>
      <c r="O15" s="274"/>
      <c r="P15" s="119"/>
      <c r="Q15" s="53"/>
    </row>
    <row r="16" spans="2:17" x14ac:dyDescent="0.2">
      <c r="B16" s="49"/>
      <c r="C16" s="492"/>
      <c r="D16" s="209" t="s">
        <v>51</v>
      </c>
      <c r="E16" s="493"/>
      <c r="F16" s="494">
        <v>0</v>
      </c>
      <c r="G16" s="682">
        <f>F19</f>
        <v>0</v>
      </c>
      <c r="H16" s="682">
        <f t="shared" ref="H16:O16" si="1">G19</f>
        <v>0</v>
      </c>
      <c r="I16" s="682">
        <f t="shared" si="1"/>
        <v>0</v>
      </c>
      <c r="J16" s="682">
        <f t="shared" si="1"/>
        <v>0</v>
      </c>
      <c r="K16" s="682">
        <f t="shared" si="1"/>
        <v>0</v>
      </c>
      <c r="L16" s="682">
        <f t="shared" si="1"/>
        <v>0</v>
      </c>
      <c r="M16" s="682">
        <f t="shared" si="1"/>
        <v>0</v>
      </c>
      <c r="N16" s="682">
        <f t="shared" si="1"/>
        <v>0</v>
      </c>
      <c r="O16" s="682">
        <f t="shared" si="1"/>
        <v>0</v>
      </c>
      <c r="P16" s="120"/>
      <c r="Q16" s="53"/>
    </row>
    <row r="17" spans="2:17" x14ac:dyDescent="0.2">
      <c r="B17" s="49"/>
      <c r="C17" s="492"/>
      <c r="D17" s="209" t="s">
        <v>67</v>
      </c>
      <c r="E17" s="475"/>
      <c r="F17" s="494">
        <v>0</v>
      </c>
      <c r="G17" s="495">
        <v>0</v>
      </c>
      <c r="H17" s="495">
        <v>0</v>
      </c>
      <c r="I17" s="495">
        <v>0</v>
      </c>
      <c r="J17" s="495">
        <v>0</v>
      </c>
      <c r="K17" s="495">
        <v>0</v>
      </c>
      <c r="L17" s="495">
        <v>0</v>
      </c>
      <c r="M17" s="495">
        <v>0</v>
      </c>
      <c r="N17" s="495">
        <v>0</v>
      </c>
      <c r="O17" s="495">
        <v>0</v>
      </c>
      <c r="P17" s="120"/>
      <c r="Q17" s="53"/>
    </row>
    <row r="18" spans="2:17" x14ac:dyDescent="0.2">
      <c r="B18" s="49"/>
      <c r="C18" s="492"/>
      <c r="D18" s="209" t="s">
        <v>68</v>
      </c>
      <c r="E18" s="493"/>
      <c r="F18" s="494">
        <v>0</v>
      </c>
      <c r="G18" s="495">
        <v>0</v>
      </c>
      <c r="H18" s="495">
        <v>0</v>
      </c>
      <c r="I18" s="495">
        <v>0</v>
      </c>
      <c r="J18" s="495">
        <v>0</v>
      </c>
      <c r="K18" s="495">
        <v>0</v>
      </c>
      <c r="L18" s="495">
        <v>0</v>
      </c>
      <c r="M18" s="495">
        <v>0</v>
      </c>
      <c r="N18" s="495">
        <v>0</v>
      </c>
      <c r="O18" s="495">
        <v>0</v>
      </c>
      <c r="P18" s="120"/>
      <c r="Q18" s="53"/>
    </row>
    <row r="19" spans="2:17" x14ac:dyDescent="0.2">
      <c r="B19" s="49"/>
      <c r="C19" s="496"/>
      <c r="D19" s="326" t="s">
        <v>199</v>
      </c>
      <c r="E19" s="475"/>
      <c r="F19" s="780">
        <f>SUM(F16:F17)-F18</f>
        <v>0</v>
      </c>
      <c r="G19" s="781">
        <f t="shared" ref="G19:O19" si="2">SUM(G16:G17)-G18</f>
        <v>0</v>
      </c>
      <c r="H19" s="781">
        <f t="shared" si="2"/>
        <v>0</v>
      </c>
      <c r="I19" s="781">
        <f t="shared" si="2"/>
        <v>0</v>
      </c>
      <c r="J19" s="781">
        <f t="shared" si="2"/>
        <v>0</v>
      </c>
      <c r="K19" s="781">
        <f t="shared" si="2"/>
        <v>0</v>
      </c>
      <c r="L19" s="781">
        <f t="shared" si="2"/>
        <v>0</v>
      </c>
      <c r="M19" s="781">
        <f t="shared" si="2"/>
        <v>0</v>
      </c>
      <c r="N19" s="781">
        <f t="shared" si="2"/>
        <v>0</v>
      </c>
      <c r="O19" s="781">
        <f t="shared" si="2"/>
        <v>0</v>
      </c>
      <c r="P19" s="120"/>
      <c r="Q19" s="53"/>
    </row>
    <row r="20" spans="2:17" x14ac:dyDescent="0.2">
      <c r="B20" s="49"/>
      <c r="C20" s="260"/>
      <c r="F20" s="76"/>
      <c r="G20" s="77"/>
      <c r="H20" s="306"/>
      <c r="I20" s="77"/>
      <c r="J20" s="77"/>
      <c r="K20" s="77"/>
      <c r="L20" s="77"/>
      <c r="M20" s="77"/>
      <c r="N20" s="77"/>
      <c r="O20" s="77"/>
      <c r="P20" s="100"/>
      <c r="Q20" s="53"/>
    </row>
    <row r="21" spans="2:17" ht="12.75" customHeight="1" x14ac:dyDescent="0.2">
      <c r="B21" s="488"/>
      <c r="C21" s="51"/>
      <c r="D21" s="271"/>
      <c r="E21" s="50"/>
      <c r="F21" s="50"/>
      <c r="G21" s="50"/>
      <c r="H21" s="309"/>
      <c r="I21" s="50"/>
      <c r="J21" s="50"/>
      <c r="K21" s="50"/>
      <c r="L21" s="50"/>
      <c r="M21" s="50"/>
      <c r="N21" s="50"/>
      <c r="O21" s="50"/>
      <c r="P21" s="50"/>
      <c r="Q21" s="53"/>
    </row>
    <row r="22" spans="2:17" ht="12.75" customHeight="1" x14ac:dyDescent="0.2">
      <c r="B22" s="488"/>
      <c r="C22" s="51"/>
      <c r="D22" s="271"/>
      <c r="E22" s="50"/>
      <c r="F22" s="50"/>
      <c r="G22" s="50"/>
      <c r="H22" s="309"/>
      <c r="I22" s="50"/>
      <c r="J22" s="50"/>
      <c r="K22" s="50"/>
      <c r="L22" s="50"/>
      <c r="M22" s="50"/>
      <c r="N22" s="50"/>
      <c r="O22" s="50"/>
      <c r="P22" s="50"/>
      <c r="Q22" s="53"/>
    </row>
    <row r="23" spans="2:17" s="130" customFormat="1" ht="12.75" customHeight="1" x14ac:dyDescent="0.2">
      <c r="B23" s="497"/>
      <c r="C23" s="64"/>
      <c r="D23" s="489"/>
      <c r="E23" s="62"/>
      <c r="F23" s="688">
        <f>O13+1</f>
        <v>2029</v>
      </c>
      <c r="G23" s="688">
        <f t="shared" ref="G23:O23" si="3">F23+1</f>
        <v>2030</v>
      </c>
      <c r="H23" s="688">
        <f t="shared" si="3"/>
        <v>2031</v>
      </c>
      <c r="I23" s="688">
        <f t="shared" si="3"/>
        <v>2032</v>
      </c>
      <c r="J23" s="688">
        <f t="shared" si="3"/>
        <v>2033</v>
      </c>
      <c r="K23" s="688">
        <f t="shared" si="3"/>
        <v>2034</v>
      </c>
      <c r="L23" s="688">
        <f t="shared" si="3"/>
        <v>2035</v>
      </c>
      <c r="M23" s="688">
        <f t="shared" si="3"/>
        <v>2036</v>
      </c>
      <c r="N23" s="688">
        <f t="shared" si="3"/>
        <v>2037</v>
      </c>
      <c r="O23" s="688">
        <f t="shared" si="3"/>
        <v>2038</v>
      </c>
      <c r="P23" s="498"/>
      <c r="Q23" s="86"/>
    </row>
    <row r="24" spans="2:17" ht="12.75" customHeight="1" x14ac:dyDescent="0.2">
      <c r="B24" s="488"/>
      <c r="C24" s="51"/>
      <c r="D24" s="271"/>
      <c r="E24" s="50"/>
      <c r="F24" s="50"/>
      <c r="G24" s="50"/>
      <c r="H24" s="50"/>
      <c r="I24" s="50"/>
      <c r="J24" s="50"/>
      <c r="K24" s="50"/>
      <c r="L24" s="50"/>
      <c r="M24" s="50"/>
      <c r="N24" s="50"/>
      <c r="O24" s="50"/>
      <c r="P24" s="50"/>
      <c r="Q24" s="53"/>
    </row>
    <row r="25" spans="2:17" ht="12.75" customHeight="1" x14ac:dyDescent="0.2">
      <c r="B25" s="488"/>
      <c r="C25" s="490"/>
      <c r="D25" s="491"/>
      <c r="F25" s="66"/>
      <c r="G25" s="67"/>
      <c r="H25" s="67"/>
      <c r="I25" s="67"/>
      <c r="J25" s="67"/>
      <c r="K25" s="67"/>
      <c r="L25" s="67"/>
      <c r="M25" s="67"/>
      <c r="N25" s="67"/>
      <c r="O25" s="67"/>
      <c r="P25" s="119"/>
      <c r="Q25" s="53"/>
    </row>
    <row r="26" spans="2:17" ht="12.75" customHeight="1" x14ac:dyDescent="0.2">
      <c r="B26" s="488"/>
      <c r="C26" s="492"/>
      <c r="D26" s="209" t="s">
        <v>51</v>
      </c>
      <c r="E26" s="493"/>
      <c r="F26" s="779">
        <f>O19</f>
        <v>0</v>
      </c>
      <c r="G26" s="682">
        <f>F29</f>
        <v>0</v>
      </c>
      <c r="H26" s="682">
        <f t="shared" ref="H26:O26" si="4">G29</f>
        <v>0</v>
      </c>
      <c r="I26" s="682">
        <f t="shared" si="4"/>
        <v>0</v>
      </c>
      <c r="J26" s="682">
        <f t="shared" si="4"/>
        <v>0</v>
      </c>
      <c r="K26" s="682">
        <f t="shared" si="4"/>
        <v>0</v>
      </c>
      <c r="L26" s="682">
        <f t="shared" si="4"/>
        <v>0</v>
      </c>
      <c r="M26" s="682">
        <f t="shared" si="4"/>
        <v>0</v>
      </c>
      <c r="N26" s="682">
        <f t="shared" si="4"/>
        <v>0</v>
      </c>
      <c r="O26" s="682">
        <f t="shared" si="4"/>
        <v>0</v>
      </c>
      <c r="P26" s="120"/>
      <c r="Q26" s="53"/>
    </row>
    <row r="27" spans="2:17" ht="12.75" customHeight="1" x14ac:dyDescent="0.2">
      <c r="B27" s="488"/>
      <c r="C27" s="492"/>
      <c r="D27" s="209" t="s">
        <v>67</v>
      </c>
      <c r="E27" s="475"/>
      <c r="F27" s="494">
        <v>0</v>
      </c>
      <c r="G27" s="495">
        <v>0</v>
      </c>
      <c r="H27" s="495">
        <v>0</v>
      </c>
      <c r="I27" s="495">
        <v>0</v>
      </c>
      <c r="J27" s="495">
        <v>0</v>
      </c>
      <c r="K27" s="495">
        <v>0</v>
      </c>
      <c r="L27" s="495">
        <v>0</v>
      </c>
      <c r="M27" s="495">
        <v>0</v>
      </c>
      <c r="N27" s="495">
        <v>0</v>
      </c>
      <c r="O27" s="495">
        <v>0</v>
      </c>
      <c r="P27" s="120"/>
      <c r="Q27" s="53"/>
    </row>
    <row r="28" spans="2:17" ht="12.75" customHeight="1" x14ac:dyDescent="0.2">
      <c r="B28" s="488"/>
      <c r="C28" s="492"/>
      <c r="D28" s="209" t="s">
        <v>68</v>
      </c>
      <c r="E28" s="493"/>
      <c r="F28" s="494">
        <v>0</v>
      </c>
      <c r="G28" s="495">
        <v>0</v>
      </c>
      <c r="H28" s="495">
        <v>0</v>
      </c>
      <c r="I28" s="495">
        <v>0</v>
      </c>
      <c r="J28" s="495">
        <v>0</v>
      </c>
      <c r="K28" s="495">
        <v>0</v>
      </c>
      <c r="L28" s="495">
        <v>0</v>
      </c>
      <c r="M28" s="495">
        <v>0</v>
      </c>
      <c r="N28" s="495">
        <v>0</v>
      </c>
      <c r="O28" s="495">
        <v>0</v>
      </c>
      <c r="P28" s="120"/>
      <c r="Q28" s="53"/>
    </row>
    <row r="29" spans="2:17" ht="12.75" customHeight="1" x14ac:dyDescent="0.2">
      <c r="B29" s="488"/>
      <c r="C29" s="496"/>
      <c r="D29" s="326" t="s">
        <v>199</v>
      </c>
      <c r="E29" s="475"/>
      <c r="F29" s="780">
        <f t="shared" ref="F29:O29" si="5">SUM(F26:F27)-F28</f>
        <v>0</v>
      </c>
      <c r="G29" s="781">
        <f t="shared" si="5"/>
        <v>0</v>
      </c>
      <c r="H29" s="781">
        <f t="shared" si="5"/>
        <v>0</v>
      </c>
      <c r="I29" s="781">
        <f t="shared" si="5"/>
        <v>0</v>
      </c>
      <c r="J29" s="781">
        <f t="shared" si="5"/>
        <v>0</v>
      </c>
      <c r="K29" s="781">
        <f t="shared" si="5"/>
        <v>0</v>
      </c>
      <c r="L29" s="781">
        <f t="shared" si="5"/>
        <v>0</v>
      </c>
      <c r="M29" s="781">
        <f t="shared" si="5"/>
        <v>0</v>
      </c>
      <c r="N29" s="781">
        <f t="shared" si="5"/>
        <v>0</v>
      </c>
      <c r="O29" s="781">
        <f t="shared" si="5"/>
        <v>0</v>
      </c>
      <c r="P29" s="120"/>
      <c r="Q29" s="53"/>
    </row>
    <row r="30" spans="2:17" ht="12.75" customHeight="1" x14ac:dyDescent="0.2">
      <c r="B30" s="488"/>
      <c r="C30" s="260"/>
      <c r="F30" s="76"/>
      <c r="G30" s="77"/>
      <c r="H30" s="77"/>
      <c r="I30" s="77"/>
      <c r="J30" s="77"/>
      <c r="K30" s="77"/>
      <c r="L30" s="77"/>
      <c r="M30" s="77"/>
      <c r="N30" s="77"/>
      <c r="O30" s="77"/>
      <c r="P30" s="100"/>
      <c r="Q30" s="53"/>
    </row>
    <row r="31" spans="2:17" ht="12.75" customHeight="1" x14ac:dyDescent="0.2">
      <c r="B31" s="488"/>
      <c r="C31" s="51"/>
      <c r="D31" s="271"/>
      <c r="E31" s="50"/>
      <c r="F31" s="50"/>
      <c r="G31" s="50"/>
      <c r="H31" s="50"/>
      <c r="I31" s="50"/>
      <c r="J31" s="50"/>
      <c r="K31" s="50"/>
      <c r="L31" s="50"/>
      <c r="M31" s="50"/>
      <c r="N31" s="50"/>
      <c r="O31" s="50"/>
      <c r="P31" s="50"/>
      <c r="Q31" s="53"/>
    </row>
    <row r="32" spans="2:17" s="42" customFormat="1" ht="12" customHeight="1" collapsed="1" x14ac:dyDescent="0.25">
      <c r="B32" s="124"/>
      <c r="C32" s="125"/>
      <c r="D32" s="125"/>
      <c r="E32" s="125"/>
      <c r="F32" s="125"/>
      <c r="G32" s="125"/>
      <c r="H32" s="125"/>
      <c r="I32" s="125"/>
      <c r="J32" s="125"/>
      <c r="K32" s="125"/>
      <c r="L32" s="125"/>
      <c r="M32" s="125"/>
      <c r="N32" s="125"/>
      <c r="O32" s="125"/>
      <c r="P32" s="114" t="s">
        <v>384</v>
      </c>
      <c r="Q32" s="126"/>
    </row>
  </sheetData>
  <sheetProtection algorithmName="SHA-512" hashValue="OI7xYKpPn8dV45C/R/X4yVpEYChCoW9GMW+HmIG5GGWnqbLlcrzDHoLcaVnawaJ78PBfL9do77WbIW7LowkTEw==" saltValue="8Dmnedj7yL/EwCGIaDffpg==" spinCount="100000" sheet="1" objects="1" scenarios="1"/>
  <phoneticPr fontId="0" type="noConversion"/>
  <pageMargins left="0.74803149606299213" right="0.74803149606299213" top="0.98425196850393704" bottom="0.98425196850393704" header="0.51181102362204722" footer="0.51181102362204722"/>
  <pageSetup paperSize="9" scale="60" orientation="landscape" r:id="rId1"/>
  <headerFooter alignWithMargins="0">
    <oddHeader>&amp;L&amp;"Arial,Vet"&amp;F&amp;R&amp;"Arial,Vet"&amp;A</oddHeader>
    <oddFooter>&amp;L&amp;"Arial,Vet"PO-Raad&amp;C&amp;"Arial,Vet"&amp;D&amp;R&amp;"Arial,Vet"pagina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B2:AF216"/>
  <sheetViews>
    <sheetView zoomScale="85" zoomScaleNormal="85" zoomScaleSheetLayoutView="55" workbookViewId="0">
      <pane ySplit="13" topLeftCell="A14" activePane="bottomLeft" state="frozen"/>
      <selection activeCell="B2" sqref="B2"/>
      <selection pane="bottomLeft" activeCell="B2" sqref="B2"/>
    </sheetView>
  </sheetViews>
  <sheetFormatPr defaultColWidth="9.140625" defaultRowHeight="12.75" x14ac:dyDescent="0.2"/>
  <cols>
    <col min="1" max="1" width="3.7109375" style="48" customWidth="1"/>
    <col min="2" max="3" width="2.7109375" style="48" customWidth="1"/>
    <col min="4" max="5" width="25.7109375" style="209" customWidth="1"/>
    <col min="6" max="7" width="8.7109375" style="127" customWidth="1"/>
    <col min="8" max="10" width="10.7109375" style="127" customWidth="1"/>
    <col min="11" max="11" width="0.85546875" style="48" customWidth="1"/>
    <col min="12" max="12" width="12.7109375" style="48" hidden="1" customWidth="1"/>
    <col min="13" max="16" width="10.7109375" style="48" customWidth="1"/>
    <col min="17" max="17" width="0.85546875" style="48" customWidth="1"/>
    <col min="18" max="23" width="10.7109375" style="48" customWidth="1"/>
    <col min="24" max="24" width="0.85546875" style="48" customWidth="1"/>
    <col min="25" max="27" width="12.7109375" style="48" customWidth="1"/>
    <col min="28" max="30" width="10.7109375" style="48" customWidth="1"/>
    <col min="31" max="32" width="2.7109375" style="48" customWidth="1"/>
    <col min="33" max="16384" width="9.140625" style="48"/>
  </cols>
  <sheetData>
    <row r="2" spans="2:32" x14ac:dyDescent="0.2">
      <c r="B2" s="50"/>
      <c r="C2" s="50"/>
      <c r="D2" s="176"/>
      <c r="E2" s="176"/>
      <c r="F2" s="129"/>
      <c r="G2" s="129"/>
      <c r="H2" s="129"/>
      <c r="I2" s="129"/>
      <c r="J2" s="129"/>
      <c r="K2" s="50"/>
      <c r="L2" s="50"/>
      <c r="M2" s="50"/>
      <c r="N2" s="50"/>
      <c r="O2" s="50"/>
      <c r="P2" s="50"/>
      <c r="Q2" s="50"/>
      <c r="R2" s="50"/>
      <c r="S2" s="50"/>
      <c r="T2" s="50"/>
      <c r="U2" s="50"/>
      <c r="V2" s="50"/>
      <c r="W2" s="50"/>
      <c r="X2" s="50"/>
      <c r="Y2" s="50"/>
      <c r="Z2" s="50"/>
      <c r="AA2" s="50"/>
      <c r="AB2" s="50"/>
      <c r="AC2" s="50"/>
      <c r="AD2" s="50"/>
      <c r="AE2" s="50"/>
      <c r="AF2" s="50"/>
    </row>
    <row r="3" spans="2:32" x14ac:dyDescent="0.2">
      <c r="B3" s="50"/>
      <c r="C3" s="50"/>
      <c r="D3" s="176"/>
      <c r="E3" s="176"/>
      <c r="F3" s="129"/>
      <c r="G3" s="129"/>
      <c r="H3" s="129"/>
      <c r="I3" s="129"/>
      <c r="J3" s="129"/>
      <c r="K3" s="50"/>
      <c r="L3" s="50"/>
      <c r="M3" s="50"/>
      <c r="N3" s="50"/>
      <c r="O3" s="50"/>
      <c r="P3" s="50"/>
      <c r="Q3" s="50"/>
      <c r="R3" s="50"/>
      <c r="S3" s="50"/>
      <c r="T3" s="50"/>
      <c r="U3" s="50"/>
      <c r="V3" s="50"/>
      <c r="W3" s="50"/>
      <c r="X3" s="50"/>
      <c r="Y3" s="50"/>
      <c r="Z3" s="50"/>
      <c r="AA3" s="50"/>
      <c r="AB3" s="50"/>
      <c r="AC3" s="50"/>
      <c r="AD3" s="50"/>
      <c r="AE3" s="50"/>
      <c r="AF3" s="50"/>
    </row>
    <row r="4" spans="2:32" s="373" customFormat="1" ht="18" customHeight="1" x14ac:dyDescent="0.3">
      <c r="B4" s="147"/>
      <c r="C4" s="673" t="s">
        <v>343</v>
      </c>
      <c r="D4" s="147"/>
      <c r="E4" s="499"/>
      <c r="F4" s="500"/>
      <c r="G4" s="500"/>
      <c r="H4" s="500"/>
      <c r="I4" s="500"/>
      <c r="J4" s="500"/>
      <c r="K4" s="147"/>
      <c r="L4" s="147"/>
      <c r="M4" s="147"/>
      <c r="N4" s="147"/>
      <c r="O4" s="147"/>
      <c r="P4" s="147"/>
      <c r="Q4" s="147"/>
      <c r="R4" s="147"/>
      <c r="S4" s="147"/>
      <c r="T4" s="147"/>
      <c r="U4" s="147"/>
      <c r="V4" s="147"/>
      <c r="W4" s="147"/>
      <c r="X4" s="147"/>
      <c r="Y4" s="147"/>
      <c r="Z4" s="147"/>
      <c r="AA4" s="147"/>
      <c r="AB4" s="147"/>
      <c r="AC4" s="147"/>
      <c r="AD4" s="147"/>
      <c r="AE4" s="147"/>
      <c r="AF4" s="147"/>
    </row>
    <row r="5" spans="2:32" ht="18.75" customHeight="1" x14ac:dyDescent="0.3">
      <c r="B5" s="50"/>
      <c r="C5" s="61" t="str">
        <f>geg!G12</f>
        <v>voorbeeld Basisschool</v>
      </c>
      <c r="D5" s="144"/>
      <c r="E5" s="176"/>
      <c r="F5" s="129"/>
      <c r="G5" s="129"/>
      <c r="H5" s="129"/>
      <c r="I5" s="129"/>
      <c r="J5" s="129"/>
      <c r="K5" s="50"/>
      <c r="L5" s="50"/>
      <c r="M5" s="50"/>
      <c r="N5" s="50"/>
      <c r="O5" s="50"/>
      <c r="P5" s="50"/>
      <c r="Q5" s="50"/>
      <c r="R5" s="50"/>
      <c r="S5" s="50"/>
      <c r="T5" s="50"/>
      <c r="U5" s="50"/>
      <c r="V5" s="50"/>
      <c r="W5" s="50"/>
      <c r="X5" s="50"/>
      <c r="Y5" s="50"/>
      <c r="Z5" s="50"/>
      <c r="AA5" s="50"/>
      <c r="AB5" s="50"/>
      <c r="AC5" s="50"/>
      <c r="AD5" s="50"/>
      <c r="AE5" s="50"/>
      <c r="AF5" s="50"/>
    </row>
    <row r="6" spans="2:32" ht="12" customHeight="1" x14ac:dyDescent="0.25">
      <c r="B6" s="50"/>
      <c r="C6" s="501"/>
      <c r="D6" s="176"/>
      <c r="E6" s="176"/>
      <c r="F6" s="129"/>
      <c r="G6" s="129"/>
      <c r="H6" s="129"/>
      <c r="I6" s="129"/>
      <c r="J6" s="129"/>
      <c r="K6" s="50"/>
      <c r="L6" s="50"/>
      <c r="M6" s="50"/>
      <c r="N6" s="50"/>
      <c r="O6" s="50"/>
      <c r="P6" s="50"/>
      <c r="Q6" s="50"/>
      <c r="R6" s="50"/>
      <c r="S6" s="50"/>
      <c r="T6" s="50"/>
      <c r="U6" s="50"/>
      <c r="V6" s="50"/>
      <c r="W6" s="50"/>
      <c r="X6" s="50"/>
      <c r="Y6" s="50"/>
      <c r="Z6" s="50"/>
      <c r="AA6" s="50"/>
      <c r="AB6" s="50"/>
      <c r="AC6" s="50"/>
      <c r="AD6" s="50"/>
      <c r="AE6" s="50"/>
      <c r="AF6" s="50"/>
    </row>
    <row r="7" spans="2:32" ht="12" customHeight="1" x14ac:dyDescent="0.25">
      <c r="B7" s="50"/>
      <c r="C7" s="501"/>
      <c r="D7" s="176"/>
      <c r="E7" s="176"/>
      <c r="F7" s="129"/>
      <c r="G7" s="129"/>
      <c r="H7" s="129"/>
      <c r="I7" s="129"/>
      <c r="J7" s="129"/>
      <c r="K7" s="50"/>
      <c r="L7" s="50"/>
      <c r="M7" s="50"/>
      <c r="N7" s="50"/>
      <c r="O7" s="50"/>
      <c r="P7" s="50"/>
      <c r="Q7" s="50"/>
      <c r="R7" s="50"/>
      <c r="S7" s="50"/>
      <c r="T7" s="50"/>
      <c r="U7" s="50"/>
      <c r="V7" s="50"/>
      <c r="W7" s="50"/>
      <c r="X7" s="50"/>
      <c r="Y7" s="50"/>
      <c r="Z7" s="50"/>
      <c r="AA7" s="50"/>
      <c r="AB7" s="50"/>
      <c r="AC7" s="50"/>
      <c r="AD7" s="50"/>
      <c r="AE7" s="50"/>
      <c r="AF7" s="50"/>
    </row>
    <row r="8" spans="2:32" s="280" customFormat="1" x14ac:dyDescent="0.2">
      <c r="B8" s="502"/>
      <c r="C8" s="502"/>
      <c r="D8" s="778" t="s">
        <v>242</v>
      </c>
      <c r="E8" s="778" t="s">
        <v>241</v>
      </c>
      <c r="F8" s="782" t="s">
        <v>245</v>
      </c>
      <c r="G8" s="782" t="s">
        <v>33</v>
      </c>
      <c r="H8" s="782" t="s">
        <v>239</v>
      </c>
      <c r="I8" s="782" t="s">
        <v>176</v>
      </c>
      <c r="J8" s="782" t="s">
        <v>240</v>
      </c>
      <c r="K8" s="782"/>
      <c r="L8" s="782" t="s">
        <v>279</v>
      </c>
      <c r="M8" s="782" t="s">
        <v>281</v>
      </c>
      <c r="N8" s="782" t="s">
        <v>206</v>
      </c>
      <c r="O8" s="783" t="s">
        <v>278</v>
      </c>
      <c r="P8" s="782" t="s">
        <v>392</v>
      </c>
      <c r="Q8" s="782"/>
      <c r="R8" s="782">
        <f>P9</f>
        <v>2019</v>
      </c>
      <c r="S8" s="784">
        <f>R8+1</f>
        <v>2020</v>
      </c>
      <c r="T8" s="784">
        <f>R8+2</f>
        <v>2021</v>
      </c>
      <c r="U8" s="785">
        <f>R8+3</f>
        <v>2022</v>
      </c>
      <c r="V8" s="785">
        <f>S8+3</f>
        <v>2023</v>
      </c>
      <c r="W8" s="785">
        <f>T8+3</f>
        <v>2024</v>
      </c>
      <c r="X8" s="782"/>
      <c r="Y8" s="782">
        <f t="shared" ref="Y8:AD8" si="0">R8</f>
        <v>2019</v>
      </c>
      <c r="Z8" s="782">
        <f t="shared" si="0"/>
        <v>2020</v>
      </c>
      <c r="AA8" s="782">
        <f t="shared" si="0"/>
        <v>2021</v>
      </c>
      <c r="AB8" s="782">
        <f t="shared" si="0"/>
        <v>2022</v>
      </c>
      <c r="AC8" s="782">
        <f t="shared" si="0"/>
        <v>2023</v>
      </c>
      <c r="AD8" s="782">
        <f t="shared" si="0"/>
        <v>2024</v>
      </c>
      <c r="AE8" s="502"/>
      <c r="AF8" s="502"/>
    </row>
    <row r="9" spans="2:32" s="280" customFormat="1" x14ac:dyDescent="0.2">
      <c r="B9" s="502"/>
      <c r="C9" s="502"/>
      <c r="D9" s="778"/>
      <c r="E9" s="778"/>
      <c r="F9" s="782" t="s">
        <v>244</v>
      </c>
      <c r="G9" s="782" t="s">
        <v>32</v>
      </c>
      <c r="H9" s="782" t="s">
        <v>243</v>
      </c>
      <c r="I9" s="782" t="s">
        <v>174</v>
      </c>
      <c r="J9" s="782" t="s">
        <v>191</v>
      </c>
      <c r="K9" s="782"/>
      <c r="L9" s="782"/>
      <c r="M9" s="782" t="s">
        <v>282</v>
      </c>
      <c r="N9" s="782" t="s">
        <v>283</v>
      </c>
      <c r="O9" s="783" t="s">
        <v>206</v>
      </c>
      <c r="P9" s="783">
        <f>tab!E4</f>
        <v>2019</v>
      </c>
      <c r="Q9" s="782"/>
      <c r="R9" s="782" t="s">
        <v>206</v>
      </c>
      <c r="S9" s="782" t="s">
        <v>206</v>
      </c>
      <c r="T9" s="782" t="s">
        <v>206</v>
      </c>
      <c r="U9" s="782" t="s">
        <v>206</v>
      </c>
      <c r="V9" s="782" t="s">
        <v>206</v>
      </c>
      <c r="W9" s="782" t="s">
        <v>206</v>
      </c>
      <c r="X9" s="782"/>
      <c r="Y9" s="782" t="s">
        <v>209</v>
      </c>
      <c r="Z9" s="782" t="s">
        <v>209</v>
      </c>
      <c r="AA9" s="782" t="s">
        <v>209</v>
      </c>
      <c r="AB9" s="782" t="s">
        <v>209</v>
      </c>
      <c r="AC9" s="782" t="s">
        <v>209</v>
      </c>
      <c r="AD9" s="782" t="s">
        <v>209</v>
      </c>
      <c r="AE9" s="502"/>
      <c r="AF9" s="502"/>
    </row>
    <row r="10" spans="2:32" s="503" customFormat="1" x14ac:dyDescent="0.2">
      <c r="B10" s="148"/>
      <c r="C10" s="148"/>
      <c r="D10" s="504"/>
      <c r="E10" s="504"/>
      <c r="F10" s="148"/>
      <c r="G10" s="148"/>
      <c r="H10" s="148"/>
      <c r="I10" s="148"/>
      <c r="J10" s="148"/>
      <c r="K10" s="148"/>
      <c r="L10" s="148"/>
      <c r="M10" s="148"/>
      <c r="N10" s="148"/>
      <c r="O10" s="505"/>
      <c r="P10" s="505"/>
      <c r="Q10" s="148"/>
      <c r="R10" s="148"/>
      <c r="S10" s="148"/>
      <c r="T10" s="148"/>
      <c r="U10" s="148"/>
      <c r="V10" s="148"/>
      <c r="W10" s="148"/>
      <c r="X10" s="148"/>
      <c r="Y10" s="148"/>
      <c r="Z10" s="148"/>
      <c r="AA10" s="148"/>
      <c r="AB10" s="148"/>
      <c r="AC10" s="148"/>
      <c r="AD10" s="148"/>
      <c r="AE10" s="148"/>
      <c r="AF10" s="148"/>
    </row>
    <row r="11" spans="2:32" s="503" customFormat="1" x14ac:dyDescent="0.2">
      <c r="B11" s="148"/>
      <c r="C11" s="506"/>
      <c r="D11" s="507"/>
      <c r="E11" s="507"/>
      <c r="F11" s="508"/>
      <c r="G11" s="508"/>
      <c r="H11" s="508"/>
      <c r="I11" s="508"/>
      <c r="J11" s="508"/>
      <c r="K11" s="508"/>
      <c r="L11" s="508"/>
      <c r="M11" s="508"/>
      <c r="N11" s="508"/>
      <c r="O11" s="509"/>
      <c r="P11" s="509"/>
      <c r="Q11" s="508"/>
      <c r="R11" s="508"/>
      <c r="S11" s="508"/>
      <c r="T11" s="508"/>
      <c r="U11" s="508"/>
      <c r="V11" s="508"/>
      <c r="W11" s="508"/>
      <c r="X11" s="508"/>
      <c r="Y11" s="508"/>
      <c r="Z11" s="508"/>
      <c r="AA11" s="508"/>
      <c r="AB11" s="508"/>
      <c r="AC11" s="508"/>
      <c r="AD11" s="508"/>
      <c r="AE11" s="510"/>
      <c r="AF11" s="148"/>
    </row>
    <row r="12" spans="2:32" s="511" customFormat="1" x14ac:dyDescent="0.2">
      <c r="B12" s="512"/>
      <c r="C12" s="513"/>
      <c r="D12" s="514"/>
      <c r="E12" s="514"/>
      <c r="F12" s="515"/>
      <c r="G12" s="515"/>
      <c r="H12" s="515"/>
      <c r="I12" s="515"/>
      <c r="J12" s="515"/>
      <c r="K12" s="516"/>
      <c r="L12" s="516"/>
      <c r="M12" s="516"/>
      <c r="N12" s="516"/>
      <c r="O12" s="516"/>
      <c r="P12" s="787">
        <f>SUM(P14:P213)</f>
        <v>0</v>
      </c>
      <c r="Q12" s="516"/>
      <c r="R12" s="787">
        <f t="shared" ref="R12:W12" si="1">SUM(R14:R213)</f>
        <v>0</v>
      </c>
      <c r="S12" s="787">
        <f t="shared" si="1"/>
        <v>0</v>
      </c>
      <c r="T12" s="787">
        <f t="shared" si="1"/>
        <v>0</v>
      </c>
      <c r="U12" s="787">
        <f t="shared" si="1"/>
        <v>0</v>
      </c>
      <c r="V12" s="787">
        <f t="shared" si="1"/>
        <v>0</v>
      </c>
      <c r="W12" s="787">
        <f t="shared" si="1"/>
        <v>0</v>
      </c>
      <c r="X12" s="508"/>
      <c r="Y12" s="787">
        <f t="shared" ref="Y12:AD12" si="2">SUM(Y14:Y213)</f>
        <v>0</v>
      </c>
      <c r="Z12" s="787">
        <f t="shared" si="2"/>
        <v>0</v>
      </c>
      <c r="AA12" s="787">
        <f t="shared" si="2"/>
        <v>0</v>
      </c>
      <c r="AB12" s="787">
        <f t="shared" si="2"/>
        <v>0</v>
      </c>
      <c r="AC12" s="787">
        <f t="shared" si="2"/>
        <v>0</v>
      </c>
      <c r="AD12" s="787">
        <f t="shared" si="2"/>
        <v>0</v>
      </c>
      <c r="AE12" s="517"/>
      <c r="AF12" s="512"/>
    </row>
    <row r="13" spans="2:32" s="503" customFormat="1" x14ac:dyDescent="0.2">
      <c r="B13" s="148"/>
      <c r="C13" s="518"/>
      <c r="D13" s="159"/>
      <c r="E13" s="159"/>
      <c r="F13" s="200"/>
      <c r="G13" s="200"/>
      <c r="H13" s="200"/>
      <c r="I13" s="200"/>
      <c r="J13" s="200"/>
      <c r="K13" s="200"/>
      <c r="L13" s="200"/>
      <c r="M13" s="200"/>
      <c r="N13" s="200"/>
      <c r="O13" s="285"/>
      <c r="P13" s="285"/>
      <c r="Q13" s="200"/>
      <c r="R13" s="200"/>
      <c r="S13" s="200"/>
      <c r="T13" s="200"/>
      <c r="U13" s="200"/>
      <c r="V13" s="200"/>
      <c r="W13" s="200"/>
      <c r="X13" s="200"/>
      <c r="Y13" s="74"/>
      <c r="Z13" s="74"/>
      <c r="AA13" s="74"/>
      <c r="AB13" s="74"/>
      <c r="AC13" s="74"/>
      <c r="AD13" s="74"/>
      <c r="AE13" s="519"/>
      <c r="AF13" s="148"/>
    </row>
    <row r="14" spans="2:32" x14ac:dyDescent="0.2">
      <c r="B14" s="50"/>
      <c r="C14" s="69"/>
      <c r="D14" s="75" t="s">
        <v>565</v>
      </c>
      <c r="E14" s="75" t="s">
        <v>566</v>
      </c>
      <c r="F14" s="99"/>
      <c r="G14" s="88">
        <v>0</v>
      </c>
      <c r="H14" s="165">
        <v>145</v>
      </c>
      <c r="I14" s="88">
        <v>2016</v>
      </c>
      <c r="J14" s="88">
        <v>20</v>
      </c>
      <c r="K14" s="71"/>
      <c r="L14" s="74">
        <f>IF(J14="geen",9999999999,J14)</f>
        <v>20</v>
      </c>
      <c r="M14" s="686">
        <f>G14*H14</f>
        <v>0</v>
      </c>
      <c r="N14" s="686">
        <f t="shared" ref="N14:N65" si="3">IF(G14=0,0,(G14*H14)/L14)</f>
        <v>0</v>
      </c>
      <c r="O14" s="697">
        <f>IF(L14=0,"-",(IF(L14&gt;3000,"-",I14+L14-1)))</f>
        <v>2035</v>
      </c>
      <c r="P14" s="686">
        <f>IF(J14="geen",IF(I14&lt;$R$8,G14*H14,0),IF(I14&gt;=$R$8,0,IF((H14*G14-(R$8-I14)*N14)&lt;0,0,H14*G14-(R$8-I14)*N14)))</f>
        <v>0</v>
      </c>
      <c r="Q14" s="71"/>
      <c r="R14" s="686">
        <f t="shared" ref="R14:R66" si="4">(IF(R$8&lt;$I14,0,IF($O14&lt;=R$8-1,0,$N14)))</f>
        <v>0</v>
      </c>
      <c r="S14" s="686">
        <f t="shared" ref="S14:S66" si="5">(IF(S$8&lt;$I14,0,IF($O14&lt;=S$8-1,0,$N14)))</f>
        <v>0</v>
      </c>
      <c r="T14" s="686">
        <f t="shared" ref="T14:T66" si="6">(IF(T$8&lt;$I14,0,IF($O14&lt;=T$8-1,0,$N14)))</f>
        <v>0</v>
      </c>
      <c r="U14" s="686">
        <f>(IF(U$8&lt;$I14,0,IF($O14&lt;=U$8-1,0,$N14)))</f>
        <v>0</v>
      </c>
      <c r="V14" s="686">
        <f>(IF(V$8&lt;$I14,0,IF($O14&lt;=V$8-1,0,$N14)))</f>
        <v>0</v>
      </c>
      <c r="W14" s="686">
        <f>(IF(W$8&lt;$I14,0,IF($O14&lt;=W$8-1,0,$N14)))</f>
        <v>0</v>
      </c>
      <c r="X14" s="71"/>
      <c r="Y14" s="686">
        <f>IF(Y$8=$I14,($G14*$H14),0)</f>
        <v>0</v>
      </c>
      <c r="Z14" s="686">
        <f t="shared" ref="Y14:AD23" si="7">IF(Z$8=$I14,($G14*$H14),0)</f>
        <v>0</v>
      </c>
      <c r="AA14" s="686">
        <f t="shared" si="7"/>
        <v>0</v>
      </c>
      <c r="AB14" s="686">
        <f t="shared" si="7"/>
        <v>0</v>
      </c>
      <c r="AC14" s="686">
        <f t="shared" si="7"/>
        <v>0</v>
      </c>
      <c r="AD14" s="686">
        <f t="shared" si="7"/>
        <v>0</v>
      </c>
      <c r="AE14" s="120"/>
      <c r="AF14" s="50"/>
    </row>
    <row r="15" spans="2:32" x14ac:dyDescent="0.2">
      <c r="B15" s="50"/>
      <c r="C15" s="69"/>
      <c r="D15" s="75"/>
      <c r="E15" s="75"/>
      <c r="F15" s="99"/>
      <c r="G15" s="88"/>
      <c r="H15" s="165"/>
      <c r="I15" s="88"/>
      <c r="J15" s="88"/>
      <c r="K15" s="71"/>
      <c r="L15" s="74">
        <f t="shared" ref="L15:L67" si="8">IF(J15="geen",9999999999,J15)</f>
        <v>0</v>
      </c>
      <c r="M15" s="686">
        <f t="shared" ref="M15:M65" si="9">G15*H15</f>
        <v>0</v>
      </c>
      <c r="N15" s="686">
        <f t="shared" si="3"/>
        <v>0</v>
      </c>
      <c r="O15" s="697" t="str">
        <f t="shared" ref="O15:O65" si="10">IF(L15=0,"-",(IF(L15&gt;3000,"-",I15+L15-1)))</f>
        <v>-</v>
      </c>
      <c r="P15" s="686">
        <f t="shared" ref="P15:P45" si="11">IF(J15="geen",IF(I15&lt;$R$8,G15*H15,0),IF(I15&gt;=$R$8,0,IF((H15*G15-(R$8-I15)*N15)&lt;0,0,H15*G15-(R$8-I15)*N15)))</f>
        <v>0</v>
      </c>
      <c r="Q15" s="71"/>
      <c r="R15" s="686">
        <f t="shared" si="4"/>
        <v>0</v>
      </c>
      <c r="S15" s="686">
        <f t="shared" si="5"/>
        <v>0</v>
      </c>
      <c r="T15" s="686">
        <f t="shared" si="6"/>
        <v>0</v>
      </c>
      <c r="U15" s="686">
        <f t="shared" ref="U15:W66" si="12">(IF(U$8&lt;$I15,0,IF($O15&lt;=U$8-1,0,$N15)))</f>
        <v>0</v>
      </c>
      <c r="V15" s="686">
        <f t="shared" si="12"/>
        <v>0</v>
      </c>
      <c r="W15" s="686">
        <f t="shared" si="12"/>
        <v>0</v>
      </c>
      <c r="X15" s="71"/>
      <c r="Y15" s="686">
        <f t="shared" si="7"/>
        <v>0</v>
      </c>
      <c r="Z15" s="686">
        <f t="shared" si="7"/>
        <v>0</v>
      </c>
      <c r="AA15" s="686">
        <f t="shared" si="7"/>
        <v>0</v>
      </c>
      <c r="AB15" s="686">
        <f t="shared" si="7"/>
        <v>0</v>
      </c>
      <c r="AC15" s="686">
        <f t="shared" si="7"/>
        <v>0</v>
      </c>
      <c r="AD15" s="686">
        <f t="shared" si="7"/>
        <v>0</v>
      </c>
      <c r="AE15" s="120"/>
      <c r="AF15" s="50"/>
    </row>
    <row r="16" spans="2:32" x14ac:dyDescent="0.2">
      <c r="B16" s="50"/>
      <c r="C16" s="69"/>
      <c r="D16" s="75"/>
      <c r="E16" s="75"/>
      <c r="F16" s="99"/>
      <c r="G16" s="88"/>
      <c r="H16" s="165"/>
      <c r="I16" s="88"/>
      <c r="J16" s="88"/>
      <c r="K16" s="71"/>
      <c r="L16" s="74">
        <f t="shared" si="8"/>
        <v>0</v>
      </c>
      <c r="M16" s="686">
        <f t="shared" si="9"/>
        <v>0</v>
      </c>
      <c r="N16" s="686">
        <f t="shared" si="3"/>
        <v>0</v>
      </c>
      <c r="O16" s="697" t="str">
        <f t="shared" si="10"/>
        <v>-</v>
      </c>
      <c r="P16" s="686">
        <f t="shared" si="11"/>
        <v>0</v>
      </c>
      <c r="Q16" s="71"/>
      <c r="R16" s="686">
        <f t="shared" si="4"/>
        <v>0</v>
      </c>
      <c r="S16" s="686">
        <f t="shared" si="5"/>
        <v>0</v>
      </c>
      <c r="T16" s="686">
        <f t="shared" si="6"/>
        <v>0</v>
      </c>
      <c r="U16" s="686">
        <f t="shared" si="12"/>
        <v>0</v>
      </c>
      <c r="V16" s="686">
        <f t="shared" si="12"/>
        <v>0</v>
      </c>
      <c r="W16" s="686">
        <f t="shared" si="12"/>
        <v>0</v>
      </c>
      <c r="X16" s="71"/>
      <c r="Y16" s="686">
        <f t="shared" si="7"/>
        <v>0</v>
      </c>
      <c r="Z16" s="686">
        <f t="shared" si="7"/>
        <v>0</v>
      </c>
      <c r="AA16" s="686">
        <f t="shared" si="7"/>
        <v>0</v>
      </c>
      <c r="AB16" s="686">
        <f t="shared" si="7"/>
        <v>0</v>
      </c>
      <c r="AC16" s="686">
        <f t="shared" si="7"/>
        <v>0</v>
      </c>
      <c r="AD16" s="686">
        <f t="shared" si="7"/>
        <v>0</v>
      </c>
      <c r="AE16" s="120"/>
      <c r="AF16" s="50"/>
    </row>
    <row r="17" spans="2:32" x14ac:dyDescent="0.2">
      <c r="B17" s="50"/>
      <c r="C17" s="69"/>
      <c r="D17" s="75"/>
      <c r="E17" s="75"/>
      <c r="F17" s="99"/>
      <c r="G17" s="88"/>
      <c r="H17" s="165"/>
      <c r="I17" s="88"/>
      <c r="J17" s="88"/>
      <c r="K17" s="71"/>
      <c r="L17" s="74">
        <f t="shared" si="8"/>
        <v>0</v>
      </c>
      <c r="M17" s="686">
        <f t="shared" si="9"/>
        <v>0</v>
      </c>
      <c r="N17" s="686">
        <f t="shared" si="3"/>
        <v>0</v>
      </c>
      <c r="O17" s="697" t="str">
        <f t="shared" si="10"/>
        <v>-</v>
      </c>
      <c r="P17" s="686">
        <f t="shared" si="11"/>
        <v>0</v>
      </c>
      <c r="Q17" s="71"/>
      <c r="R17" s="686">
        <f t="shared" si="4"/>
        <v>0</v>
      </c>
      <c r="S17" s="686">
        <f t="shared" si="5"/>
        <v>0</v>
      </c>
      <c r="T17" s="686">
        <f t="shared" si="6"/>
        <v>0</v>
      </c>
      <c r="U17" s="686">
        <f t="shared" si="12"/>
        <v>0</v>
      </c>
      <c r="V17" s="686">
        <f t="shared" si="12"/>
        <v>0</v>
      </c>
      <c r="W17" s="686">
        <f t="shared" si="12"/>
        <v>0</v>
      </c>
      <c r="X17" s="71"/>
      <c r="Y17" s="686">
        <f t="shared" si="7"/>
        <v>0</v>
      </c>
      <c r="Z17" s="686">
        <f t="shared" si="7"/>
        <v>0</v>
      </c>
      <c r="AA17" s="686">
        <f t="shared" si="7"/>
        <v>0</v>
      </c>
      <c r="AB17" s="686">
        <f t="shared" si="7"/>
        <v>0</v>
      </c>
      <c r="AC17" s="686">
        <f t="shared" si="7"/>
        <v>0</v>
      </c>
      <c r="AD17" s="686">
        <f t="shared" si="7"/>
        <v>0</v>
      </c>
      <c r="AE17" s="120"/>
      <c r="AF17" s="50"/>
    </row>
    <row r="18" spans="2:32" x14ac:dyDescent="0.2">
      <c r="B18" s="50"/>
      <c r="C18" s="69"/>
      <c r="D18" s="75"/>
      <c r="E18" s="75"/>
      <c r="F18" s="99"/>
      <c r="G18" s="88"/>
      <c r="H18" s="165"/>
      <c r="I18" s="88"/>
      <c r="J18" s="88"/>
      <c r="K18" s="71"/>
      <c r="L18" s="74">
        <f t="shared" si="8"/>
        <v>0</v>
      </c>
      <c r="M18" s="686">
        <f t="shared" si="9"/>
        <v>0</v>
      </c>
      <c r="N18" s="686">
        <f t="shared" si="3"/>
        <v>0</v>
      </c>
      <c r="O18" s="697" t="str">
        <f t="shared" si="10"/>
        <v>-</v>
      </c>
      <c r="P18" s="686">
        <f t="shared" si="11"/>
        <v>0</v>
      </c>
      <c r="Q18" s="71"/>
      <c r="R18" s="686">
        <f t="shared" si="4"/>
        <v>0</v>
      </c>
      <c r="S18" s="686">
        <f t="shared" si="5"/>
        <v>0</v>
      </c>
      <c r="T18" s="686">
        <f t="shared" si="6"/>
        <v>0</v>
      </c>
      <c r="U18" s="686">
        <f t="shared" si="12"/>
        <v>0</v>
      </c>
      <c r="V18" s="686">
        <f t="shared" si="12"/>
        <v>0</v>
      </c>
      <c r="W18" s="686">
        <f t="shared" si="12"/>
        <v>0</v>
      </c>
      <c r="X18" s="71"/>
      <c r="Y18" s="686">
        <f t="shared" si="7"/>
        <v>0</v>
      </c>
      <c r="Z18" s="686">
        <f t="shared" si="7"/>
        <v>0</v>
      </c>
      <c r="AA18" s="686">
        <f t="shared" si="7"/>
        <v>0</v>
      </c>
      <c r="AB18" s="686">
        <f t="shared" si="7"/>
        <v>0</v>
      </c>
      <c r="AC18" s="686">
        <f t="shared" si="7"/>
        <v>0</v>
      </c>
      <c r="AD18" s="686">
        <f t="shared" si="7"/>
        <v>0</v>
      </c>
      <c r="AE18" s="120"/>
      <c r="AF18" s="50"/>
    </row>
    <row r="19" spans="2:32" x14ac:dyDescent="0.2">
      <c r="B19" s="50"/>
      <c r="C19" s="69"/>
      <c r="D19" s="75"/>
      <c r="E19" s="75"/>
      <c r="F19" s="99"/>
      <c r="G19" s="88"/>
      <c r="H19" s="165"/>
      <c r="I19" s="88"/>
      <c r="J19" s="88"/>
      <c r="K19" s="71"/>
      <c r="L19" s="74">
        <f t="shared" si="8"/>
        <v>0</v>
      </c>
      <c r="M19" s="686">
        <f t="shared" si="9"/>
        <v>0</v>
      </c>
      <c r="N19" s="686">
        <f t="shared" si="3"/>
        <v>0</v>
      </c>
      <c r="O19" s="697" t="str">
        <f t="shared" si="10"/>
        <v>-</v>
      </c>
      <c r="P19" s="686">
        <f t="shared" si="11"/>
        <v>0</v>
      </c>
      <c r="Q19" s="71"/>
      <c r="R19" s="686">
        <f t="shared" si="4"/>
        <v>0</v>
      </c>
      <c r="S19" s="686">
        <f t="shared" si="5"/>
        <v>0</v>
      </c>
      <c r="T19" s="686">
        <f t="shared" si="6"/>
        <v>0</v>
      </c>
      <c r="U19" s="686">
        <f t="shared" si="12"/>
        <v>0</v>
      </c>
      <c r="V19" s="686">
        <f t="shared" si="12"/>
        <v>0</v>
      </c>
      <c r="W19" s="686">
        <f t="shared" si="12"/>
        <v>0</v>
      </c>
      <c r="X19" s="71"/>
      <c r="Y19" s="686">
        <f t="shared" si="7"/>
        <v>0</v>
      </c>
      <c r="Z19" s="686">
        <f t="shared" si="7"/>
        <v>0</v>
      </c>
      <c r="AA19" s="686">
        <f t="shared" si="7"/>
        <v>0</v>
      </c>
      <c r="AB19" s="686">
        <f t="shared" si="7"/>
        <v>0</v>
      </c>
      <c r="AC19" s="686">
        <f t="shared" si="7"/>
        <v>0</v>
      </c>
      <c r="AD19" s="686">
        <f t="shared" si="7"/>
        <v>0</v>
      </c>
      <c r="AE19" s="120"/>
      <c r="AF19" s="50"/>
    </row>
    <row r="20" spans="2:32" x14ac:dyDescent="0.2">
      <c r="B20" s="50"/>
      <c r="C20" s="69"/>
      <c r="D20" s="75"/>
      <c r="E20" s="75"/>
      <c r="F20" s="99"/>
      <c r="G20" s="88"/>
      <c r="H20" s="165"/>
      <c r="I20" s="88"/>
      <c r="J20" s="88"/>
      <c r="K20" s="71"/>
      <c r="L20" s="74">
        <f t="shared" si="8"/>
        <v>0</v>
      </c>
      <c r="M20" s="686">
        <f t="shared" si="9"/>
        <v>0</v>
      </c>
      <c r="N20" s="686">
        <f t="shared" si="3"/>
        <v>0</v>
      </c>
      <c r="O20" s="697" t="str">
        <f t="shared" si="10"/>
        <v>-</v>
      </c>
      <c r="P20" s="686">
        <f t="shared" si="11"/>
        <v>0</v>
      </c>
      <c r="Q20" s="71"/>
      <c r="R20" s="686">
        <f t="shared" si="4"/>
        <v>0</v>
      </c>
      <c r="S20" s="686">
        <f t="shared" si="5"/>
        <v>0</v>
      </c>
      <c r="T20" s="686">
        <f t="shared" si="6"/>
        <v>0</v>
      </c>
      <c r="U20" s="686">
        <f t="shared" si="12"/>
        <v>0</v>
      </c>
      <c r="V20" s="686">
        <f t="shared" si="12"/>
        <v>0</v>
      </c>
      <c r="W20" s="686">
        <f t="shared" si="12"/>
        <v>0</v>
      </c>
      <c r="X20" s="71"/>
      <c r="Y20" s="686">
        <f t="shared" si="7"/>
        <v>0</v>
      </c>
      <c r="Z20" s="686">
        <f t="shared" si="7"/>
        <v>0</v>
      </c>
      <c r="AA20" s="686">
        <f t="shared" si="7"/>
        <v>0</v>
      </c>
      <c r="AB20" s="686">
        <f t="shared" si="7"/>
        <v>0</v>
      </c>
      <c r="AC20" s="686">
        <f t="shared" si="7"/>
        <v>0</v>
      </c>
      <c r="AD20" s="686">
        <f t="shared" si="7"/>
        <v>0</v>
      </c>
      <c r="AE20" s="120"/>
      <c r="AF20" s="50"/>
    </row>
    <row r="21" spans="2:32" x14ac:dyDescent="0.2">
      <c r="B21" s="50"/>
      <c r="C21" s="69"/>
      <c r="D21" s="75"/>
      <c r="E21" s="75"/>
      <c r="F21" s="99"/>
      <c r="G21" s="88"/>
      <c r="H21" s="165"/>
      <c r="I21" s="88"/>
      <c r="J21" s="88"/>
      <c r="K21" s="71"/>
      <c r="L21" s="74">
        <f t="shared" si="8"/>
        <v>0</v>
      </c>
      <c r="M21" s="686">
        <f t="shared" si="9"/>
        <v>0</v>
      </c>
      <c r="N21" s="686">
        <f t="shared" si="3"/>
        <v>0</v>
      </c>
      <c r="O21" s="697" t="str">
        <f t="shared" si="10"/>
        <v>-</v>
      </c>
      <c r="P21" s="686">
        <f t="shared" si="11"/>
        <v>0</v>
      </c>
      <c r="Q21" s="71"/>
      <c r="R21" s="686">
        <f t="shared" si="4"/>
        <v>0</v>
      </c>
      <c r="S21" s="686">
        <f t="shared" si="5"/>
        <v>0</v>
      </c>
      <c r="T21" s="686">
        <f t="shared" si="6"/>
        <v>0</v>
      </c>
      <c r="U21" s="686">
        <f t="shared" si="12"/>
        <v>0</v>
      </c>
      <c r="V21" s="686">
        <f t="shared" si="12"/>
        <v>0</v>
      </c>
      <c r="W21" s="686">
        <f t="shared" si="12"/>
        <v>0</v>
      </c>
      <c r="X21" s="71"/>
      <c r="Y21" s="686">
        <f t="shared" si="7"/>
        <v>0</v>
      </c>
      <c r="Z21" s="686">
        <f t="shared" si="7"/>
        <v>0</v>
      </c>
      <c r="AA21" s="686">
        <f t="shared" si="7"/>
        <v>0</v>
      </c>
      <c r="AB21" s="686">
        <f t="shared" si="7"/>
        <v>0</v>
      </c>
      <c r="AC21" s="686">
        <f t="shared" si="7"/>
        <v>0</v>
      </c>
      <c r="AD21" s="686">
        <f t="shared" si="7"/>
        <v>0</v>
      </c>
      <c r="AE21" s="120"/>
      <c r="AF21" s="50"/>
    </row>
    <row r="22" spans="2:32" x14ac:dyDescent="0.2">
      <c r="B22" s="50"/>
      <c r="C22" s="69"/>
      <c r="D22" s="75"/>
      <c r="E22" s="75"/>
      <c r="F22" s="99"/>
      <c r="G22" s="88"/>
      <c r="H22" s="165"/>
      <c r="I22" s="88"/>
      <c r="J22" s="88"/>
      <c r="K22" s="71"/>
      <c r="L22" s="74">
        <f t="shared" si="8"/>
        <v>0</v>
      </c>
      <c r="M22" s="686">
        <f t="shared" si="9"/>
        <v>0</v>
      </c>
      <c r="N22" s="686">
        <f t="shared" si="3"/>
        <v>0</v>
      </c>
      <c r="O22" s="697" t="str">
        <f t="shared" si="10"/>
        <v>-</v>
      </c>
      <c r="P22" s="686">
        <f t="shared" si="11"/>
        <v>0</v>
      </c>
      <c r="Q22" s="71"/>
      <c r="R22" s="686">
        <f t="shared" si="4"/>
        <v>0</v>
      </c>
      <c r="S22" s="686">
        <f t="shared" si="5"/>
        <v>0</v>
      </c>
      <c r="T22" s="686">
        <f t="shared" si="6"/>
        <v>0</v>
      </c>
      <c r="U22" s="686">
        <f t="shared" si="12"/>
        <v>0</v>
      </c>
      <c r="V22" s="686">
        <f t="shared" si="12"/>
        <v>0</v>
      </c>
      <c r="W22" s="686">
        <f t="shared" si="12"/>
        <v>0</v>
      </c>
      <c r="X22" s="71"/>
      <c r="Y22" s="686">
        <f t="shared" si="7"/>
        <v>0</v>
      </c>
      <c r="Z22" s="686">
        <f t="shared" si="7"/>
        <v>0</v>
      </c>
      <c r="AA22" s="686">
        <f t="shared" si="7"/>
        <v>0</v>
      </c>
      <c r="AB22" s="686">
        <f t="shared" si="7"/>
        <v>0</v>
      </c>
      <c r="AC22" s="686">
        <f t="shared" si="7"/>
        <v>0</v>
      </c>
      <c r="AD22" s="686">
        <f t="shared" si="7"/>
        <v>0</v>
      </c>
      <c r="AE22" s="120"/>
      <c r="AF22" s="50"/>
    </row>
    <row r="23" spans="2:32" x14ac:dyDescent="0.2">
      <c r="B23" s="50"/>
      <c r="C23" s="69"/>
      <c r="D23" s="75"/>
      <c r="E23" s="75"/>
      <c r="F23" s="99"/>
      <c r="G23" s="88"/>
      <c r="H23" s="165"/>
      <c r="I23" s="88"/>
      <c r="J23" s="88"/>
      <c r="K23" s="71"/>
      <c r="L23" s="74">
        <f t="shared" si="8"/>
        <v>0</v>
      </c>
      <c r="M23" s="686">
        <f t="shared" si="9"/>
        <v>0</v>
      </c>
      <c r="N23" s="686">
        <f t="shared" si="3"/>
        <v>0</v>
      </c>
      <c r="O23" s="697" t="str">
        <f t="shared" si="10"/>
        <v>-</v>
      </c>
      <c r="P23" s="686">
        <f t="shared" si="11"/>
        <v>0</v>
      </c>
      <c r="Q23" s="71"/>
      <c r="R23" s="686">
        <f t="shared" si="4"/>
        <v>0</v>
      </c>
      <c r="S23" s="686">
        <f t="shared" si="5"/>
        <v>0</v>
      </c>
      <c r="T23" s="686">
        <f t="shared" si="6"/>
        <v>0</v>
      </c>
      <c r="U23" s="686">
        <f t="shared" si="12"/>
        <v>0</v>
      </c>
      <c r="V23" s="686">
        <f t="shared" si="12"/>
        <v>0</v>
      </c>
      <c r="W23" s="686">
        <f t="shared" si="12"/>
        <v>0</v>
      </c>
      <c r="X23" s="71"/>
      <c r="Y23" s="686">
        <f t="shared" si="7"/>
        <v>0</v>
      </c>
      <c r="Z23" s="686">
        <f t="shared" si="7"/>
        <v>0</v>
      </c>
      <c r="AA23" s="686">
        <f t="shared" si="7"/>
        <v>0</v>
      </c>
      <c r="AB23" s="686">
        <f t="shared" si="7"/>
        <v>0</v>
      </c>
      <c r="AC23" s="686">
        <f t="shared" si="7"/>
        <v>0</v>
      </c>
      <c r="AD23" s="686">
        <f t="shared" si="7"/>
        <v>0</v>
      </c>
      <c r="AE23" s="120"/>
      <c r="AF23" s="50"/>
    </row>
    <row r="24" spans="2:32" x14ac:dyDescent="0.2">
      <c r="B24" s="50"/>
      <c r="C24" s="69"/>
      <c r="D24" s="75"/>
      <c r="E24" s="75"/>
      <c r="F24" s="99"/>
      <c r="G24" s="88"/>
      <c r="H24" s="165"/>
      <c r="I24" s="88"/>
      <c r="J24" s="88"/>
      <c r="K24" s="71"/>
      <c r="L24" s="74">
        <f t="shared" si="8"/>
        <v>0</v>
      </c>
      <c r="M24" s="686">
        <f t="shared" si="9"/>
        <v>0</v>
      </c>
      <c r="N24" s="686">
        <f t="shared" si="3"/>
        <v>0</v>
      </c>
      <c r="O24" s="697" t="str">
        <f t="shared" si="10"/>
        <v>-</v>
      </c>
      <c r="P24" s="686">
        <f t="shared" si="11"/>
        <v>0</v>
      </c>
      <c r="Q24" s="71"/>
      <c r="R24" s="686">
        <f t="shared" si="4"/>
        <v>0</v>
      </c>
      <c r="S24" s="686">
        <f t="shared" si="5"/>
        <v>0</v>
      </c>
      <c r="T24" s="686">
        <f t="shared" si="6"/>
        <v>0</v>
      </c>
      <c r="U24" s="686">
        <f t="shared" si="12"/>
        <v>0</v>
      </c>
      <c r="V24" s="686">
        <f t="shared" si="12"/>
        <v>0</v>
      </c>
      <c r="W24" s="686">
        <f t="shared" si="12"/>
        <v>0</v>
      </c>
      <c r="X24" s="71"/>
      <c r="Y24" s="686">
        <f t="shared" ref="Y24:AD33" si="13">IF(Y$8=$I24,($G24*$H24),0)</f>
        <v>0</v>
      </c>
      <c r="Z24" s="686">
        <f t="shared" si="13"/>
        <v>0</v>
      </c>
      <c r="AA24" s="686">
        <f t="shared" si="13"/>
        <v>0</v>
      </c>
      <c r="AB24" s="686">
        <f t="shared" si="13"/>
        <v>0</v>
      </c>
      <c r="AC24" s="686">
        <f t="shared" si="13"/>
        <v>0</v>
      </c>
      <c r="AD24" s="686">
        <f t="shared" si="13"/>
        <v>0</v>
      </c>
      <c r="AE24" s="120"/>
      <c r="AF24" s="50"/>
    </row>
    <row r="25" spans="2:32" x14ac:dyDescent="0.2">
      <c r="B25" s="50"/>
      <c r="C25" s="69"/>
      <c r="D25" s="75"/>
      <c r="E25" s="75"/>
      <c r="F25" s="99"/>
      <c r="G25" s="88"/>
      <c r="H25" s="165"/>
      <c r="I25" s="88"/>
      <c r="J25" s="88"/>
      <c r="K25" s="71"/>
      <c r="L25" s="74">
        <f t="shared" si="8"/>
        <v>0</v>
      </c>
      <c r="M25" s="686">
        <f t="shared" si="9"/>
        <v>0</v>
      </c>
      <c r="N25" s="686">
        <f t="shared" si="3"/>
        <v>0</v>
      </c>
      <c r="O25" s="697" t="str">
        <f t="shared" si="10"/>
        <v>-</v>
      </c>
      <c r="P25" s="686">
        <f t="shared" si="11"/>
        <v>0</v>
      </c>
      <c r="Q25" s="71"/>
      <c r="R25" s="686">
        <f t="shared" si="4"/>
        <v>0</v>
      </c>
      <c r="S25" s="686">
        <f t="shared" si="5"/>
        <v>0</v>
      </c>
      <c r="T25" s="686">
        <f t="shared" si="6"/>
        <v>0</v>
      </c>
      <c r="U25" s="686">
        <f t="shared" si="12"/>
        <v>0</v>
      </c>
      <c r="V25" s="686">
        <f t="shared" si="12"/>
        <v>0</v>
      </c>
      <c r="W25" s="686">
        <f t="shared" si="12"/>
        <v>0</v>
      </c>
      <c r="X25" s="71"/>
      <c r="Y25" s="686">
        <f t="shared" si="13"/>
        <v>0</v>
      </c>
      <c r="Z25" s="686">
        <f t="shared" si="13"/>
        <v>0</v>
      </c>
      <c r="AA25" s="686">
        <f t="shared" si="13"/>
        <v>0</v>
      </c>
      <c r="AB25" s="686">
        <f t="shared" si="13"/>
        <v>0</v>
      </c>
      <c r="AC25" s="686">
        <f t="shared" si="13"/>
        <v>0</v>
      </c>
      <c r="AD25" s="686">
        <f t="shared" si="13"/>
        <v>0</v>
      </c>
      <c r="AE25" s="120"/>
      <c r="AF25" s="50"/>
    </row>
    <row r="26" spans="2:32" x14ac:dyDescent="0.2">
      <c r="B26" s="50"/>
      <c r="C26" s="69"/>
      <c r="D26" s="75"/>
      <c r="E26" s="75"/>
      <c r="F26" s="99"/>
      <c r="G26" s="88"/>
      <c r="H26" s="165"/>
      <c r="I26" s="88"/>
      <c r="J26" s="88"/>
      <c r="K26" s="71"/>
      <c r="L26" s="74">
        <f t="shared" si="8"/>
        <v>0</v>
      </c>
      <c r="M26" s="686">
        <f t="shared" si="9"/>
        <v>0</v>
      </c>
      <c r="N26" s="686">
        <f t="shared" si="3"/>
        <v>0</v>
      </c>
      <c r="O26" s="697" t="str">
        <f t="shared" si="10"/>
        <v>-</v>
      </c>
      <c r="P26" s="686">
        <f t="shared" si="11"/>
        <v>0</v>
      </c>
      <c r="Q26" s="71"/>
      <c r="R26" s="686">
        <f t="shared" si="4"/>
        <v>0</v>
      </c>
      <c r="S26" s="686">
        <f t="shared" si="5"/>
        <v>0</v>
      </c>
      <c r="T26" s="686">
        <f t="shared" si="6"/>
        <v>0</v>
      </c>
      <c r="U26" s="686">
        <f t="shared" si="12"/>
        <v>0</v>
      </c>
      <c r="V26" s="686">
        <f t="shared" si="12"/>
        <v>0</v>
      </c>
      <c r="W26" s="686">
        <f t="shared" si="12"/>
        <v>0</v>
      </c>
      <c r="X26" s="71"/>
      <c r="Y26" s="686">
        <f t="shared" si="13"/>
        <v>0</v>
      </c>
      <c r="Z26" s="686">
        <f t="shared" si="13"/>
        <v>0</v>
      </c>
      <c r="AA26" s="686">
        <f t="shared" si="13"/>
        <v>0</v>
      </c>
      <c r="AB26" s="686">
        <f t="shared" si="13"/>
        <v>0</v>
      </c>
      <c r="AC26" s="686">
        <f t="shared" si="13"/>
        <v>0</v>
      </c>
      <c r="AD26" s="686">
        <f t="shared" si="13"/>
        <v>0</v>
      </c>
      <c r="AE26" s="120"/>
      <c r="AF26" s="50"/>
    </row>
    <row r="27" spans="2:32" x14ac:dyDescent="0.2">
      <c r="B27" s="50"/>
      <c r="C27" s="69"/>
      <c r="D27" s="75"/>
      <c r="E27" s="75"/>
      <c r="F27" s="99"/>
      <c r="G27" s="88"/>
      <c r="H27" s="165"/>
      <c r="I27" s="88"/>
      <c r="J27" s="88"/>
      <c r="K27" s="71"/>
      <c r="L27" s="74">
        <f t="shared" si="8"/>
        <v>0</v>
      </c>
      <c r="M27" s="686">
        <f t="shared" si="9"/>
        <v>0</v>
      </c>
      <c r="N27" s="686">
        <f t="shared" si="3"/>
        <v>0</v>
      </c>
      <c r="O27" s="697" t="str">
        <f t="shared" si="10"/>
        <v>-</v>
      </c>
      <c r="P27" s="686">
        <f t="shared" si="11"/>
        <v>0</v>
      </c>
      <c r="Q27" s="71"/>
      <c r="R27" s="686">
        <f t="shared" si="4"/>
        <v>0</v>
      </c>
      <c r="S27" s="686">
        <f t="shared" si="5"/>
        <v>0</v>
      </c>
      <c r="T27" s="686">
        <f t="shared" si="6"/>
        <v>0</v>
      </c>
      <c r="U27" s="686">
        <f t="shared" si="12"/>
        <v>0</v>
      </c>
      <c r="V27" s="686">
        <f t="shared" si="12"/>
        <v>0</v>
      </c>
      <c r="W27" s="686">
        <f t="shared" si="12"/>
        <v>0</v>
      </c>
      <c r="X27" s="71"/>
      <c r="Y27" s="686">
        <f t="shared" si="13"/>
        <v>0</v>
      </c>
      <c r="Z27" s="686">
        <f t="shared" si="13"/>
        <v>0</v>
      </c>
      <c r="AA27" s="686">
        <f t="shared" si="13"/>
        <v>0</v>
      </c>
      <c r="AB27" s="686">
        <f t="shared" si="13"/>
        <v>0</v>
      </c>
      <c r="AC27" s="686">
        <f t="shared" si="13"/>
        <v>0</v>
      </c>
      <c r="AD27" s="686">
        <f t="shared" si="13"/>
        <v>0</v>
      </c>
      <c r="AE27" s="120"/>
      <c r="AF27" s="50"/>
    </row>
    <row r="28" spans="2:32" x14ac:dyDescent="0.2">
      <c r="B28" s="50"/>
      <c r="C28" s="69"/>
      <c r="D28" s="75"/>
      <c r="E28" s="75"/>
      <c r="F28" s="99"/>
      <c r="G28" s="88"/>
      <c r="H28" s="165"/>
      <c r="I28" s="88"/>
      <c r="J28" s="88"/>
      <c r="K28" s="71"/>
      <c r="L28" s="74">
        <f t="shared" si="8"/>
        <v>0</v>
      </c>
      <c r="M28" s="686">
        <f t="shared" si="9"/>
        <v>0</v>
      </c>
      <c r="N28" s="686">
        <f t="shared" si="3"/>
        <v>0</v>
      </c>
      <c r="O28" s="697" t="str">
        <f t="shared" si="10"/>
        <v>-</v>
      </c>
      <c r="P28" s="686">
        <f t="shared" si="11"/>
        <v>0</v>
      </c>
      <c r="Q28" s="71"/>
      <c r="R28" s="686">
        <f t="shared" si="4"/>
        <v>0</v>
      </c>
      <c r="S28" s="686">
        <f t="shared" si="5"/>
        <v>0</v>
      </c>
      <c r="T28" s="686">
        <f t="shared" si="6"/>
        <v>0</v>
      </c>
      <c r="U28" s="686">
        <f t="shared" si="12"/>
        <v>0</v>
      </c>
      <c r="V28" s="686">
        <f t="shared" si="12"/>
        <v>0</v>
      </c>
      <c r="W28" s="686">
        <f t="shared" si="12"/>
        <v>0</v>
      </c>
      <c r="X28" s="71"/>
      <c r="Y28" s="686">
        <f t="shared" si="13"/>
        <v>0</v>
      </c>
      <c r="Z28" s="686">
        <f t="shared" si="13"/>
        <v>0</v>
      </c>
      <c r="AA28" s="686">
        <f t="shared" si="13"/>
        <v>0</v>
      </c>
      <c r="AB28" s="686">
        <f t="shared" si="13"/>
        <v>0</v>
      </c>
      <c r="AC28" s="686">
        <f t="shared" si="13"/>
        <v>0</v>
      </c>
      <c r="AD28" s="686">
        <f t="shared" si="13"/>
        <v>0</v>
      </c>
      <c r="AE28" s="120"/>
      <c r="AF28" s="50"/>
    </row>
    <row r="29" spans="2:32" x14ac:dyDescent="0.2">
      <c r="B29" s="50"/>
      <c r="C29" s="69"/>
      <c r="D29" s="75"/>
      <c r="E29" s="75"/>
      <c r="F29" s="99"/>
      <c r="G29" s="88"/>
      <c r="H29" s="165"/>
      <c r="I29" s="88"/>
      <c r="J29" s="88"/>
      <c r="K29" s="71"/>
      <c r="L29" s="74">
        <f t="shared" si="8"/>
        <v>0</v>
      </c>
      <c r="M29" s="686">
        <f t="shared" si="9"/>
        <v>0</v>
      </c>
      <c r="N29" s="686">
        <f t="shared" si="3"/>
        <v>0</v>
      </c>
      <c r="O29" s="697" t="str">
        <f t="shared" si="10"/>
        <v>-</v>
      </c>
      <c r="P29" s="686">
        <f t="shared" si="11"/>
        <v>0</v>
      </c>
      <c r="Q29" s="71"/>
      <c r="R29" s="686">
        <f t="shared" si="4"/>
        <v>0</v>
      </c>
      <c r="S29" s="686">
        <f t="shared" si="5"/>
        <v>0</v>
      </c>
      <c r="T29" s="686">
        <f t="shared" si="6"/>
        <v>0</v>
      </c>
      <c r="U29" s="686">
        <f t="shared" si="12"/>
        <v>0</v>
      </c>
      <c r="V29" s="686">
        <f t="shared" si="12"/>
        <v>0</v>
      </c>
      <c r="W29" s="686">
        <f t="shared" si="12"/>
        <v>0</v>
      </c>
      <c r="X29" s="71"/>
      <c r="Y29" s="686">
        <f t="shared" si="13"/>
        <v>0</v>
      </c>
      <c r="Z29" s="686">
        <f t="shared" si="13"/>
        <v>0</v>
      </c>
      <c r="AA29" s="686">
        <f t="shared" si="13"/>
        <v>0</v>
      </c>
      <c r="AB29" s="686">
        <f t="shared" si="13"/>
        <v>0</v>
      </c>
      <c r="AC29" s="686">
        <f t="shared" si="13"/>
        <v>0</v>
      </c>
      <c r="AD29" s="686">
        <f t="shared" si="13"/>
        <v>0</v>
      </c>
      <c r="AE29" s="120"/>
      <c r="AF29" s="50"/>
    </row>
    <row r="30" spans="2:32" x14ac:dyDescent="0.2">
      <c r="B30" s="50"/>
      <c r="C30" s="69"/>
      <c r="D30" s="75"/>
      <c r="E30" s="75"/>
      <c r="F30" s="99"/>
      <c r="G30" s="88"/>
      <c r="H30" s="165"/>
      <c r="I30" s="88"/>
      <c r="J30" s="88"/>
      <c r="K30" s="71"/>
      <c r="L30" s="74">
        <f t="shared" si="8"/>
        <v>0</v>
      </c>
      <c r="M30" s="686">
        <f t="shared" si="9"/>
        <v>0</v>
      </c>
      <c r="N30" s="686">
        <f t="shared" si="3"/>
        <v>0</v>
      </c>
      <c r="O30" s="697" t="str">
        <f t="shared" si="10"/>
        <v>-</v>
      </c>
      <c r="P30" s="686">
        <f t="shared" si="11"/>
        <v>0</v>
      </c>
      <c r="Q30" s="71"/>
      <c r="R30" s="686">
        <f t="shared" si="4"/>
        <v>0</v>
      </c>
      <c r="S30" s="686">
        <f t="shared" si="5"/>
        <v>0</v>
      </c>
      <c r="T30" s="686">
        <f t="shared" si="6"/>
        <v>0</v>
      </c>
      <c r="U30" s="686">
        <f t="shared" si="12"/>
        <v>0</v>
      </c>
      <c r="V30" s="686">
        <f t="shared" si="12"/>
        <v>0</v>
      </c>
      <c r="W30" s="686">
        <f t="shared" si="12"/>
        <v>0</v>
      </c>
      <c r="X30" s="71"/>
      <c r="Y30" s="686">
        <f t="shared" si="13"/>
        <v>0</v>
      </c>
      <c r="Z30" s="686">
        <f t="shared" si="13"/>
        <v>0</v>
      </c>
      <c r="AA30" s="686">
        <f t="shared" si="13"/>
        <v>0</v>
      </c>
      <c r="AB30" s="686">
        <f t="shared" si="13"/>
        <v>0</v>
      </c>
      <c r="AC30" s="686">
        <f t="shared" si="13"/>
        <v>0</v>
      </c>
      <c r="AD30" s="686">
        <f t="shared" si="13"/>
        <v>0</v>
      </c>
      <c r="AE30" s="120"/>
      <c r="AF30" s="50"/>
    </row>
    <row r="31" spans="2:32" x14ac:dyDescent="0.2">
      <c r="B31" s="50"/>
      <c r="C31" s="69"/>
      <c r="D31" s="75"/>
      <c r="E31" s="75"/>
      <c r="F31" s="99"/>
      <c r="G31" s="88"/>
      <c r="H31" s="165"/>
      <c r="I31" s="88"/>
      <c r="J31" s="88"/>
      <c r="K31" s="71"/>
      <c r="L31" s="74">
        <f t="shared" si="8"/>
        <v>0</v>
      </c>
      <c r="M31" s="686">
        <f t="shared" si="9"/>
        <v>0</v>
      </c>
      <c r="N31" s="686">
        <f t="shared" si="3"/>
        <v>0</v>
      </c>
      <c r="O31" s="697" t="str">
        <f t="shared" si="10"/>
        <v>-</v>
      </c>
      <c r="P31" s="686">
        <f t="shared" si="11"/>
        <v>0</v>
      </c>
      <c r="Q31" s="71"/>
      <c r="R31" s="686">
        <f t="shared" si="4"/>
        <v>0</v>
      </c>
      <c r="S31" s="686">
        <f t="shared" si="5"/>
        <v>0</v>
      </c>
      <c r="T31" s="686">
        <f t="shared" si="6"/>
        <v>0</v>
      </c>
      <c r="U31" s="686">
        <f t="shared" si="12"/>
        <v>0</v>
      </c>
      <c r="V31" s="686">
        <f t="shared" si="12"/>
        <v>0</v>
      </c>
      <c r="W31" s="686">
        <f t="shared" si="12"/>
        <v>0</v>
      </c>
      <c r="X31" s="71"/>
      <c r="Y31" s="686">
        <f t="shared" si="13"/>
        <v>0</v>
      </c>
      <c r="Z31" s="686">
        <f t="shared" si="13"/>
        <v>0</v>
      </c>
      <c r="AA31" s="686">
        <f t="shared" si="13"/>
        <v>0</v>
      </c>
      <c r="AB31" s="686">
        <f t="shared" si="13"/>
        <v>0</v>
      </c>
      <c r="AC31" s="686">
        <f t="shared" si="13"/>
        <v>0</v>
      </c>
      <c r="AD31" s="686">
        <f t="shared" si="13"/>
        <v>0</v>
      </c>
      <c r="AE31" s="120"/>
      <c r="AF31" s="50"/>
    </row>
    <row r="32" spans="2:32" x14ac:dyDescent="0.2">
      <c r="B32" s="50"/>
      <c r="C32" s="69"/>
      <c r="D32" s="75"/>
      <c r="E32" s="75"/>
      <c r="F32" s="99"/>
      <c r="G32" s="88"/>
      <c r="H32" s="165"/>
      <c r="I32" s="88"/>
      <c r="J32" s="88"/>
      <c r="K32" s="71"/>
      <c r="L32" s="74">
        <f t="shared" si="8"/>
        <v>0</v>
      </c>
      <c r="M32" s="686">
        <f t="shared" si="9"/>
        <v>0</v>
      </c>
      <c r="N32" s="686">
        <f t="shared" si="3"/>
        <v>0</v>
      </c>
      <c r="O32" s="697" t="str">
        <f t="shared" si="10"/>
        <v>-</v>
      </c>
      <c r="P32" s="686">
        <f t="shared" si="11"/>
        <v>0</v>
      </c>
      <c r="Q32" s="71"/>
      <c r="R32" s="686">
        <f t="shared" si="4"/>
        <v>0</v>
      </c>
      <c r="S32" s="686">
        <f t="shared" si="5"/>
        <v>0</v>
      </c>
      <c r="T32" s="686">
        <f t="shared" si="6"/>
        <v>0</v>
      </c>
      <c r="U32" s="686">
        <f t="shared" si="12"/>
        <v>0</v>
      </c>
      <c r="V32" s="686">
        <f t="shared" si="12"/>
        <v>0</v>
      </c>
      <c r="W32" s="686">
        <f t="shared" si="12"/>
        <v>0</v>
      </c>
      <c r="X32" s="71"/>
      <c r="Y32" s="686">
        <f t="shared" si="13"/>
        <v>0</v>
      </c>
      <c r="Z32" s="686">
        <f t="shared" si="13"/>
        <v>0</v>
      </c>
      <c r="AA32" s="686">
        <f t="shared" si="13"/>
        <v>0</v>
      </c>
      <c r="AB32" s="686">
        <f t="shared" si="13"/>
        <v>0</v>
      </c>
      <c r="AC32" s="686">
        <f t="shared" si="13"/>
        <v>0</v>
      </c>
      <c r="AD32" s="686">
        <f t="shared" si="13"/>
        <v>0</v>
      </c>
      <c r="AE32" s="120"/>
      <c r="AF32" s="50"/>
    </row>
    <row r="33" spans="2:32" x14ac:dyDescent="0.2">
      <c r="B33" s="50"/>
      <c r="C33" s="69"/>
      <c r="D33" s="75"/>
      <c r="E33" s="75"/>
      <c r="F33" s="99"/>
      <c r="G33" s="88"/>
      <c r="H33" s="165"/>
      <c r="I33" s="88"/>
      <c r="J33" s="88"/>
      <c r="K33" s="71"/>
      <c r="L33" s="74">
        <f t="shared" si="8"/>
        <v>0</v>
      </c>
      <c r="M33" s="686">
        <f t="shared" si="9"/>
        <v>0</v>
      </c>
      <c r="N33" s="686">
        <f t="shared" si="3"/>
        <v>0</v>
      </c>
      <c r="O33" s="697" t="str">
        <f t="shared" si="10"/>
        <v>-</v>
      </c>
      <c r="P33" s="686">
        <f t="shared" si="11"/>
        <v>0</v>
      </c>
      <c r="Q33" s="71"/>
      <c r="R33" s="686">
        <f t="shared" si="4"/>
        <v>0</v>
      </c>
      <c r="S33" s="686">
        <f t="shared" si="5"/>
        <v>0</v>
      </c>
      <c r="T33" s="686">
        <f t="shared" si="6"/>
        <v>0</v>
      </c>
      <c r="U33" s="686">
        <f t="shared" si="12"/>
        <v>0</v>
      </c>
      <c r="V33" s="686">
        <f t="shared" si="12"/>
        <v>0</v>
      </c>
      <c r="W33" s="686">
        <f t="shared" si="12"/>
        <v>0</v>
      </c>
      <c r="X33" s="71"/>
      <c r="Y33" s="686">
        <f t="shared" si="13"/>
        <v>0</v>
      </c>
      <c r="Z33" s="686">
        <f t="shared" si="13"/>
        <v>0</v>
      </c>
      <c r="AA33" s="686">
        <f t="shared" si="13"/>
        <v>0</v>
      </c>
      <c r="AB33" s="686">
        <f t="shared" si="13"/>
        <v>0</v>
      </c>
      <c r="AC33" s="686">
        <f t="shared" si="13"/>
        <v>0</v>
      </c>
      <c r="AD33" s="686">
        <f t="shared" si="13"/>
        <v>0</v>
      </c>
      <c r="AE33" s="120"/>
      <c r="AF33" s="50"/>
    </row>
    <row r="34" spans="2:32" x14ac:dyDescent="0.2">
      <c r="B34" s="50"/>
      <c r="C34" s="69"/>
      <c r="D34" s="75"/>
      <c r="E34" s="75"/>
      <c r="F34" s="99"/>
      <c r="G34" s="88"/>
      <c r="H34" s="165"/>
      <c r="I34" s="88"/>
      <c r="J34" s="88"/>
      <c r="K34" s="71"/>
      <c r="L34" s="74">
        <f t="shared" si="8"/>
        <v>0</v>
      </c>
      <c r="M34" s="686">
        <f t="shared" si="9"/>
        <v>0</v>
      </c>
      <c r="N34" s="686">
        <f t="shared" si="3"/>
        <v>0</v>
      </c>
      <c r="O34" s="697" t="str">
        <f t="shared" si="10"/>
        <v>-</v>
      </c>
      <c r="P34" s="686">
        <f t="shared" si="11"/>
        <v>0</v>
      </c>
      <c r="Q34" s="71"/>
      <c r="R34" s="686">
        <f t="shared" si="4"/>
        <v>0</v>
      </c>
      <c r="S34" s="686">
        <f t="shared" si="5"/>
        <v>0</v>
      </c>
      <c r="T34" s="686">
        <f t="shared" si="6"/>
        <v>0</v>
      </c>
      <c r="U34" s="686">
        <f t="shared" si="12"/>
        <v>0</v>
      </c>
      <c r="V34" s="686">
        <f t="shared" si="12"/>
        <v>0</v>
      </c>
      <c r="W34" s="686">
        <f t="shared" si="12"/>
        <v>0</v>
      </c>
      <c r="X34" s="71"/>
      <c r="Y34" s="686">
        <f t="shared" ref="Y34:AD43" si="14">IF(Y$8=$I34,($G34*$H34),0)</f>
        <v>0</v>
      </c>
      <c r="Z34" s="686">
        <f t="shared" si="14"/>
        <v>0</v>
      </c>
      <c r="AA34" s="686">
        <f t="shared" si="14"/>
        <v>0</v>
      </c>
      <c r="AB34" s="686">
        <f t="shared" si="14"/>
        <v>0</v>
      </c>
      <c r="AC34" s="686">
        <f t="shared" si="14"/>
        <v>0</v>
      </c>
      <c r="AD34" s="686">
        <f t="shared" si="14"/>
        <v>0</v>
      </c>
      <c r="AE34" s="120"/>
      <c r="AF34" s="50"/>
    </row>
    <row r="35" spans="2:32" x14ac:dyDescent="0.2">
      <c r="B35" s="50"/>
      <c r="C35" s="69"/>
      <c r="D35" s="75"/>
      <c r="E35" s="75"/>
      <c r="F35" s="99"/>
      <c r="G35" s="88"/>
      <c r="H35" s="165"/>
      <c r="I35" s="88"/>
      <c r="J35" s="88"/>
      <c r="K35" s="71"/>
      <c r="L35" s="74">
        <f t="shared" si="8"/>
        <v>0</v>
      </c>
      <c r="M35" s="686">
        <f t="shared" si="9"/>
        <v>0</v>
      </c>
      <c r="N35" s="686">
        <f t="shared" si="3"/>
        <v>0</v>
      </c>
      <c r="O35" s="697" t="str">
        <f t="shared" si="10"/>
        <v>-</v>
      </c>
      <c r="P35" s="686">
        <f t="shared" si="11"/>
        <v>0</v>
      </c>
      <c r="Q35" s="71"/>
      <c r="R35" s="686">
        <f t="shared" si="4"/>
        <v>0</v>
      </c>
      <c r="S35" s="686">
        <f t="shared" si="5"/>
        <v>0</v>
      </c>
      <c r="T35" s="686">
        <f t="shared" si="6"/>
        <v>0</v>
      </c>
      <c r="U35" s="686">
        <f t="shared" si="12"/>
        <v>0</v>
      </c>
      <c r="V35" s="686">
        <f t="shared" si="12"/>
        <v>0</v>
      </c>
      <c r="W35" s="686">
        <f t="shared" si="12"/>
        <v>0</v>
      </c>
      <c r="X35" s="71"/>
      <c r="Y35" s="686">
        <f t="shared" si="14"/>
        <v>0</v>
      </c>
      <c r="Z35" s="686">
        <f t="shared" si="14"/>
        <v>0</v>
      </c>
      <c r="AA35" s="686">
        <f t="shared" si="14"/>
        <v>0</v>
      </c>
      <c r="AB35" s="686">
        <f t="shared" si="14"/>
        <v>0</v>
      </c>
      <c r="AC35" s="686">
        <f t="shared" si="14"/>
        <v>0</v>
      </c>
      <c r="AD35" s="686">
        <f t="shared" si="14"/>
        <v>0</v>
      </c>
      <c r="AE35" s="120"/>
      <c r="AF35" s="50"/>
    </row>
    <row r="36" spans="2:32" x14ac:dyDescent="0.2">
      <c r="B36" s="50"/>
      <c r="C36" s="69"/>
      <c r="D36" s="75"/>
      <c r="E36" s="75"/>
      <c r="F36" s="99"/>
      <c r="G36" s="88"/>
      <c r="H36" s="165"/>
      <c r="I36" s="88"/>
      <c r="J36" s="88"/>
      <c r="K36" s="71"/>
      <c r="L36" s="74">
        <f t="shared" si="8"/>
        <v>0</v>
      </c>
      <c r="M36" s="686">
        <f t="shared" si="9"/>
        <v>0</v>
      </c>
      <c r="N36" s="686">
        <f t="shared" si="3"/>
        <v>0</v>
      </c>
      <c r="O36" s="697" t="str">
        <f t="shared" si="10"/>
        <v>-</v>
      </c>
      <c r="P36" s="686">
        <f t="shared" si="11"/>
        <v>0</v>
      </c>
      <c r="Q36" s="71"/>
      <c r="R36" s="686">
        <f t="shared" si="4"/>
        <v>0</v>
      </c>
      <c r="S36" s="686">
        <f t="shared" si="5"/>
        <v>0</v>
      </c>
      <c r="T36" s="686">
        <f t="shared" si="6"/>
        <v>0</v>
      </c>
      <c r="U36" s="686">
        <f t="shared" si="12"/>
        <v>0</v>
      </c>
      <c r="V36" s="686">
        <f t="shared" si="12"/>
        <v>0</v>
      </c>
      <c r="W36" s="686">
        <f t="shared" si="12"/>
        <v>0</v>
      </c>
      <c r="X36" s="71"/>
      <c r="Y36" s="686">
        <f t="shared" si="14"/>
        <v>0</v>
      </c>
      <c r="Z36" s="686">
        <f t="shared" si="14"/>
        <v>0</v>
      </c>
      <c r="AA36" s="686">
        <f t="shared" si="14"/>
        <v>0</v>
      </c>
      <c r="AB36" s="686">
        <f t="shared" si="14"/>
        <v>0</v>
      </c>
      <c r="AC36" s="686">
        <f t="shared" si="14"/>
        <v>0</v>
      </c>
      <c r="AD36" s="686">
        <f t="shared" si="14"/>
        <v>0</v>
      </c>
      <c r="AE36" s="120"/>
      <c r="AF36" s="50"/>
    </row>
    <row r="37" spans="2:32" x14ac:dyDescent="0.2">
      <c r="B37" s="50"/>
      <c r="C37" s="69"/>
      <c r="D37" s="75"/>
      <c r="E37" s="75"/>
      <c r="F37" s="99"/>
      <c r="G37" s="88"/>
      <c r="H37" s="165"/>
      <c r="I37" s="88"/>
      <c r="J37" s="88"/>
      <c r="K37" s="71"/>
      <c r="L37" s="74">
        <f t="shared" si="8"/>
        <v>0</v>
      </c>
      <c r="M37" s="686">
        <f t="shared" si="9"/>
        <v>0</v>
      </c>
      <c r="N37" s="686">
        <f t="shared" si="3"/>
        <v>0</v>
      </c>
      <c r="O37" s="697" t="str">
        <f t="shared" si="10"/>
        <v>-</v>
      </c>
      <c r="P37" s="686">
        <f t="shared" si="11"/>
        <v>0</v>
      </c>
      <c r="Q37" s="71"/>
      <c r="R37" s="686">
        <f t="shared" si="4"/>
        <v>0</v>
      </c>
      <c r="S37" s="686">
        <f t="shared" si="5"/>
        <v>0</v>
      </c>
      <c r="T37" s="686">
        <f t="shared" si="6"/>
        <v>0</v>
      </c>
      <c r="U37" s="686">
        <f t="shared" si="12"/>
        <v>0</v>
      </c>
      <c r="V37" s="686">
        <f t="shared" si="12"/>
        <v>0</v>
      </c>
      <c r="W37" s="686">
        <f t="shared" si="12"/>
        <v>0</v>
      </c>
      <c r="X37" s="71"/>
      <c r="Y37" s="686">
        <f t="shared" si="14"/>
        <v>0</v>
      </c>
      <c r="Z37" s="686">
        <f t="shared" si="14"/>
        <v>0</v>
      </c>
      <c r="AA37" s="686">
        <f t="shared" si="14"/>
        <v>0</v>
      </c>
      <c r="AB37" s="686">
        <f t="shared" si="14"/>
        <v>0</v>
      </c>
      <c r="AC37" s="686">
        <f t="shared" si="14"/>
        <v>0</v>
      </c>
      <c r="AD37" s="686">
        <f t="shared" si="14"/>
        <v>0</v>
      </c>
      <c r="AE37" s="120"/>
      <c r="AF37" s="50"/>
    </row>
    <row r="38" spans="2:32" x14ac:dyDescent="0.2">
      <c r="B38" s="50"/>
      <c r="C38" s="69"/>
      <c r="D38" s="75"/>
      <c r="E38" s="75"/>
      <c r="F38" s="99"/>
      <c r="G38" s="88"/>
      <c r="H38" s="165"/>
      <c r="I38" s="88"/>
      <c r="J38" s="88"/>
      <c r="K38" s="71"/>
      <c r="L38" s="74">
        <f t="shared" si="8"/>
        <v>0</v>
      </c>
      <c r="M38" s="686">
        <f t="shared" si="9"/>
        <v>0</v>
      </c>
      <c r="N38" s="686">
        <f t="shared" si="3"/>
        <v>0</v>
      </c>
      <c r="O38" s="697" t="str">
        <f t="shared" si="10"/>
        <v>-</v>
      </c>
      <c r="P38" s="686">
        <f t="shared" si="11"/>
        <v>0</v>
      </c>
      <c r="Q38" s="71"/>
      <c r="R38" s="686">
        <f t="shared" si="4"/>
        <v>0</v>
      </c>
      <c r="S38" s="686">
        <f t="shared" si="5"/>
        <v>0</v>
      </c>
      <c r="T38" s="686">
        <f t="shared" si="6"/>
        <v>0</v>
      </c>
      <c r="U38" s="686">
        <f t="shared" si="12"/>
        <v>0</v>
      </c>
      <c r="V38" s="686">
        <f t="shared" si="12"/>
        <v>0</v>
      </c>
      <c r="W38" s="686">
        <f t="shared" si="12"/>
        <v>0</v>
      </c>
      <c r="X38" s="71"/>
      <c r="Y38" s="686">
        <f t="shared" si="14"/>
        <v>0</v>
      </c>
      <c r="Z38" s="686">
        <f t="shared" si="14"/>
        <v>0</v>
      </c>
      <c r="AA38" s="686">
        <f t="shared" si="14"/>
        <v>0</v>
      </c>
      <c r="AB38" s="686">
        <f t="shared" si="14"/>
        <v>0</v>
      </c>
      <c r="AC38" s="686">
        <f t="shared" si="14"/>
        <v>0</v>
      </c>
      <c r="AD38" s="686">
        <f t="shared" si="14"/>
        <v>0</v>
      </c>
      <c r="AE38" s="120"/>
      <c r="AF38" s="50"/>
    </row>
    <row r="39" spans="2:32" x14ac:dyDescent="0.2">
      <c r="B39" s="50"/>
      <c r="C39" s="69"/>
      <c r="D39" s="75"/>
      <c r="E39" s="75"/>
      <c r="F39" s="99"/>
      <c r="G39" s="88"/>
      <c r="H39" s="165"/>
      <c r="I39" s="88"/>
      <c r="J39" s="88"/>
      <c r="K39" s="71"/>
      <c r="L39" s="74">
        <f t="shared" si="8"/>
        <v>0</v>
      </c>
      <c r="M39" s="686">
        <f t="shared" si="9"/>
        <v>0</v>
      </c>
      <c r="N39" s="686">
        <f t="shared" si="3"/>
        <v>0</v>
      </c>
      <c r="O39" s="697" t="str">
        <f t="shared" si="10"/>
        <v>-</v>
      </c>
      <c r="P39" s="686">
        <f t="shared" si="11"/>
        <v>0</v>
      </c>
      <c r="Q39" s="71"/>
      <c r="R39" s="686">
        <f t="shared" si="4"/>
        <v>0</v>
      </c>
      <c r="S39" s="686">
        <f t="shared" si="5"/>
        <v>0</v>
      </c>
      <c r="T39" s="686">
        <f t="shared" si="6"/>
        <v>0</v>
      </c>
      <c r="U39" s="686">
        <f t="shared" si="12"/>
        <v>0</v>
      </c>
      <c r="V39" s="686">
        <f t="shared" si="12"/>
        <v>0</v>
      </c>
      <c r="W39" s="686">
        <f t="shared" si="12"/>
        <v>0</v>
      </c>
      <c r="X39" s="71"/>
      <c r="Y39" s="686">
        <f t="shared" si="14"/>
        <v>0</v>
      </c>
      <c r="Z39" s="686">
        <f t="shared" si="14"/>
        <v>0</v>
      </c>
      <c r="AA39" s="686">
        <f t="shared" si="14"/>
        <v>0</v>
      </c>
      <c r="AB39" s="686">
        <f t="shared" si="14"/>
        <v>0</v>
      </c>
      <c r="AC39" s="686">
        <f t="shared" si="14"/>
        <v>0</v>
      </c>
      <c r="AD39" s="686">
        <f t="shared" si="14"/>
        <v>0</v>
      </c>
      <c r="AE39" s="120"/>
      <c r="AF39" s="50"/>
    </row>
    <row r="40" spans="2:32" x14ac:dyDescent="0.2">
      <c r="B40" s="50"/>
      <c r="C40" s="69"/>
      <c r="D40" s="75"/>
      <c r="E40" s="75"/>
      <c r="F40" s="99"/>
      <c r="G40" s="88"/>
      <c r="H40" s="165"/>
      <c r="I40" s="88"/>
      <c r="J40" s="88"/>
      <c r="K40" s="71"/>
      <c r="L40" s="74">
        <f t="shared" si="8"/>
        <v>0</v>
      </c>
      <c r="M40" s="686">
        <f t="shared" si="9"/>
        <v>0</v>
      </c>
      <c r="N40" s="686">
        <f t="shared" si="3"/>
        <v>0</v>
      </c>
      <c r="O40" s="697" t="str">
        <f t="shared" si="10"/>
        <v>-</v>
      </c>
      <c r="P40" s="686">
        <f t="shared" si="11"/>
        <v>0</v>
      </c>
      <c r="Q40" s="71"/>
      <c r="R40" s="686">
        <f t="shared" si="4"/>
        <v>0</v>
      </c>
      <c r="S40" s="686">
        <f t="shared" si="5"/>
        <v>0</v>
      </c>
      <c r="T40" s="686">
        <f t="shared" si="6"/>
        <v>0</v>
      </c>
      <c r="U40" s="686">
        <f t="shared" si="12"/>
        <v>0</v>
      </c>
      <c r="V40" s="686">
        <f t="shared" si="12"/>
        <v>0</v>
      </c>
      <c r="W40" s="686">
        <f t="shared" si="12"/>
        <v>0</v>
      </c>
      <c r="X40" s="71"/>
      <c r="Y40" s="686">
        <f t="shared" si="14"/>
        <v>0</v>
      </c>
      <c r="Z40" s="686">
        <f t="shared" si="14"/>
        <v>0</v>
      </c>
      <c r="AA40" s="686">
        <f t="shared" si="14"/>
        <v>0</v>
      </c>
      <c r="AB40" s="686">
        <f t="shared" si="14"/>
        <v>0</v>
      </c>
      <c r="AC40" s="686">
        <f t="shared" si="14"/>
        <v>0</v>
      </c>
      <c r="AD40" s="686">
        <f t="shared" si="14"/>
        <v>0</v>
      </c>
      <c r="AE40" s="120"/>
      <c r="AF40" s="50"/>
    </row>
    <row r="41" spans="2:32" x14ac:dyDescent="0.2">
      <c r="B41" s="50"/>
      <c r="C41" s="69"/>
      <c r="D41" s="75"/>
      <c r="E41" s="75"/>
      <c r="F41" s="99"/>
      <c r="G41" s="88"/>
      <c r="H41" s="165"/>
      <c r="I41" s="88"/>
      <c r="J41" s="88"/>
      <c r="K41" s="71"/>
      <c r="L41" s="74">
        <f t="shared" si="8"/>
        <v>0</v>
      </c>
      <c r="M41" s="686">
        <f t="shared" si="9"/>
        <v>0</v>
      </c>
      <c r="N41" s="686">
        <f t="shared" si="3"/>
        <v>0</v>
      </c>
      <c r="O41" s="697" t="str">
        <f t="shared" si="10"/>
        <v>-</v>
      </c>
      <c r="P41" s="686">
        <f t="shared" si="11"/>
        <v>0</v>
      </c>
      <c r="Q41" s="71"/>
      <c r="R41" s="686">
        <f t="shared" si="4"/>
        <v>0</v>
      </c>
      <c r="S41" s="686">
        <f t="shared" si="5"/>
        <v>0</v>
      </c>
      <c r="T41" s="686">
        <f t="shared" si="6"/>
        <v>0</v>
      </c>
      <c r="U41" s="686">
        <f t="shared" si="12"/>
        <v>0</v>
      </c>
      <c r="V41" s="686">
        <f t="shared" si="12"/>
        <v>0</v>
      </c>
      <c r="W41" s="686">
        <f t="shared" si="12"/>
        <v>0</v>
      </c>
      <c r="X41" s="71"/>
      <c r="Y41" s="686">
        <f t="shared" si="14"/>
        <v>0</v>
      </c>
      <c r="Z41" s="686">
        <f t="shared" si="14"/>
        <v>0</v>
      </c>
      <c r="AA41" s="686">
        <f t="shared" si="14"/>
        <v>0</v>
      </c>
      <c r="AB41" s="686">
        <f t="shared" si="14"/>
        <v>0</v>
      </c>
      <c r="AC41" s="686">
        <f t="shared" si="14"/>
        <v>0</v>
      </c>
      <c r="AD41" s="686">
        <f t="shared" si="14"/>
        <v>0</v>
      </c>
      <c r="AE41" s="120"/>
      <c r="AF41" s="50"/>
    </row>
    <row r="42" spans="2:32" x14ac:dyDescent="0.2">
      <c r="B42" s="50"/>
      <c r="C42" s="69"/>
      <c r="D42" s="75"/>
      <c r="E42" s="75"/>
      <c r="F42" s="99"/>
      <c r="G42" s="88"/>
      <c r="H42" s="165"/>
      <c r="I42" s="88"/>
      <c r="J42" s="88"/>
      <c r="K42" s="71"/>
      <c r="L42" s="74">
        <f t="shared" si="8"/>
        <v>0</v>
      </c>
      <c r="M42" s="686">
        <f t="shared" si="9"/>
        <v>0</v>
      </c>
      <c r="N42" s="686">
        <f t="shared" si="3"/>
        <v>0</v>
      </c>
      <c r="O42" s="697" t="str">
        <f t="shared" si="10"/>
        <v>-</v>
      </c>
      <c r="P42" s="686">
        <f t="shared" si="11"/>
        <v>0</v>
      </c>
      <c r="Q42" s="71"/>
      <c r="R42" s="686">
        <f t="shared" si="4"/>
        <v>0</v>
      </c>
      <c r="S42" s="686">
        <f t="shared" si="5"/>
        <v>0</v>
      </c>
      <c r="T42" s="686">
        <f t="shared" si="6"/>
        <v>0</v>
      </c>
      <c r="U42" s="686">
        <f t="shared" si="12"/>
        <v>0</v>
      </c>
      <c r="V42" s="686">
        <f t="shared" si="12"/>
        <v>0</v>
      </c>
      <c r="W42" s="686">
        <f t="shared" si="12"/>
        <v>0</v>
      </c>
      <c r="X42" s="71"/>
      <c r="Y42" s="686">
        <f t="shared" si="14"/>
        <v>0</v>
      </c>
      <c r="Z42" s="686">
        <f t="shared" si="14"/>
        <v>0</v>
      </c>
      <c r="AA42" s="686">
        <f t="shared" si="14"/>
        <v>0</v>
      </c>
      <c r="AB42" s="686">
        <f t="shared" si="14"/>
        <v>0</v>
      </c>
      <c r="AC42" s="686">
        <f t="shared" si="14"/>
        <v>0</v>
      </c>
      <c r="AD42" s="686">
        <f t="shared" si="14"/>
        <v>0</v>
      </c>
      <c r="AE42" s="120"/>
      <c r="AF42" s="50"/>
    </row>
    <row r="43" spans="2:32" x14ac:dyDescent="0.2">
      <c r="B43" s="50"/>
      <c r="C43" s="69"/>
      <c r="D43" s="75"/>
      <c r="E43" s="75"/>
      <c r="F43" s="99"/>
      <c r="G43" s="88"/>
      <c r="H43" s="165"/>
      <c r="I43" s="88"/>
      <c r="J43" s="88"/>
      <c r="K43" s="71"/>
      <c r="L43" s="74">
        <f t="shared" si="8"/>
        <v>0</v>
      </c>
      <c r="M43" s="686">
        <f t="shared" si="9"/>
        <v>0</v>
      </c>
      <c r="N43" s="686">
        <f t="shared" si="3"/>
        <v>0</v>
      </c>
      <c r="O43" s="697" t="str">
        <f t="shared" si="10"/>
        <v>-</v>
      </c>
      <c r="P43" s="686">
        <f t="shared" si="11"/>
        <v>0</v>
      </c>
      <c r="Q43" s="71"/>
      <c r="R43" s="686">
        <f t="shared" si="4"/>
        <v>0</v>
      </c>
      <c r="S43" s="686">
        <f t="shared" si="5"/>
        <v>0</v>
      </c>
      <c r="T43" s="686">
        <f t="shared" si="6"/>
        <v>0</v>
      </c>
      <c r="U43" s="686">
        <f t="shared" si="12"/>
        <v>0</v>
      </c>
      <c r="V43" s="686">
        <f t="shared" si="12"/>
        <v>0</v>
      </c>
      <c r="W43" s="686">
        <f t="shared" si="12"/>
        <v>0</v>
      </c>
      <c r="X43" s="71"/>
      <c r="Y43" s="686">
        <f t="shared" si="14"/>
        <v>0</v>
      </c>
      <c r="Z43" s="686">
        <f t="shared" si="14"/>
        <v>0</v>
      </c>
      <c r="AA43" s="686">
        <f t="shared" si="14"/>
        <v>0</v>
      </c>
      <c r="AB43" s="686">
        <f t="shared" si="14"/>
        <v>0</v>
      </c>
      <c r="AC43" s="686">
        <f t="shared" si="14"/>
        <v>0</v>
      </c>
      <c r="AD43" s="686">
        <f t="shared" si="14"/>
        <v>0</v>
      </c>
      <c r="AE43" s="120"/>
      <c r="AF43" s="50"/>
    </row>
    <row r="44" spans="2:32" x14ac:dyDescent="0.2">
      <c r="B44" s="50"/>
      <c r="C44" s="69"/>
      <c r="D44" s="75"/>
      <c r="E44" s="75"/>
      <c r="F44" s="99"/>
      <c r="G44" s="88"/>
      <c r="H44" s="165"/>
      <c r="I44" s="88"/>
      <c r="J44" s="88"/>
      <c r="K44" s="71"/>
      <c r="L44" s="74">
        <f t="shared" si="8"/>
        <v>0</v>
      </c>
      <c r="M44" s="686">
        <f t="shared" si="9"/>
        <v>0</v>
      </c>
      <c r="N44" s="686">
        <f t="shared" si="3"/>
        <v>0</v>
      </c>
      <c r="O44" s="697" t="str">
        <f t="shared" si="10"/>
        <v>-</v>
      </c>
      <c r="P44" s="686">
        <f t="shared" si="11"/>
        <v>0</v>
      </c>
      <c r="Q44" s="71"/>
      <c r="R44" s="686">
        <f t="shared" si="4"/>
        <v>0</v>
      </c>
      <c r="S44" s="686">
        <f t="shared" si="5"/>
        <v>0</v>
      </c>
      <c r="T44" s="686">
        <f t="shared" si="6"/>
        <v>0</v>
      </c>
      <c r="U44" s="686">
        <f t="shared" si="12"/>
        <v>0</v>
      </c>
      <c r="V44" s="686">
        <f t="shared" si="12"/>
        <v>0</v>
      </c>
      <c r="W44" s="686">
        <f t="shared" si="12"/>
        <v>0</v>
      </c>
      <c r="X44" s="71"/>
      <c r="Y44" s="686">
        <f t="shared" ref="Y44:AD53" si="15">IF(Y$8=$I44,($G44*$H44),0)</f>
        <v>0</v>
      </c>
      <c r="Z44" s="686">
        <f t="shared" si="15"/>
        <v>0</v>
      </c>
      <c r="AA44" s="686">
        <f t="shared" si="15"/>
        <v>0</v>
      </c>
      <c r="AB44" s="686">
        <f t="shared" si="15"/>
        <v>0</v>
      </c>
      <c r="AC44" s="686">
        <f t="shared" si="15"/>
        <v>0</v>
      </c>
      <c r="AD44" s="686">
        <f t="shared" si="15"/>
        <v>0</v>
      </c>
      <c r="AE44" s="120"/>
      <c r="AF44" s="50"/>
    </row>
    <row r="45" spans="2:32" x14ac:dyDescent="0.2">
      <c r="B45" s="50"/>
      <c r="C45" s="69"/>
      <c r="D45" s="75"/>
      <c r="E45" s="75"/>
      <c r="F45" s="99"/>
      <c r="G45" s="88"/>
      <c r="H45" s="165"/>
      <c r="I45" s="88"/>
      <c r="J45" s="88"/>
      <c r="K45" s="71"/>
      <c r="L45" s="74">
        <f t="shared" si="8"/>
        <v>0</v>
      </c>
      <c r="M45" s="686">
        <f t="shared" si="9"/>
        <v>0</v>
      </c>
      <c r="N45" s="686">
        <f t="shared" si="3"/>
        <v>0</v>
      </c>
      <c r="O45" s="697" t="str">
        <f t="shared" si="10"/>
        <v>-</v>
      </c>
      <c r="P45" s="686">
        <f t="shared" si="11"/>
        <v>0</v>
      </c>
      <c r="Q45" s="71"/>
      <c r="R45" s="686">
        <f t="shared" si="4"/>
        <v>0</v>
      </c>
      <c r="S45" s="686">
        <f t="shared" si="5"/>
        <v>0</v>
      </c>
      <c r="T45" s="686">
        <f t="shared" si="6"/>
        <v>0</v>
      </c>
      <c r="U45" s="686">
        <f t="shared" si="12"/>
        <v>0</v>
      </c>
      <c r="V45" s="686">
        <f t="shared" si="12"/>
        <v>0</v>
      </c>
      <c r="W45" s="686">
        <f t="shared" si="12"/>
        <v>0</v>
      </c>
      <c r="X45" s="71"/>
      <c r="Y45" s="686">
        <f t="shared" si="15"/>
        <v>0</v>
      </c>
      <c r="Z45" s="686">
        <f t="shared" si="15"/>
        <v>0</v>
      </c>
      <c r="AA45" s="686">
        <f t="shared" si="15"/>
        <v>0</v>
      </c>
      <c r="AB45" s="686">
        <f t="shared" si="15"/>
        <v>0</v>
      </c>
      <c r="AC45" s="686">
        <f t="shared" si="15"/>
        <v>0</v>
      </c>
      <c r="AD45" s="686">
        <f t="shared" si="15"/>
        <v>0</v>
      </c>
      <c r="AE45" s="120"/>
      <c r="AF45" s="50"/>
    </row>
    <row r="46" spans="2:32" x14ac:dyDescent="0.2">
      <c r="B46" s="50"/>
      <c r="C46" s="69"/>
      <c r="D46" s="75"/>
      <c r="E46" s="75"/>
      <c r="F46" s="99"/>
      <c r="G46" s="88"/>
      <c r="H46" s="165"/>
      <c r="I46" s="88"/>
      <c r="J46" s="88"/>
      <c r="K46" s="71"/>
      <c r="L46" s="74">
        <f t="shared" si="8"/>
        <v>0</v>
      </c>
      <c r="M46" s="686">
        <f t="shared" si="9"/>
        <v>0</v>
      </c>
      <c r="N46" s="686">
        <f t="shared" si="3"/>
        <v>0</v>
      </c>
      <c r="O46" s="697" t="str">
        <f t="shared" si="10"/>
        <v>-</v>
      </c>
      <c r="P46" s="686">
        <f t="shared" ref="P46:P77" si="16">IF(J46="geen",IF(I46&lt;$R$8,G46*H46,0),IF(I46&gt;=$R$8,0,IF((H46*G46-(R$8-I46)*N46)&lt;0,0,H46*G46-(R$8-I46)*N46)))</f>
        <v>0</v>
      </c>
      <c r="Q46" s="71"/>
      <c r="R46" s="686">
        <f t="shared" si="4"/>
        <v>0</v>
      </c>
      <c r="S46" s="686">
        <f t="shared" si="5"/>
        <v>0</v>
      </c>
      <c r="T46" s="686">
        <f t="shared" si="6"/>
        <v>0</v>
      </c>
      <c r="U46" s="686">
        <f t="shared" si="12"/>
        <v>0</v>
      </c>
      <c r="V46" s="686">
        <f t="shared" si="12"/>
        <v>0</v>
      </c>
      <c r="W46" s="686">
        <f t="shared" si="12"/>
        <v>0</v>
      </c>
      <c r="X46" s="71"/>
      <c r="Y46" s="686">
        <f t="shared" si="15"/>
        <v>0</v>
      </c>
      <c r="Z46" s="686">
        <f t="shared" si="15"/>
        <v>0</v>
      </c>
      <c r="AA46" s="686">
        <f t="shared" si="15"/>
        <v>0</v>
      </c>
      <c r="AB46" s="686">
        <f t="shared" si="15"/>
        <v>0</v>
      </c>
      <c r="AC46" s="686">
        <f t="shared" si="15"/>
        <v>0</v>
      </c>
      <c r="AD46" s="686">
        <f t="shared" si="15"/>
        <v>0</v>
      </c>
      <c r="AE46" s="120"/>
      <c r="AF46" s="50"/>
    </row>
    <row r="47" spans="2:32" x14ac:dyDescent="0.2">
      <c r="B47" s="50"/>
      <c r="C47" s="69"/>
      <c r="D47" s="75"/>
      <c r="E47" s="75"/>
      <c r="F47" s="99"/>
      <c r="G47" s="88"/>
      <c r="H47" s="165"/>
      <c r="I47" s="88"/>
      <c r="J47" s="88"/>
      <c r="K47" s="71"/>
      <c r="L47" s="74">
        <f t="shared" si="8"/>
        <v>0</v>
      </c>
      <c r="M47" s="686">
        <f t="shared" si="9"/>
        <v>0</v>
      </c>
      <c r="N47" s="686">
        <f t="shared" si="3"/>
        <v>0</v>
      </c>
      <c r="O47" s="697" t="str">
        <f t="shared" si="10"/>
        <v>-</v>
      </c>
      <c r="P47" s="686">
        <f t="shared" si="16"/>
        <v>0</v>
      </c>
      <c r="Q47" s="71"/>
      <c r="R47" s="686">
        <f t="shared" si="4"/>
        <v>0</v>
      </c>
      <c r="S47" s="686">
        <f t="shared" si="5"/>
        <v>0</v>
      </c>
      <c r="T47" s="686">
        <f t="shared" si="6"/>
        <v>0</v>
      </c>
      <c r="U47" s="686">
        <f t="shared" si="12"/>
        <v>0</v>
      </c>
      <c r="V47" s="686">
        <f t="shared" si="12"/>
        <v>0</v>
      </c>
      <c r="W47" s="686">
        <f t="shared" si="12"/>
        <v>0</v>
      </c>
      <c r="X47" s="71"/>
      <c r="Y47" s="686">
        <f t="shared" si="15"/>
        <v>0</v>
      </c>
      <c r="Z47" s="686">
        <f t="shared" si="15"/>
        <v>0</v>
      </c>
      <c r="AA47" s="686">
        <f t="shared" si="15"/>
        <v>0</v>
      </c>
      <c r="AB47" s="686">
        <f t="shared" si="15"/>
        <v>0</v>
      </c>
      <c r="AC47" s="686">
        <f t="shared" si="15"/>
        <v>0</v>
      </c>
      <c r="AD47" s="686">
        <f t="shared" si="15"/>
        <v>0</v>
      </c>
      <c r="AE47" s="120"/>
      <c r="AF47" s="50"/>
    </row>
    <row r="48" spans="2:32" x14ac:dyDescent="0.2">
      <c r="B48" s="50"/>
      <c r="C48" s="69"/>
      <c r="D48" s="75"/>
      <c r="E48" s="75"/>
      <c r="F48" s="99"/>
      <c r="G48" s="88"/>
      <c r="H48" s="165"/>
      <c r="I48" s="88"/>
      <c r="J48" s="88"/>
      <c r="K48" s="71"/>
      <c r="L48" s="74">
        <f t="shared" si="8"/>
        <v>0</v>
      </c>
      <c r="M48" s="686">
        <f t="shared" si="9"/>
        <v>0</v>
      </c>
      <c r="N48" s="686">
        <f t="shared" si="3"/>
        <v>0</v>
      </c>
      <c r="O48" s="697" t="str">
        <f t="shared" si="10"/>
        <v>-</v>
      </c>
      <c r="P48" s="686">
        <f t="shared" si="16"/>
        <v>0</v>
      </c>
      <c r="Q48" s="71"/>
      <c r="R48" s="686">
        <f t="shared" si="4"/>
        <v>0</v>
      </c>
      <c r="S48" s="686">
        <f t="shared" si="5"/>
        <v>0</v>
      </c>
      <c r="T48" s="686">
        <f t="shared" si="6"/>
        <v>0</v>
      </c>
      <c r="U48" s="686">
        <f t="shared" si="12"/>
        <v>0</v>
      </c>
      <c r="V48" s="686">
        <f t="shared" si="12"/>
        <v>0</v>
      </c>
      <c r="W48" s="686">
        <f t="shared" si="12"/>
        <v>0</v>
      </c>
      <c r="X48" s="71"/>
      <c r="Y48" s="686">
        <f t="shared" si="15"/>
        <v>0</v>
      </c>
      <c r="Z48" s="686">
        <f t="shared" si="15"/>
        <v>0</v>
      </c>
      <c r="AA48" s="686">
        <f t="shared" si="15"/>
        <v>0</v>
      </c>
      <c r="AB48" s="686">
        <f t="shared" si="15"/>
        <v>0</v>
      </c>
      <c r="AC48" s="686">
        <f t="shared" si="15"/>
        <v>0</v>
      </c>
      <c r="AD48" s="686">
        <f t="shared" si="15"/>
        <v>0</v>
      </c>
      <c r="AE48" s="120"/>
      <c r="AF48" s="50"/>
    </row>
    <row r="49" spans="2:32" x14ac:dyDescent="0.2">
      <c r="B49" s="50"/>
      <c r="C49" s="69"/>
      <c r="D49" s="75"/>
      <c r="E49" s="75"/>
      <c r="F49" s="99"/>
      <c r="G49" s="88"/>
      <c r="H49" s="165"/>
      <c r="I49" s="88"/>
      <c r="J49" s="88"/>
      <c r="K49" s="71"/>
      <c r="L49" s="74">
        <f t="shared" si="8"/>
        <v>0</v>
      </c>
      <c r="M49" s="686">
        <f t="shared" si="9"/>
        <v>0</v>
      </c>
      <c r="N49" s="686">
        <f t="shared" si="3"/>
        <v>0</v>
      </c>
      <c r="O49" s="697" t="str">
        <f t="shared" si="10"/>
        <v>-</v>
      </c>
      <c r="P49" s="686">
        <f t="shared" si="16"/>
        <v>0</v>
      </c>
      <c r="Q49" s="71"/>
      <c r="R49" s="686">
        <f t="shared" si="4"/>
        <v>0</v>
      </c>
      <c r="S49" s="686">
        <f t="shared" si="5"/>
        <v>0</v>
      </c>
      <c r="T49" s="686">
        <f t="shared" si="6"/>
        <v>0</v>
      </c>
      <c r="U49" s="686">
        <f t="shared" si="12"/>
        <v>0</v>
      </c>
      <c r="V49" s="686">
        <f t="shared" si="12"/>
        <v>0</v>
      </c>
      <c r="W49" s="686">
        <f t="shared" si="12"/>
        <v>0</v>
      </c>
      <c r="X49" s="71"/>
      <c r="Y49" s="686">
        <f t="shared" si="15"/>
        <v>0</v>
      </c>
      <c r="Z49" s="686">
        <f t="shared" si="15"/>
        <v>0</v>
      </c>
      <c r="AA49" s="686">
        <f t="shared" si="15"/>
        <v>0</v>
      </c>
      <c r="AB49" s="686">
        <f t="shared" si="15"/>
        <v>0</v>
      </c>
      <c r="AC49" s="686">
        <f t="shared" si="15"/>
        <v>0</v>
      </c>
      <c r="AD49" s="686">
        <f t="shared" si="15"/>
        <v>0</v>
      </c>
      <c r="AE49" s="120"/>
      <c r="AF49" s="50"/>
    </row>
    <row r="50" spans="2:32" x14ac:dyDescent="0.2">
      <c r="B50" s="50"/>
      <c r="C50" s="69"/>
      <c r="D50" s="75"/>
      <c r="E50" s="75"/>
      <c r="F50" s="99"/>
      <c r="G50" s="88"/>
      <c r="H50" s="165"/>
      <c r="I50" s="88"/>
      <c r="J50" s="88"/>
      <c r="K50" s="71"/>
      <c r="L50" s="74">
        <f t="shared" si="8"/>
        <v>0</v>
      </c>
      <c r="M50" s="686">
        <f t="shared" si="9"/>
        <v>0</v>
      </c>
      <c r="N50" s="686">
        <f t="shared" si="3"/>
        <v>0</v>
      </c>
      <c r="O50" s="697" t="str">
        <f t="shared" si="10"/>
        <v>-</v>
      </c>
      <c r="P50" s="686">
        <f t="shared" si="16"/>
        <v>0</v>
      </c>
      <c r="Q50" s="71"/>
      <c r="R50" s="686">
        <f t="shared" si="4"/>
        <v>0</v>
      </c>
      <c r="S50" s="686">
        <f t="shared" si="5"/>
        <v>0</v>
      </c>
      <c r="T50" s="686">
        <f t="shared" si="6"/>
        <v>0</v>
      </c>
      <c r="U50" s="686">
        <f t="shared" si="12"/>
        <v>0</v>
      </c>
      <c r="V50" s="686">
        <f t="shared" si="12"/>
        <v>0</v>
      </c>
      <c r="W50" s="686">
        <f t="shared" si="12"/>
        <v>0</v>
      </c>
      <c r="X50" s="71"/>
      <c r="Y50" s="686">
        <f t="shared" si="15"/>
        <v>0</v>
      </c>
      <c r="Z50" s="686">
        <f t="shared" si="15"/>
        <v>0</v>
      </c>
      <c r="AA50" s="686">
        <f t="shared" si="15"/>
        <v>0</v>
      </c>
      <c r="AB50" s="686">
        <f t="shared" si="15"/>
        <v>0</v>
      </c>
      <c r="AC50" s="686">
        <f t="shared" si="15"/>
        <v>0</v>
      </c>
      <c r="AD50" s="686">
        <f t="shared" si="15"/>
        <v>0</v>
      </c>
      <c r="AE50" s="120"/>
      <c r="AF50" s="50"/>
    </row>
    <row r="51" spans="2:32" x14ac:dyDescent="0.2">
      <c r="B51" s="50"/>
      <c r="C51" s="69"/>
      <c r="D51" s="75"/>
      <c r="E51" s="75"/>
      <c r="F51" s="99"/>
      <c r="G51" s="88"/>
      <c r="H51" s="165"/>
      <c r="I51" s="88"/>
      <c r="J51" s="88"/>
      <c r="K51" s="71"/>
      <c r="L51" s="74">
        <f t="shared" si="8"/>
        <v>0</v>
      </c>
      <c r="M51" s="686">
        <f t="shared" si="9"/>
        <v>0</v>
      </c>
      <c r="N51" s="686">
        <f t="shared" si="3"/>
        <v>0</v>
      </c>
      <c r="O51" s="697" t="str">
        <f t="shared" si="10"/>
        <v>-</v>
      </c>
      <c r="P51" s="686">
        <f t="shared" si="16"/>
        <v>0</v>
      </c>
      <c r="Q51" s="71"/>
      <c r="R51" s="686">
        <f t="shared" si="4"/>
        <v>0</v>
      </c>
      <c r="S51" s="686">
        <f t="shared" si="5"/>
        <v>0</v>
      </c>
      <c r="T51" s="686">
        <f t="shared" si="6"/>
        <v>0</v>
      </c>
      <c r="U51" s="686">
        <f t="shared" si="12"/>
        <v>0</v>
      </c>
      <c r="V51" s="686">
        <f t="shared" si="12"/>
        <v>0</v>
      </c>
      <c r="W51" s="686">
        <f t="shared" si="12"/>
        <v>0</v>
      </c>
      <c r="X51" s="71"/>
      <c r="Y51" s="686">
        <f t="shared" si="15"/>
        <v>0</v>
      </c>
      <c r="Z51" s="686">
        <f t="shared" si="15"/>
        <v>0</v>
      </c>
      <c r="AA51" s="686">
        <f t="shared" si="15"/>
        <v>0</v>
      </c>
      <c r="AB51" s="686">
        <f t="shared" si="15"/>
        <v>0</v>
      </c>
      <c r="AC51" s="686">
        <f t="shared" si="15"/>
        <v>0</v>
      </c>
      <c r="AD51" s="686">
        <f t="shared" si="15"/>
        <v>0</v>
      </c>
      <c r="AE51" s="120"/>
      <c r="AF51" s="50"/>
    </row>
    <row r="52" spans="2:32" x14ac:dyDescent="0.2">
      <c r="B52" s="50"/>
      <c r="C52" s="69"/>
      <c r="D52" s="75"/>
      <c r="E52" s="75"/>
      <c r="F52" s="99"/>
      <c r="G52" s="88"/>
      <c r="H52" s="165"/>
      <c r="I52" s="88"/>
      <c r="J52" s="88"/>
      <c r="K52" s="71"/>
      <c r="L52" s="74">
        <f t="shared" si="8"/>
        <v>0</v>
      </c>
      <c r="M52" s="686">
        <f t="shared" si="9"/>
        <v>0</v>
      </c>
      <c r="N52" s="686">
        <f t="shared" si="3"/>
        <v>0</v>
      </c>
      <c r="O52" s="697" t="str">
        <f t="shared" si="10"/>
        <v>-</v>
      </c>
      <c r="P52" s="686">
        <f t="shared" si="16"/>
        <v>0</v>
      </c>
      <c r="Q52" s="71"/>
      <c r="R52" s="686">
        <f t="shared" si="4"/>
        <v>0</v>
      </c>
      <c r="S52" s="686">
        <f t="shared" si="5"/>
        <v>0</v>
      </c>
      <c r="T52" s="686">
        <f t="shared" si="6"/>
        <v>0</v>
      </c>
      <c r="U52" s="686">
        <f t="shared" si="12"/>
        <v>0</v>
      </c>
      <c r="V52" s="686">
        <f t="shared" si="12"/>
        <v>0</v>
      </c>
      <c r="W52" s="686">
        <f t="shared" si="12"/>
        <v>0</v>
      </c>
      <c r="X52" s="71"/>
      <c r="Y52" s="686">
        <f t="shared" si="15"/>
        <v>0</v>
      </c>
      <c r="Z52" s="686">
        <f t="shared" si="15"/>
        <v>0</v>
      </c>
      <c r="AA52" s="686">
        <f t="shared" si="15"/>
        <v>0</v>
      </c>
      <c r="AB52" s="686">
        <f t="shared" si="15"/>
        <v>0</v>
      </c>
      <c r="AC52" s="686">
        <f t="shared" si="15"/>
        <v>0</v>
      </c>
      <c r="AD52" s="686">
        <f t="shared" si="15"/>
        <v>0</v>
      </c>
      <c r="AE52" s="120"/>
      <c r="AF52" s="50"/>
    </row>
    <row r="53" spans="2:32" x14ac:dyDescent="0.2">
      <c r="B53" s="50"/>
      <c r="C53" s="69"/>
      <c r="D53" s="75"/>
      <c r="E53" s="75"/>
      <c r="F53" s="99"/>
      <c r="G53" s="88"/>
      <c r="H53" s="165"/>
      <c r="I53" s="88"/>
      <c r="J53" s="88"/>
      <c r="K53" s="71"/>
      <c r="L53" s="74">
        <f t="shared" si="8"/>
        <v>0</v>
      </c>
      <c r="M53" s="686">
        <f t="shared" si="9"/>
        <v>0</v>
      </c>
      <c r="N53" s="686">
        <f t="shared" si="3"/>
        <v>0</v>
      </c>
      <c r="O53" s="697" t="str">
        <f t="shared" si="10"/>
        <v>-</v>
      </c>
      <c r="P53" s="686">
        <f t="shared" si="16"/>
        <v>0</v>
      </c>
      <c r="Q53" s="71"/>
      <c r="R53" s="686">
        <f t="shared" si="4"/>
        <v>0</v>
      </c>
      <c r="S53" s="686">
        <f t="shared" si="5"/>
        <v>0</v>
      </c>
      <c r="T53" s="686">
        <f t="shared" si="6"/>
        <v>0</v>
      </c>
      <c r="U53" s="686">
        <f t="shared" si="12"/>
        <v>0</v>
      </c>
      <c r="V53" s="686">
        <f t="shared" si="12"/>
        <v>0</v>
      </c>
      <c r="W53" s="686">
        <f t="shared" si="12"/>
        <v>0</v>
      </c>
      <c r="X53" s="71"/>
      <c r="Y53" s="686">
        <f t="shared" si="15"/>
        <v>0</v>
      </c>
      <c r="Z53" s="686">
        <f t="shared" si="15"/>
        <v>0</v>
      </c>
      <c r="AA53" s="686">
        <f t="shared" si="15"/>
        <v>0</v>
      </c>
      <c r="AB53" s="686">
        <f t="shared" si="15"/>
        <v>0</v>
      </c>
      <c r="AC53" s="686">
        <f t="shared" si="15"/>
        <v>0</v>
      </c>
      <c r="AD53" s="686">
        <f t="shared" si="15"/>
        <v>0</v>
      </c>
      <c r="AE53" s="120"/>
      <c r="AF53" s="50"/>
    </row>
    <row r="54" spans="2:32" x14ac:dyDescent="0.2">
      <c r="B54" s="50"/>
      <c r="C54" s="69"/>
      <c r="D54" s="75"/>
      <c r="E54" s="75"/>
      <c r="F54" s="99"/>
      <c r="G54" s="88"/>
      <c r="H54" s="165"/>
      <c r="I54" s="88"/>
      <c r="J54" s="88"/>
      <c r="K54" s="71"/>
      <c r="L54" s="74">
        <f t="shared" si="8"/>
        <v>0</v>
      </c>
      <c r="M54" s="686">
        <f t="shared" si="9"/>
        <v>0</v>
      </c>
      <c r="N54" s="686">
        <f t="shared" si="3"/>
        <v>0</v>
      </c>
      <c r="O54" s="697" t="str">
        <f t="shared" si="10"/>
        <v>-</v>
      </c>
      <c r="P54" s="686">
        <f t="shared" si="16"/>
        <v>0</v>
      </c>
      <c r="Q54" s="71"/>
      <c r="R54" s="686">
        <f t="shared" si="4"/>
        <v>0</v>
      </c>
      <c r="S54" s="686">
        <f t="shared" si="5"/>
        <v>0</v>
      </c>
      <c r="T54" s="686">
        <f t="shared" si="6"/>
        <v>0</v>
      </c>
      <c r="U54" s="686">
        <f t="shared" si="12"/>
        <v>0</v>
      </c>
      <c r="V54" s="686">
        <f t="shared" si="12"/>
        <v>0</v>
      </c>
      <c r="W54" s="686">
        <f t="shared" si="12"/>
        <v>0</v>
      </c>
      <c r="X54" s="71"/>
      <c r="Y54" s="686">
        <f t="shared" ref="Y54:AD66" si="17">IF(Y$8=$I54,($G54*$H54),0)</f>
        <v>0</v>
      </c>
      <c r="Z54" s="686">
        <f t="shared" si="17"/>
        <v>0</v>
      </c>
      <c r="AA54" s="686">
        <f t="shared" si="17"/>
        <v>0</v>
      </c>
      <c r="AB54" s="686">
        <f t="shared" si="17"/>
        <v>0</v>
      </c>
      <c r="AC54" s="686">
        <f t="shared" si="17"/>
        <v>0</v>
      </c>
      <c r="AD54" s="686">
        <f t="shared" si="17"/>
        <v>0</v>
      </c>
      <c r="AE54" s="120"/>
      <c r="AF54" s="50"/>
    </row>
    <row r="55" spans="2:32" x14ac:dyDescent="0.2">
      <c r="B55" s="50"/>
      <c r="C55" s="69"/>
      <c r="D55" s="75"/>
      <c r="E55" s="75"/>
      <c r="F55" s="99"/>
      <c r="G55" s="88"/>
      <c r="H55" s="165"/>
      <c r="I55" s="88"/>
      <c r="J55" s="88"/>
      <c r="K55" s="71"/>
      <c r="L55" s="74">
        <f t="shared" si="8"/>
        <v>0</v>
      </c>
      <c r="M55" s="686">
        <f t="shared" si="9"/>
        <v>0</v>
      </c>
      <c r="N55" s="686">
        <f t="shared" si="3"/>
        <v>0</v>
      </c>
      <c r="O55" s="697" t="str">
        <f t="shared" si="10"/>
        <v>-</v>
      </c>
      <c r="P55" s="686">
        <f t="shared" si="16"/>
        <v>0</v>
      </c>
      <c r="Q55" s="71"/>
      <c r="R55" s="686">
        <f t="shared" si="4"/>
        <v>0</v>
      </c>
      <c r="S55" s="686">
        <f t="shared" si="5"/>
        <v>0</v>
      </c>
      <c r="T55" s="686">
        <f t="shared" si="6"/>
        <v>0</v>
      </c>
      <c r="U55" s="686">
        <f t="shared" si="12"/>
        <v>0</v>
      </c>
      <c r="V55" s="686">
        <f t="shared" si="12"/>
        <v>0</v>
      </c>
      <c r="W55" s="686">
        <f t="shared" si="12"/>
        <v>0</v>
      </c>
      <c r="X55" s="71"/>
      <c r="Y55" s="686">
        <f t="shared" si="17"/>
        <v>0</v>
      </c>
      <c r="Z55" s="686">
        <f t="shared" si="17"/>
        <v>0</v>
      </c>
      <c r="AA55" s="686">
        <f t="shared" si="17"/>
        <v>0</v>
      </c>
      <c r="AB55" s="686">
        <f t="shared" si="17"/>
        <v>0</v>
      </c>
      <c r="AC55" s="686">
        <f t="shared" si="17"/>
        <v>0</v>
      </c>
      <c r="AD55" s="686">
        <f t="shared" si="17"/>
        <v>0</v>
      </c>
      <c r="AE55" s="120"/>
      <c r="AF55" s="50"/>
    </row>
    <row r="56" spans="2:32" x14ac:dyDescent="0.2">
      <c r="B56" s="50"/>
      <c r="C56" s="69"/>
      <c r="D56" s="75"/>
      <c r="E56" s="75"/>
      <c r="F56" s="99"/>
      <c r="G56" s="88"/>
      <c r="H56" s="165"/>
      <c r="I56" s="88"/>
      <c r="J56" s="88"/>
      <c r="K56" s="71"/>
      <c r="L56" s="74">
        <f t="shared" si="8"/>
        <v>0</v>
      </c>
      <c r="M56" s="686">
        <f t="shared" si="9"/>
        <v>0</v>
      </c>
      <c r="N56" s="686">
        <f t="shared" si="3"/>
        <v>0</v>
      </c>
      <c r="O56" s="697" t="str">
        <f t="shared" si="10"/>
        <v>-</v>
      </c>
      <c r="P56" s="686">
        <f t="shared" si="16"/>
        <v>0</v>
      </c>
      <c r="Q56" s="71"/>
      <c r="R56" s="686">
        <f t="shared" si="4"/>
        <v>0</v>
      </c>
      <c r="S56" s="686">
        <f t="shared" si="5"/>
        <v>0</v>
      </c>
      <c r="T56" s="686">
        <f t="shared" si="6"/>
        <v>0</v>
      </c>
      <c r="U56" s="686">
        <f t="shared" si="12"/>
        <v>0</v>
      </c>
      <c r="V56" s="686">
        <f t="shared" si="12"/>
        <v>0</v>
      </c>
      <c r="W56" s="686">
        <f t="shared" si="12"/>
        <v>0</v>
      </c>
      <c r="X56" s="71"/>
      <c r="Y56" s="686">
        <f t="shared" si="17"/>
        <v>0</v>
      </c>
      <c r="Z56" s="686">
        <f t="shared" si="17"/>
        <v>0</v>
      </c>
      <c r="AA56" s="686">
        <f t="shared" si="17"/>
        <v>0</v>
      </c>
      <c r="AB56" s="686">
        <f t="shared" si="17"/>
        <v>0</v>
      </c>
      <c r="AC56" s="686">
        <f t="shared" si="17"/>
        <v>0</v>
      </c>
      <c r="AD56" s="686">
        <f t="shared" si="17"/>
        <v>0</v>
      </c>
      <c r="AE56" s="120"/>
      <c r="AF56" s="50"/>
    </row>
    <row r="57" spans="2:32" x14ac:dyDescent="0.2">
      <c r="B57" s="50"/>
      <c r="C57" s="69"/>
      <c r="D57" s="75"/>
      <c r="E57" s="75"/>
      <c r="F57" s="99"/>
      <c r="G57" s="88"/>
      <c r="H57" s="165"/>
      <c r="I57" s="88"/>
      <c r="J57" s="88"/>
      <c r="K57" s="71"/>
      <c r="L57" s="74">
        <f t="shared" si="8"/>
        <v>0</v>
      </c>
      <c r="M57" s="686">
        <f t="shared" si="9"/>
        <v>0</v>
      </c>
      <c r="N57" s="686">
        <f t="shared" si="3"/>
        <v>0</v>
      </c>
      <c r="O57" s="697" t="str">
        <f t="shared" si="10"/>
        <v>-</v>
      </c>
      <c r="P57" s="686">
        <f t="shared" si="16"/>
        <v>0</v>
      </c>
      <c r="Q57" s="71"/>
      <c r="R57" s="686">
        <f t="shared" si="4"/>
        <v>0</v>
      </c>
      <c r="S57" s="686">
        <f t="shared" si="5"/>
        <v>0</v>
      </c>
      <c r="T57" s="686">
        <f t="shared" si="6"/>
        <v>0</v>
      </c>
      <c r="U57" s="686">
        <f t="shared" si="12"/>
        <v>0</v>
      </c>
      <c r="V57" s="686">
        <f t="shared" si="12"/>
        <v>0</v>
      </c>
      <c r="W57" s="686">
        <f t="shared" si="12"/>
        <v>0</v>
      </c>
      <c r="X57" s="71"/>
      <c r="Y57" s="686">
        <f t="shared" si="17"/>
        <v>0</v>
      </c>
      <c r="Z57" s="686">
        <f t="shared" si="17"/>
        <v>0</v>
      </c>
      <c r="AA57" s="686">
        <f t="shared" si="17"/>
        <v>0</v>
      </c>
      <c r="AB57" s="686">
        <f t="shared" si="17"/>
        <v>0</v>
      </c>
      <c r="AC57" s="686">
        <f t="shared" si="17"/>
        <v>0</v>
      </c>
      <c r="AD57" s="686">
        <f t="shared" si="17"/>
        <v>0</v>
      </c>
      <c r="AE57" s="120"/>
      <c r="AF57" s="50"/>
    </row>
    <row r="58" spans="2:32" x14ac:dyDescent="0.2">
      <c r="B58" s="50"/>
      <c r="C58" s="69"/>
      <c r="D58" s="75"/>
      <c r="E58" s="75"/>
      <c r="F58" s="99"/>
      <c r="G58" s="88"/>
      <c r="H58" s="165"/>
      <c r="I58" s="88"/>
      <c r="J58" s="88"/>
      <c r="K58" s="71"/>
      <c r="L58" s="74">
        <f t="shared" si="8"/>
        <v>0</v>
      </c>
      <c r="M58" s="686">
        <f t="shared" si="9"/>
        <v>0</v>
      </c>
      <c r="N58" s="686">
        <f t="shared" si="3"/>
        <v>0</v>
      </c>
      <c r="O58" s="697" t="str">
        <f t="shared" si="10"/>
        <v>-</v>
      </c>
      <c r="P58" s="686">
        <f t="shared" si="16"/>
        <v>0</v>
      </c>
      <c r="Q58" s="71"/>
      <c r="R58" s="686">
        <f t="shared" si="4"/>
        <v>0</v>
      </c>
      <c r="S58" s="686">
        <f t="shared" si="5"/>
        <v>0</v>
      </c>
      <c r="T58" s="686">
        <f t="shared" si="6"/>
        <v>0</v>
      </c>
      <c r="U58" s="686">
        <f t="shared" si="12"/>
        <v>0</v>
      </c>
      <c r="V58" s="686">
        <f t="shared" si="12"/>
        <v>0</v>
      </c>
      <c r="W58" s="686">
        <f t="shared" si="12"/>
        <v>0</v>
      </c>
      <c r="X58" s="71"/>
      <c r="Y58" s="686">
        <f t="shared" si="17"/>
        <v>0</v>
      </c>
      <c r="Z58" s="686">
        <f t="shared" si="17"/>
        <v>0</v>
      </c>
      <c r="AA58" s="686">
        <f t="shared" si="17"/>
        <v>0</v>
      </c>
      <c r="AB58" s="686">
        <f t="shared" si="17"/>
        <v>0</v>
      </c>
      <c r="AC58" s="686">
        <f t="shared" si="17"/>
        <v>0</v>
      </c>
      <c r="AD58" s="686">
        <f t="shared" si="17"/>
        <v>0</v>
      </c>
      <c r="AE58" s="120"/>
      <c r="AF58" s="50"/>
    </row>
    <row r="59" spans="2:32" x14ac:dyDescent="0.2">
      <c r="B59" s="50"/>
      <c r="C59" s="69"/>
      <c r="D59" s="75"/>
      <c r="E59" s="75"/>
      <c r="F59" s="99"/>
      <c r="G59" s="88"/>
      <c r="H59" s="165"/>
      <c r="I59" s="88"/>
      <c r="J59" s="88"/>
      <c r="K59" s="71"/>
      <c r="L59" s="74">
        <f t="shared" si="8"/>
        <v>0</v>
      </c>
      <c r="M59" s="686">
        <f t="shared" si="9"/>
        <v>0</v>
      </c>
      <c r="N59" s="686">
        <f t="shared" si="3"/>
        <v>0</v>
      </c>
      <c r="O59" s="697" t="str">
        <f t="shared" si="10"/>
        <v>-</v>
      </c>
      <c r="P59" s="686">
        <f t="shared" si="16"/>
        <v>0</v>
      </c>
      <c r="Q59" s="71"/>
      <c r="R59" s="686">
        <f t="shared" si="4"/>
        <v>0</v>
      </c>
      <c r="S59" s="686">
        <f t="shared" si="5"/>
        <v>0</v>
      </c>
      <c r="T59" s="686">
        <f t="shared" si="6"/>
        <v>0</v>
      </c>
      <c r="U59" s="686">
        <f t="shared" si="12"/>
        <v>0</v>
      </c>
      <c r="V59" s="686">
        <f t="shared" si="12"/>
        <v>0</v>
      </c>
      <c r="W59" s="686">
        <f t="shared" si="12"/>
        <v>0</v>
      </c>
      <c r="X59" s="71"/>
      <c r="Y59" s="686">
        <f t="shared" si="17"/>
        <v>0</v>
      </c>
      <c r="Z59" s="686">
        <f t="shared" si="17"/>
        <v>0</v>
      </c>
      <c r="AA59" s="686">
        <f t="shared" si="17"/>
        <v>0</v>
      </c>
      <c r="AB59" s="686">
        <f t="shared" si="17"/>
        <v>0</v>
      </c>
      <c r="AC59" s="686">
        <f t="shared" si="17"/>
        <v>0</v>
      </c>
      <c r="AD59" s="686">
        <f t="shared" si="17"/>
        <v>0</v>
      </c>
      <c r="AE59" s="120"/>
      <c r="AF59" s="50"/>
    </row>
    <row r="60" spans="2:32" x14ac:dyDescent="0.2">
      <c r="B60" s="50"/>
      <c r="C60" s="69"/>
      <c r="D60" s="75"/>
      <c r="E60" s="75"/>
      <c r="F60" s="99"/>
      <c r="G60" s="88"/>
      <c r="H60" s="165"/>
      <c r="I60" s="88"/>
      <c r="J60" s="88"/>
      <c r="K60" s="71"/>
      <c r="L60" s="74">
        <f t="shared" si="8"/>
        <v>0</v>
      </c>
      <c r="M60" s="686">
        <f t="shared" si="9"/>
        <v>0</v>
      </c>
      <c r="N60" s="686">
        <f t="shared" si="3"/>
        <v>0</v>
      </c>
      <c r="O60" s="697" t="str">
        <f t="shared" si="10"/>
        <v>-</v>
      </c>
      <c r="P60" s="686">
        <f t="shared" si="16"/>
        <v>0</v>
      </c>
      <c r="Q60" s="71"/>
      <c r="R60" s="686">
        <f t="shared" si="4"/>
        <v>0</v>
      </c>
      <c r="S60" s="686">
        <f t="shared" si="5"/>
        <v>0</v>
      </c>
      <c r="T60" s="686">
        <f t="shared" si="6"/>
        <v>0</v>
      </c>
      <c r="U60" s="686">
        <f t="shared" si="12"/>
        <v>0</v>
      </c>
      <c r="V60" s="686">
        <f t="shared" si="12"/>
        <v>0</v>
      </c>
      <c r="W60" s="686">
        <f t="shared" si="12"/>
        <v>0</v>
      </c>
      <c r="X60" s="71"/>
      <c r="Y60" s="686">
        <f t="shared" si="17"/>
        <v>0</v>
      </c>
      <c r="Z60" s="686">
        <f t="shared" si="17"/>
        <v>0</v>
      </c>
      <c r="AA60" s="686">
        <f t="shared" si="17"/>
        <v>0</v>
      </c>
      <c r="AB60" s="686">
        <f t="shared" si="17"/>
        <v>0</v>
      </c>
      <c r="AC60" s="686">
        <f t="shared" si="17"/>
        <v>0</v>
      </c>
      <c r="AD60" s="686">
        <f t="shared" si="17"/>
        <v>0</v>
      </c>
      <c r="AE60" s="120"/>
      <c r="AF60" s="50"/>
    </row>
    <row r="61" spans="2:32" x14ac:dyDescent="0.2">
      <c r="B61" s="50"/>
      <c r="C61" s="69"/>
      <c r="D61" s="75"/>
      <c r="E61" s="75"/>
      <c r="F61" s="99"/>
      <c r="G61" s="88"/>
      <c r="H61" s="165"/>
      <c r="I61" s="88"/>
      <c r="J61" s="88"/>
      <c r="K61" s="71"/>
      <c r="L61" s="74">
        <f t="shared" si="8"/>
        <v>0</v>
      </c>
      <c r="M61" s="686">
        <f t="shared" si="9"/>
        <v>0</v>
      </c>
      <c r="N61" s="686">
        <f t="shared" si="3"/>
        <v>0</v>
      </c>
      <c r="O61" s="697" t="str">
        <f t="shared" si="10"/>
        <v>-</v>
      </c>
      <c r="P61" s="686">
        <f t="shared" si="16"/>
        <v>0</v>
      </c>
      <c r="Q61" s="71"/>
      <c r="R61" s="686">
        <f t="shared" si="4"/>
        <v>0</v>
      </c>
      <c r="S61" s="686">
        <f t="shared" si="5"/>
        <v>0</v>
      </c>
      <c r="T61" s="686">
        <f t="shared" si="6"/>
        <v>0</v>
      </c>
      <c r="U61" s="686">
        <f t="shared" si="12"/>
        <v>0</v>
      </c>
      <c r="V61" s="686">
        <f t="shared" si="12"/>
        <v>0</v>
      </c>
      <c r="W61" s="686">
        <f t="shared" si="12"/>
        <v>0</v>
      </c>
      <c r="X61" s="71"/>
      <c r="Y61" s="686">
        <f t="shared" si="17"/>
        <v>0</v>
      </c>
      <c r="Z61" s="686">
        <f t="shared" si="17"/>
        <v>0</v>
      </c>
      <c r="AA61" s="686">
        <f t="shared" si="17"/>
        <v>0</v>
      </c>
      <c r="AB61" s="686">
        <f t="shared" si="17"/>
        <v>0</v>
      </c>
      <c r="AC61" s="686">
        <f t="shared" si="17"/>
        <v>0</v>
      </c>
      <c r="AD61" s="686">
        <f t="shared" si="17"/>
        <v>0</v>
      </c>
      <c r="AE61" s="120"/>
      <c r="AF61" s="50"/>
    </row>
    <row r="62" spans="2:32" x14ac:dyDescent="0.2">
      <c r="B62" s="50"/>
      <c r="C62" s="69"/>
      <c r="D62" s="75"/>
      <c r="E62" s="75"/>
      <c r="F62" s="99"/>
      <c r="G62" s="88"/>
      <c r="H62" s="165"/>
      <c r="I62" s="88"/>
      <c r="J62" s="88"/>
      <c r="K62" s="71"/>
      <c r="L62" s="74">
        <f t="shared" si="8"/>
        <v>0</v>
      </c>
      <c r="M62" s="686">
        <f t="shared" si="9"/>
        <v>0</v>
      </c>
      <c r="N62" s="686">
        <f t="shared" si="3"/>
        <v>0</v>
      </c>
      <c r="O62" s="697" t="str">
        <f t="shared" si="10"/>
        <v>-</v>
      </c>
      <c r="P62" s="686">
        <f t="shared" si="16"/>
        <v>0</v>
      </c>
      <c r="Q62" s="71"/>
      <c r="R62" s="686">
        <f t="shared" si="4"/>
        <v>0</v>
      </c>
      <c r="S62" s="686">
        <f t="shared" si="5"/>
        <v>0</v>
      </c>
      <c r="T62" s="686">
        <f t="shared" si="6"/>
        <v>0</v>
      </c>
      <c r="U62" s="686">
        <f t="shared" si="12"/>
        <v>0</v>
      </c>
      <c r="V62" s="686">
        <f t="shared" si="12"/>
        <v>0</v>
      </c>
      <c r="W62" s="686">
        <f t="shared" si="12"/>
        <v>0</v>
      </c>
      <c r="X62" s="71"/>
      <c r="Y62" s="686">
        <f t="shared" si="17"/>
        <v>0</v>
      </c>
      <c r="Z62" s="686">
        <f t="shared" si="17"/>
        <v>0</v>
      </c>
      <c r="AA62" s="686">
        <f t="shared" si="17"/>
        <v>0</v>
      </c>
      <c r="AB62" s="686">
        <f t="shared" si="17"/>
        <v>0</v>
      </c>
      <c r="AC62" s="686">
        <f t="shared" si="17"/>
        <v>0</v>
      </c>
      <c r="AD62" s="686">
        <f t="shared" si="17"/>
        <v>0</v>
      </c>
      <c r="AE62" s="120"/>
      <c r="AF62" s="50"/>
    </row>
    <row r="63" spans="2:32" x14ac:dyDescent="0.2">
      <c r="B63" s="50"/>
      <c r="C63" s="69"/>
      <c r="D63" s="75"/>
      <c r="E63" s="75"/>
      <c r="F63" s="99"/>
      <c r="G63" s="88"/>
      <c r="H63" s="165"/>
      <c r="I63" s="88"/>
      <c r="J63" s="88"/>
      <c r="K63" s="71"/>
      <c r="L63" s="74">
        <f t="shared" si="8"/>
        <v>0</v>
      </c>
      <c r="M63" s="686">
        <f t="shared" si="9"/>
        <v>0</v>
      </c>
      <c r="N63" s="686">
        <f t="shared" si="3"/>
        <v>0</v>
      </c>
      <c r="O63" s="697" t="str">
        <f t="shared" si="10"/>
        <v>-</v>
      </c>
      <c r="P63" s="686">
        <f t="shared" si="16"/>
        <v>0</v>
      </c>
      <c r="Q63" s="71"/>
      <c r="R63" s="686">
        <f t="shared" si="4"/>
        <v>0</v>
      </c>
      <c r="S63" s="686">
        <f t="shared" si="5"/>
        <v>0</v>
      </c>
      <c r="T63" s="686">
        <f t="shared" si="6"/>
        <v>0</v>
      </c>
      <c r="U63" s="686">
        <f t="shared" si="12"/>
        <v>0</v>
      </c>
      <c r="V63" s="686">
        <f t="shared" si="12"/>
        <v>0</v>
      </c>
      <c r="W63" s="686">
        <f t="shared" si="12"/>
        <v>0</v>
      </c>
      <c r="X63" s="71"/>
      <c r="Y63" s="686">
        <f t="shared" si="17"/>
        <v>0</v>
      </c>
      <c r="Z63" s="686">
        <f t="shared" si="17"/>
        <v>0</v>
      </c>
      <c r="AA63" s="686">
        <f t="shared" si="17"/>
        <v>0</v>
      </c>
      <c r="AB63" s="686">
        <f t="shared" si="17"/>
        <v>0</v>
      </c>
      <c r="AC63" s="686">
        <f t="shared" si="17"/>
        <v>0</v>
      </c>
      <c r="AD63" s="686">
        <f t="shared" si="17"/>
        <v>0</v>
      </c>
      <c r="AE63" s="120"/>
      <c r="AF63" s="50"/>
    </row>
    <row r="64" spans="2:32" x14ac:dyDescent="0.2">
      <c r="B64" s="50"/>
      <c r="C64" s="69"/>
      <c r="D64" s="75"/>
      <c r="E64" s="75"/>
      <c r="F64" s="99"/>
      <c r="G64" s="88"/>
      <c r="H64" s="165"/>
      <c r="I64" s="88"/>
      <c r="J64" s="88"/>
      <c r="K64" s="71"/>
      <c r="L64" s="74">
        <f t="shared" si="8"/>
        <v>0</v>
      </c>
      <c r="M64" s="686">
        <f t="shared" si="9"/>
        <v>0</v>
      </c>
      <c r="N64" s="686">
        <f t="shared" si="3"/>
        <v>0</v>
      </c>
      <c r="O64" s="697" t="str">
        <f t="shared" si="10"/>
        <v>-</v>
      </c>
      <c r="P64" s="686">
        <f t="shared" si="16"/>
        <v>0</v>
      </c>
      <c r="Q64" s="71"/>
      <c r="R64" s="686">
        <f t="shared" si="4"/>
        <v>0</v>
      </c>
      <c r="S64" s="686">
        <f t="shared" si="5"/>
        <v>0</v>
      </c>
      <c r="T64" s="686">
        <f t="shared" si="6"/>
        <v>0</v>
      </c>
      <c r="U64" s="686">
        <f t="shared" si="12"/>
        <v>0</v>
      </c>
      <c r="V64" s="686">
        <f t="shared" si="12"/>
        <v>0</v>
      </c>
      <c r="W64" s="686">
        <f t="shared" si="12"/>
        <v>0</v>
      </c>
      <c r="X64" s="71"/>
      <c r="Y64" s="686">
        <f t="shared" si="17"/>
        <v>0</v>
      </c>
      <c r="Z64" s="686">
        <f t="shared" si="17"/>
        <v>0</v>
      </c>
      <c r="AA64" s="686">
        <f t="shared" si="17"/>
        <v>0</v>
      </c>
      <c r="AB64" s="686">
        <f t="shared" si="17"/>
        <v>0</v>
      </c>
      <c r="AC64" s="686">
        <f t="shared" si="17"/>
        <v>0</v>
      </c>
      <c r="AD64" s="686">
        <f t="shared" si="17"/>
        <v>0</v>
      </c>
      <c r="AE64" s="120"/>
      <c r="AF64" s="50"/>
    </row>
    <row r="65" spans="2:32" x14ac:dyDescent="0.2">
      <c r="B65" s="50"/>
      <c r="C65" s="69"/>
      <c r="D65" s="75"/>
      <c r="E65" s="75"/>
      <c r="F65" s="99"/>
      <c r="G65" s="88"/>
      <c r="H65" s="165"/>
      <c r="I65" s="88"/>
      <c r="J65" s="88"/>
      <c r="K65" s="71"/>
      <c r="L65" s="74">
        <f t="shared" si="8"/>
        <v>0</v>
      </c>
      <c r="M65" s="686">
        <f t="shared" si="9"/>
        <v>0</v>
      </c>
      <c r="N65" s="686">
        <f t="shared" si="3"/>
        <v>0</v>
      </c>
      <c r="O65" s="697" t="str">
        <f t="shared" si="10"/>
        <v>-</v>
      </c>
      <c r="P65" s="686">
        <f t="shared" si="16"/>
        <v>0</v>
      </c>
      <c r="Q65" s="71"/>
      <c r="R65" s="686">
        <f t="shared" si="4"/>
        <v>0</v>
      </c>
      <c r="S65" s="686">
        <f t="shared" si="5"/>
        <v>0</v>
      </c>
      <c r="T65" s="686">
        <f t="shared" si="6"/>
        <v>0</v>
      </c>
      <c r="U65" s="686">
        <f t="shared" si="12"/>
        <v>0</v>
      </c>
      <c r="V65" s="686">
        <f t="shared" si="12"/>
        <v>0</v>
      </c>
      <c r="W65" s="686">
        <f t="shared" si="12"/>
        <v>0</v>
      </c>
      <c r="X65" s="71"/>
      <c r="Y65" s="686">
        <f t="shared" si="17"/>
        <v>0</v>
      </c>
      <c r="Z65" s="686">
        <f t="shared" si="17"/>
        <v>0</v>
      </c>
      <c r="AA65" s="686">
        <f t="shared" si="17"/>
        <v>0</v>
      </c>
      <c r="AB65" s="686">
        <f t="shared" si="17"/>
        <v>0</v>
      </c>
      <c r="AC65" s="686">
        <f t="shared" si="17"/>
        <v>0</v>
      </c>
      <c r="AD65" s="686">
        <f t="shared" si="17"/>
        <v>0</v>
      </c>
      <c r="AE65" s="120"/>
      <c r="AF65" s="50"/>
    </row>
    <row r="66" spans="2:32" x14ac:dyDescent="0.2">
      <c r="B66" s="50"/>
      <c r="C66" s="69"/>
      <c r="D66" s="75"/>
      <c r="E66" s="75"/>
      <c r="F66" s="99"/>
      <c r="G66" s="88"/>
      <c r="H66" s="165"/>
      <c r="I66" s="88"/>
      <c r="J66" s="88"/>
      <c r="K66" s="71"/>
      <c r="L66" s="74">
        <f t="shared" si="8"/>
        <v>0</v>
      </c>
      <c r="M66" s="686">
        <f t="shared" ref="M66:M94" si="18">G66*H66</f>
        <v>0</v>
      </c>
      <c r="N66" s="686">
        <f t="shared" ref="N66:N94" si="19">IF(G66=0,0,(G66*H66)/L66)</f>
        <v>0</v>
      </c>
      <c r="O66" s="697" t="str">
        <f t="shared" ref="O66:O94" si="20">IF(L66=0,"-",(IF(L66&gt;3000,"-",I66+L66-1)))</f>
        <v>-</v>
      </c>
      <c r="P66" s="686">
        <f t="shared" si="16"/>
        <v>0</v>
      </c>
      <c r="Q66" s="71"/>
      <c r="R66" s="686">
        <f t="shared" si="4"/>
        <v>0</v>
      </c>
      <c r="S66" s="686">
        <f t="shared" si="5"/>
        <v>0</v>
      </c>
      <c r="T66" s="686">
        <f t="shared" si="6"/>
        <v>0</v>
      </c>
      <c r="U66" s="686">
        <f t="shared" si="12"/>
        <v>0</v>
      </c>
      <c r="V66" s="686">
        <f t="shared" si="12"/>
        <v>0</v>
      </c>
      <c r="W66" s="686">
        <f t="shared" si="12"/>
        <v>0</v>
      </c>
      <c r="X66" s="71"/>
      <c r="Y66" s="686">
        <f t="shared" si="17"/>
        <v>0</v>
      </c>
      <c r="Z66" s="686">
        <f t="shared" si="17"/>
        <v>0</v>
      </c>
      <c r="AA66" s="686">
        <f t="shared" si="17"/>
        <v>0</v>
      </c>
      <c r="AB66" s="686">
        <f t="shared" si="17"/>
        <v>0</v>
      </c>
      <c r="AC66" s="686">
        <f t="shared" si="17"/>
        <v>0</v>
      </c>
      <c r="AD66" s="686">
        <f t="shared" si="17"/>
        <v>0</v>
      </c>
      <c r="AE66" s="120"/>
      <c r="AF66" s="50"/>
    </row>
    <row r="67" spans="2:32" x14ac:dyDescent="0.2">
      <c r="B67" s="50"/>
      <c r="C67" s="69"/>
      <c r="D67" s="75"/>
      <c r="E67" s="75"/>
      <c r="F67" s="99"/>
      <c r="G67" s="88"/>
      <c r="H67" s="165"/>
      <c r="I67" s="88"/>
      <c r="J67" s="88"/>
      <c r="K67" s="71"/>
      <c r="L67" s="74">
        <f t="shared" si="8"/>
        <v>0</v>
      </c>
      <c r="M67" s="686">
        <f t="shared" si="18"/>
        <v>0</v>
      </c>
      <c r="N67" s="686">
        <f t="shared" si="19"/>
        <v>0</v>
      </c>
      <c r="O67" s="697" t="str">
        <f t="shared" si="20"/>
        <v>-</v>
      </c>
      <c r="P67" s="686">
        <f t="shared" si="16"/>
        <v>0</v>
      </c>
      <c r="Q67" s="71"/>
      <c r="R67" s="686">
        <f t="shared" ref="R67:R209" si="21">(IF(R$8&lt;$I67,0,IF($O67&lt;=R$8-1,0,$N67)))</f>
        <v>0</v>
      </c>
      <c r="S67" s="686">
        <f t="shared" ref="S67:S209" si="22">(IF(S$8&lt;$I67,0,IF($O67&lt;=S$8-1,0,$N67)))</f>
        <v>0</v>
      </c>
      <c r="T67" s="686">
        <f t="shared" ref="T67:T209" si="23">(IF(T$8&lt;$I67,0,IF($O67&lt;=T$8-1,0,$N67)))</f>
        <v>0</v>
      </c>
      <c r="U67" s="686">
        <f t="shared" ref="U67:W94" si="24">(IF(U$8&lt;$I67,0,IF($O67&lt;=U$8-1,0,$N67)))</f>
        <v>0</v>
      </c>
      <c r="V67" s="686">
        <f t="shared" si="24"/>
        <v>0</v>
      </c>
      <c r="W67" s="686">
        <f t="shared" si="24"/>
        <v>0</v>
      </c>
      <c r="X67" s="71"/>
      <c r="Y67" s="686">
        <f t="shared" ref="Y67:AA92" si="25">IF(Y$8=$I67,($G67*$H67),0)</f>
        <v>0</v>
      </c>
      <c r="Z67" s="686">
        <f t="shared" si="25"/>
        <v>0</v>
      </c>
      <c r="AA67" s="686">
        <f t="shared" si="25"/>
        <v>0</v>
      </c>
      <c r="AB67" s="686">
        <f t="shared" ref="AB67:AD76" si="26">IF(AB$8=$I67,($G67*$H67),0)</f>
        <v>0</v>
      </c>
      <c r="AC67" s="686">
        <f t="shared" si="26"/>
        <v>0</v>
      </c>
      <c r="AD67" s="686">
        <f t="shared" si="26"/>
        <v>0</v>
      </c>
      <c r="AE67" s="120"/>
      <c r="AF67" s="50"/>
    </row>
    <row r="68" spans="2:32" x14ac:dyDescent="0.2">
      <c r="B68" s="50"/>
      <c r="C68" s="69"/>
      <c r="D68" s="75"/>
      <c r="E68" s="75"/>
      <c r="F68" s="99"/>
      <c r="G68" s="88"/>
      <c r="H68" s="165"/>
      <c r="I68" s="88"/>
      <c r="J68" s="88"/>
      <c r="K68" s="71"/>
      <c r="L68" s="74">
        <f t="shared" ref="L68:L94" si="27">IF(J68="geen",9999999999,J68)</f>
        <v>0</v>
      </c>
      <c r="M68" s="686">
        <f t="shared" si="18"/>
        <v>0</v>
      </c>
      <c r="N68" s="686">
        <f t="shared" si="19"/>
        <v>0</v>
      </c>
      <c r="O68" s="697" t="str">
        <f t="shared" si="20"/>
        <v>-</v>
      </c>
      <c r="P68" s="686">
        <f t="shared" si="16"/>
        <v>0</v>
      </c>
      <c r="Q68" s="71"/>
      <c r="R68" s="686">
        <f t="shared" si="21"/>
        <v>0</v>
      </c>
      <c r="S68" s="686">
        <f t="shared" si="22"/>
        <v>0</v>
      </c>
      <c r="T68" s="686">
        <f t="shared" si="23"/>
        <v>0</v>
      </c>
      <c r="U68" s="686">
        <f t="shared" si="24"/>
        <v>0</v>
      </c>
      <c r="V68" s="686">
        <f t="shared" si="24"/>
        <v>0</v>
      </c>
      <c r="W68" s="686">
        <f t="shared" si="24"/>
        <v>0</v>
      </c>
      <c r="X68" s="71"/>
      <c r="Y68" s="686">
        <f t="shared" si="25"/>
        <v>0</v>
      </c>
      <c r="Z68" s="686">
        <f t="shared" si="25"/>
        <v>0</v>
      </c>
      <c r="AA68" s="686">
        <f t="shared" si="25"/>
        <v>0</v>
      </c>
      <c r="AB68" s="686">
        <f t="shared" si="26"/>
        <v>0</v>
      </c>
      <c r="AC68" s="686">
        <f t="shared" si="26"/>
        <v>0</v>
      </c>
      <c r="AD68" s="686">
        <f t="shared" si="26"/>
        <v>0</v>
      </c>
      <c r="AE68" s="120"/>
      <c r="AF68" s="50"/>
    </row>
    <row r="69" spans="2:32" x14ac:dyDescent="0.2">
      <c r="B69" s="50"/>
      <c r="C69" s="69"/>
      <c r="D69" s="75"/>
      <c r="E69" s="75"/>
      <c r="F69" s="99"/>
      <c r="G69" s="88"/>
      <c r="H69" s="165"/>
      <c r="I69" s="88"/>
      <c r="J69" s="88"/>
      <c r="K69" s="71"/>
      <c r="L69" s="74">
        <f t="shared" si="27"/>
        <v>0</v>
      </c>
      <c r="M69" s="686">
        <f t="shared" si="18"/>
        <v>0</v>
      </c>
      <c r="N69" s="686">
        <f t="shared" si="19"/>
        <v>0</v>
      </c>
      <c r="O69" s="697" t="str">
        <f t="shared" si="20"/>
        <v>-</v>
      </c>
      <c r="P69" s="686">
        <f t="shared" si="16"/>
        <v>0</v>
      </c>
      <c r="Q69" s="71"/>
      <c r="R69" s="686">
        <f t="shared" si="21"/>
        <v>0</v>
      </c>
      <c r="S69" s="686">
        <f t="shared" si="22"/>
        <v>0</v>
      </c>
      <c r="T69" s="686">
        <f t="shared" si="23"/>
        <v>0</v>
      </c>
      <c r="U69" s="686">
        <f t="shared" si="24"/>
        <v>0</v>
      </c>
      <c r="V69" s="686">
        <f t="shared" si="24"/>
        <v>0</v>
      </c>
      <c r="W69" s="686">
        <f t="shared" si="24"/>
        <v>0</v>
      </c>
      <c r="X69" s="71"/>
      <c r="Y69" s="686">
        <f t="shared" si="25"/>
        <v>0</v>
      </c>
      <c r="Z69" s="686">
        <f t="shared" si="25"/>
        <v>0</v>
      </c>
      <c r="AA69" s="686">
        <f t="shared" si="25"/>
        <v>0</v>
      </c>
      <c r="AB69" s="686">
        <f t="shared" si="26"/>
        <v>0</v>
      </c>
      <c r="AC69" s="686">
        <f t="shared" si="26"/>
        <v>0</v>
      </c>
      <c r="AD69" s="686">
        <f t="shared" si="26"/>
        <v>0</v>
      </c>
      <c r="AE69" s="120"/>
      <c r="AF69" s="50"/>
    </row>
    <row r="70" spans="2:32" x14ac:dyDescent="0.2">
      <c r="B70" s="50"/>
      <c r="C70" s="69"/>
      <c r="D70" s="75"/>
      <c r="E70" s="75"/>
      <c r="F70" s="99"/>
      <c r="G70" s="88"/>
      <c r="H70" s="165"/>
      <c r="I70" s="88"/>
      <c r="J70" s="88"/>
      <c r="K70" s="71"/>
      <c r="L70" s="74">
        <f t="shared" si="27"/>
        <v>0</v>
      </c>
      <c r="M70" s="686">
        <f t="shared" si="18"/>
        <v>0</v>
      </c>
      <c r="N70" s="686">
        <f t="shared" si="19"/>
        <v>0</v>
      </c>
      <c r="O70" s="697" t="str">
        <f t="shared" si="20"/>
        <v>-</v>
      </c>
      <c r="P70" s="686">
        <f t="shared" si="16"/>
        <v>0</v>
      </c>
      <c r="Q70" s="71"/>
      <c r="R70" s="686">
        <f t="shared" si="21"/>
        <v>0</v>
      </c>
      <c r="S70" s="686">
        <f t="shared" si="22"/>
        <v>0</v>
      </c>
      <c r="T70" s="686">
        <f t="shared" si="23"/>
        <v>0</v>
      </c>
      <c r="U70" s="686">
        <f t="shared" si="24"/>
        <v>0</v>
      </c>
      <c r="V70" s="686">
        <f t="shared" si="24"/>
        <v>0</v>
      </c>
      <c r="W70" s="686">
        <f t="shared" si="24"/>
        <v>0</v>
      </c>
      <c r="X70" s="71"/>
      <c r="Y70" s="686">
        <f t="shared" si="25"/>
        <v>0</v>
      </c>
      <c r="Z70" s="686">
        <f t="shared" si="25"/>
        <v>0</v>
      </c>
      <c r="AA70" s="686">
        <f t="shared" si="25"/>
        <v>0</v>
      </c>
      <c r="AB70" s="686">
        <f t="shared" si="26"/>
        <v>0</v>
      </c>
      <c r="AC70" s="686">
        <f t="shared" si="26"/>
        <v>0</v>
      </c>
      <c r="AD70" s="686">
        <f t="shared" si="26"/>
        <v>0</v>
      </c>
      <c r="AE70" s="120"/>
      <c r="AF70" s="50"/>
    </row>
    <row r="71" spans="2:32" x14ac:dyDescent="0.2">
      <c r="B71" s="50"/>
      <c r="C71" s="69"/>
      <c r="D71" s="75"/>
      <c r="E71" s="75"/>
      <c r="F71" s="99"/>
      <c r="G71" s="88"/>
      <c r="H71" s="165"/>
      <c r="I71" s="88"/>
      <c r="J71" s="88"/>
      <c r="K71" s="71"/>
      <c r="L71" s="74">
        <f t="shared" si="27"/>
        <v>0</v>
      </c>
      <c r="M71" s="686">
        <f t="shared" si="18"/>
        <v>0</v>
      </c>
      <c r="N71" s="686">
        <f t="shared" si="19"/>
        <v>0</v>
      </c>
      <c r="O71" s="697" t="str">
        <f t="shared" si="20"/>
        <v>-</v>
      </c>
      <c r="P71" s="686">
        <f t="shared" si="16"/>
        <v>0</v>
      </c>
      <c r="Q71" s="71"/>
      <c r="R71" s="686">
        <f t="shared" si="21"/>
        <v>0</v>
      </c>
      <c r="S71" s="686">
        <f t="shared" si="22"/>
        <v>0</v>
      </c>
      <c r="T71" s="686">
        <f t="shared" si="23"/>
        <v>0</v>
      </c>
      <c r="U71" s="686">
        <f t="shared" si="24"/>
        <v>0</v>
      </c>
      <c r="V71" s="686">
        <f t="shared" si="24"/>
        <v>0</v>
      </c>
      <c r="W71" s="686">
        <f t="shared" si="24"/>
        <v>0</v>
      </c>
      <c r="X71" s="71"/>
      <c r="Y71" s="686">
        <f t="shared" si="25"/>
        <v>0</v>
      </c>
      <c r="Z71" s="686">
        <f t="shared" si="25"/>
        <v>0</v>
      </c>
      <c r="AA71" s="686">
        <f t="shared" si="25"/>
        <v>0</v>
      </c>
      <c r="AB71" s="686">
        <f t="shared" si="26"/>
        <v>0</v>
      </c>
      <c r="AC71" s="686">
        <f t="shared" si="26"/>
        <v>0</v>
      </c>
      <c r="AD71" s="686">
        <f t="shared" si="26"/>
        <v>0</v>
      </c>
      <c r="AE71" s="120"/>
      <c r="AF71" s="50"/>
    </row>
    <row r="72" spans="2:32" x14ac:dyDescent="0.2">
      <c r="B72" s="50"/>
      <c r="C72" s="69"/>
      <c r="D72" s="75"/>
      <c r="E72" s="75"/>
      <c r="F72" s="99"/>
      <c r="G72" s="88"/>
      <c r="H72" s="165"/>
      <c r="I72" s="88"/>
      <c r="J72" s="88"/>
      <c r="K72" s="71"/>
      <c r="L72" s="74">
        <f t="shared" si="27"/>
        <v>0</v>
      </c>
      <c r="M72" s="686">
        <f t="shared" si="18"/>
        <v>0</v>
      </c>
      <c r="N72" s="686">
        <f t="shared" si="19"/>
        <v>0</v>
      </c>
      <c r="O72" s="697" t="str">
        <f t="shared" si="20"/>
        <v>-</v>
      </c>
      <c r="P72" s="686">
        <f t="shared" si="16"/>
        <v>0</v>
      </c>
      <c r="Q72" s="71"/>
      <c r="R72" s="686">
        <f t="shared" si="21"/>
        <v>0</v>
      </c>
      <c r="S72" s="686">
        <f t="shared" si="22"/>
        <v>0</v>
      </c>
      <c r="T72" s="686">
        <f t="shared" si="23"/>
        <v>0</v>
      </c>
      <c r="U72" s="686">
        <f t="shared" si="24"/>
        <v>0</v>
      </c>
      <c r="V72" s="686">
        <f t="shared" si="24"/>
        <v>0</v>
      </c>
      <c r="W72" s="686">
        <f t="shared" si="24"/>
        <v>0</v>
      </c>
      <c r="X72" s="71"/>
      <c r="Y72" s="686">
        <f t="shared" si="25"/>
        <v>0</v>
      </c>
      <c r="Z72" s="686">
        <f t="shared" si="25"/>
        <v>0</v>
      </c>
      <c r="AA72" s="686">
        <f t="shared" si="25"/>
        <v>0</v>
      </c>
      <c r="AB72" s="686">
        <f t="shared" si="26"/>
        <v>0</v>
      </c>
      <c r="AC72" s="686">
        <f t="shared" si="26"/>
        <v>0</v>
      </c>
      <c r="AD72" s="686">
        <f t="shared" si="26"/>
        <v>0</v>
      </c>
      <c r="AE72" s="120"/>
      <c r="AF72" s="50"/>
    </row>
    <row r="73" spans="2:32" x14ac:dyDescent="0.2">
      <c r="B73" s="50"/>
      <c r="C73" s="69"/>
      <c r="D73" s="75"/>
      <c r="E73" s="75"/>
      <c r="F73" s="99"/>
      <c r="G73" s="88"/>
      <c r="H73" s="165"/>
      <c r="I73" s="88"/>
      <c r="J73" s="88"/>
      <c r="K73" s="71"/>
      <c r="L73" s="74">
        <f t="shared" si="27"/>
        <v>0</v>
      </c>
      <c r="M73" s="686">
        <f t="shared" si="18"/>
        <v>0</v>
      </c>
      <c r="N73" s="686">
        <f t="shared" si="19"/>
        <v>0</v>
      </c>
      <c r="O73" s="697" t="str">
        <f t="shared" si="20"/>
        <v>-</v>
      </c>
      <c r="P73" s="686">
        <f t="shared" si="16"/>
        <v>0</v>
      </c>
      <c r="Q73" s="71"/>
      <c r="R73" s="686">
        <f t="shared" si="21"/>
        <v>0</v>
      </c>
      <c r="S73" s="686">
        <f t="shared" si="22"/>
        <v>0</v>
      </c>
      <c r="T73" s="686">
        <f t="shared" si="23"/>
        <v>0</v>
      </c>
      <c r="U73" s="686">
        <f t="shared" si="24"/>
        <v>0</v>
      </c>
      <c r="V73" s="686">
        <f t="shared" si="24"/>
        <v>0</v>
      </c>
      <c r="W73" s="686">
        <f t="shared" si="24"/>
        <v>0</v>
      </c>
      <c r="X73" s="71"/>
      <c r="Y73" s="686">
        <f t="shared" si="25"/>
        <v>0</v>
      </c>
      <c r="Z73" s="686">
        <f t="shared" si="25"/>
        <v>0</v>
      </c>
      <c r="AA73" s="686">
        <f t="shared" si="25"/>
        <v>0</v>
      </c>
      <c r="AB73" s="686">
        <f t="shared" si="26"/>
        <v>0</v>
      </c>
      <c r="AC73" s="686">
        <f t="shared" si="26"/>
        <v>0</v>
      </c>
      <c r="AD73" s="686">
        <f t="shared" si="26"/>
        <v>0</v>
      </c>
      <c r="AE73" s="120"/>
      <c r="AF73" s="50"/>
    </row>
    <row r="74" spans="2:32" x14ac:dyDescent="0.2">
      <c r="B74" s="50"/>
      <c r="C74" s="69"/>
      <c r="D74" s="75"/>
      <c r="E74" s="75"/>
      <c r="F74" s="99"/>
      <c r="G74" s="88"/>
      <c r="H74" s="165"/>
      <c r="I74" s="88"/>
      <c r="J74" s="88"/>
      <c r="K74" s="71"/>
      <c r="L74" s="74">
        <f t="shared" si="27"/>
        <v>0</v>
      </c>
      <c r="M74" s="686">
        <f t="shared" si="18"/>
        <v>0</v>
      </c>
      <c r="N74" s="686">
        <f t="shared" si="19"/>
        <v>0</v>
      </c>
      <c r="O74" s="697" t="str">
        <f t="shared" si="20"/>
        <v>-</v>
      </c>
      <c r="P74" s="686">
        <f t="shared" si="16"/>
        <v>0</v>
      </c>
      <c r="Q74" s="71"/>
      <c r="R74" s="686">
        <f t="shared" si="21"/>
        <v>0</v>
      </c>
      <c r="S74" s="686">
        <f t="shared" si="22"/>
        <v>0</v>
      </c>
      <c r="T74" s="686">
        <f t="shared" si="23"/>
        <v>0</v>
      </c>
      <c r="U74" s="686">
        <f t="shared" si="24"/>
        <v>0</v>
      </c>
      <c r="V74" s="686">
        <f t="shared" si="24"/>
        <v>0</v>
      </c>
      <c r="W74" s="686">
        <f t="shared" si="24"/>
        <v>0</v>
      </c>
      <c r="X74" s="71"/>
      <c r="Y74" s="686">
        <f t="shared" si="25"/>
        <v>0</v>
      </c>
      <c r="Z74" s="686">
        <f t="shared" si="25"/>
        <v>0</v>
      </c>
      <c r="AA74" s="686">
        <f t="shared" si="25"/>
        <v>0</v>
      </c>
      <c r="AB74" s="686">
        <f t="shared" si="26"/>
        <v>0</v>
      </c>
      <c r="AC74" s="686">
        <f t="shared" si="26"/>
        <v>0</v>
      </c>
      <c r="AD74" s="686">
        <f t="shared" si="26"/>
        <v>0</v>
      </c>
      <c r="AE74" s="120"/>
      <c r="AF74" s="50"/>
    </row>
    <row r="75" spans="2:32" x14ac:dyDescent="0.2">
      <c r="B75" s="50"/>
      <c r="C75" s="69"/>
      <c r="D75" s="75"/>
      <c r="E75" s="75"/>
      <c r="F75" s="99"/>
      <c r="G75" s="88"/>
      <c r="H75" s="165"/>
      <c r="I75" s="88"/>
      <c r="J75" s="88"/>
      <c r="K75" s="71"/>
      <c r="L75" s="74">
        <f t="shared" si="27"/>
        <v>0</v>
      </c>
      <c r="M75" s="686">
        <f t="shared" si="18"/>
        <v>0</v>
      </c>
      <c r="N75" s="686">
        <f t="shared" si="19"/>
        <v>0</v>
      </c>
      <c r="O75" s="697" t="str">
        <f t="shared" si="20"/>
        <v>-</v>
      </c>
      <c r="P75" s="686">
        <f t="shared" si="16"/>
        <v>0</v>
      </c>
      <c r="Q75" s="71"/>
      <c r="R75" s="686">
        <f t="shared" si="21"/>
        <v>0</v>
      </c>
      <c r="S75" s="686">
        <f t="shared" si="22"/>
        <v>0</v>
      </c>
      <c r="T75" s="686">
        <f t="shared" si="23"/>
        <v>0</v>
      </c>
      <c r="U75" s="686">
        <f t="shared" si="24"/>
        <v>0</v>
      </c>
      <c r="V75" s="686">
        <f t="shared" si="24"/>
        <v>0</v>
      </c>
      <c r="W75" s="686">
        <f t="shared" si="24"/>
        <v>0</v>
      </c>
      <c r="X75" s="71"/>
      <c r="Y75" s="686">
        <f t="shared" si="25"/>
        <v>0</v>
      </c>
      <c r="Z75" s="686">
        <f t="shared" si="25"/>
        <v>0</v>
      </c>
      <c r="AA75" s="686">
        <f t="shared" si="25"/>
        <v>0</v>
      </c>
      <c r="AB75" s="686">
        <f t="shared" si="26"/>
        <v>0</v>
      </c>
      <c r="AC75" s="686">
        <f t="shared" si="26"/>
        <v>0</v>
      </c>
      <c r="AD75" s="686">
        <f t="shared" si="26"/>
        <v>0</v>
      </c>
      <c r="AE75" s="120"/>
      <c r="AF75" s="50"/>
    </row>
    <row r="76" spans="2:32" x14ac:dyDescent="0.2">
      <c r="B76" s="50"/>
      <c r="C76" s="69"/>
      <c r="D76" s="75"/>
      <c r="E76" s="75"/>
      <c r="F76" s="99"/>
      <c r="G76" s="88"/>
      <c r="H76" s="165"/>
      <c r="I76" s="88"/>
      <c r="J76" s="88"/>
      <c r="K76" s="71"/>
      <c r="L76" s="74">
        <f t="shared" si="27"/>
        <v>0</v>
      </c>
      <c r="M76" s="686">
        <f t="shared" si="18"/>
        <v>0</v>
      </c>
      <c r="N76" s="686">
        <f t="shared" si="19"/>
        <v>0</v>
      </c>
      <c r="O76" s="697" t="str">
        <f t="shared" si="20"/>
        <v>-</v>
      </c>
      <c r="P76" s="686">
        <f t="shared" si="16"/>
        <v>0</v>
      </c>
      <c r="Q76" s="71"/>
      <c r="R76" s="686">
        <f t="shared" si="21"/>
        <v>0</v>
      </c>
      <c r="S76" s="686">
        <f t="shared" si="22"/>
        <v>0</v>
      </c>
      <c r="T76" s="686">
        <f t="shared" si="23"/>
        <v>0</v>
      </c>
      <c r="U76" s="686">
        <f t="shared" si="24"/>
        <v>0</v>
      </c>
      <c r="V76" s="686">
        <f t="shared" si="24"/>
        <v>0</v>
      </c>
      <c r="W76" s="686">
        <f t="shared" si="24"/>
        <v>0</v>
      </c>
      <c r="X76" s="71"/>
      <c r="Y76" s="686">
        <f t="shared" si="25"/>
        <v>0</v>
      </c>
      <c r="Z76" s="686">
        <f t="shared" si="25"/>
        <v>0</v>
      </c>
      <c r="AA76" s="686">
        <f t="shared" si="25"/>
        <v>0</v>
      </c>
      <c r="AB76" s="686">
        <f t="shared" si="26"/>
        <v>0</v>
      </c>
      <c r="AC76" s="686">
        <f t="shared" si="26"/>
        <v>0</v>
      </c>
      <c r="AD76" s="686">
        <f t="shared" si="26"/>
        <v>0</v>
      </c>
      <c r="AE76" s="120"/>
      <c r="AF76" s="50"/>
    </row>
    <row r="77" spans="2:32" x14ac:dyDescent="0.2">
      <c r="B77" s="50"/>
      <c r="C77" s="69"/>
      <c r="D77" s="75"/>
      <c r="E77" s="75"/>
      <c r="F77" s="99"/>
      <c r="G77" s="88"/>
      <c r="H77" s="165"/>
      <c r="I77" s="88"/>
      <c r="J77" s="88"/>
      <c r="K77" s="71"/>
      <c r="L77" s="74">
        <f t="shared" si="27"/>
        <v>0</v>
      </c>
      <c r="M77" s="686">
        <f t="shared" si="18"/>
        <v>0</v>
      </c>
      <c r="N77" s="686">
        <f t="shared" si="19"/>
        <v>0</v>
      </c>
      <c r="O77" s="697" t="str">
        <f t="shared" si="20"/>
        <v>-</v>
      </c>
      <c r="P77" s="686">
        <f t="shared" si="16"/>
        <v>0</v>
      </c>
      <c r="Q77" s="71"/>
      <c r="R77" s="686">
        <f t="shared" si="21"/>
        <v>0</v>
      </c>
      <c r="S77" s="686">
        <f t="shared" si="22"/>
        <v>0</v>
      </c>
      <c r="T77" s="686">
        <f t="shared" si="23"/>
        <v>0</v>
      </c>
      <c r="U77" s="686">
        <f t="shared" si="24"/>
        <v>0</v>
      </c>
      <c r="V77" s="686">
        <f t="shared" si="24"/>
        <v>0</v>
      </c>
      <c r="W77" s="686">
        <f t="shared" si="24"/>
        <v>0</v>
      </c>
      <c r="X77" s="71"/>
      <c r="Y77" s="686">
        <f t="shared" si="25"/>
        <v>0</v>
      </c>
      <c r="Z77" s="686">
        <f t="shared" si="25"/>
        <v>0</v>
      </c>
      <c r="AA77" s="686">
        <f t="shared" si="25"/>
        <v>0</v>
      </c>
      <c r="AB77" s="686">
        <f t="shared" ref="AB77:AD92" si="28">IF(AB$8=$I77,($G77*$H77),0)</f>
        <v>0</v>
      </c>
      <c r="AC77" s="686">
        <f t="shared" si="28"/>
        <v>0</v>
      </c>
      <c r="AD77" s="686">
        <f t="shared" si="28"/>
        <v>0</v>
      </c>
      <c r="AE77" s="120"/>
      <c r="AF77" s="50"/>
    </row>
    <row r="78" spans="2:32" x14ac:dyDescent="0.2">
      <c r="B78" s="50"/>
      <c r="C78" s="69"/>
      <c r="D78" s="75"/>
      <c r="E78" s="75"/>
      <c r="F78" s="99"/>
      <c r="G78" s="88"/>
      <c r="H78" s="165"/>
      <c r="I78" s="88"/>
      <c r="J78" s="88"/>
      <c r="K78" s="71"/>
      <c r="L78" s="74">
        <f t="shared" si="27"/>
        <v>0</v>
      </c>
      <c r="M78" s="686">
        <f t="shared" si="18"/>
        <v>0</v>
      </c>
      <c r="N78" s="686">
        <f t="shared" si="19"/>
        <v>0</v>
      </c>
      <c r="O78" s="697" t="str">
        <f t="shared" si="20"/>
        <v>-</v>
      </c>
      <c r="P78" s="686">
        <f t="shared" ref="P78:P109" si="29">IF(J78="geen",IF(I78&lt;$R$8,G78*H78,0),IF(I78&gt;=$R$8,0,IF((H78*G78-(R$8-I78)*N78)&lt;0,0,H78*G78-(R$8-I78)*N78)))</f>
        <v>0</v>
      </c>
      <c r="Q78" s="71"/>
      <c r="R78" s="686">
        <f t="shared" si="21"/>
        <v>0</v>
      </c>
      <c r="S78" s="686">
        <f t="shared" si="22"/>
        <v>0</v>
      </c>
      <c r="T78" s="686">
        <f t="shared" si="23"/>
        <v>0</v>
      </c>
      <c r="U78" s="686">
        <f t="shared" si="24"/>
        <v>0</v>
      </c>
      <c r="V78" s="686">
        <f t="shared" si="24"/>
        <v>0</v>
      </c>
      <c r="W78" s="686">
        <f t="shared" si="24"/>
        <v>0</v>
      </c>
      <c r="X78" s="71"/>
      <c r="Y78" s="686">
        <f t="shared" si="25"/>
        <v>0</v>
      </c>
      <c r="Z78" s="686">
        <f t="shared" si="25"/>
        <v>0</v>
      </c>
      <c r="AA78" s="686">
        <f t="shared" si="25"/>
        <v>0</v>
      </c>
      <c r="AB78" s="686">
        <f t="shared" si="28"/>
        <v>0</v>
      </c>
      <c r="AC78" s="686">
        <f t="shared" si="28"/>
        <v>0</v>
      </c>
      <c r="AD78" s="686">
        <f t="shared" si="28"/>
        <v>0</v>
      </c>
      <c r="AE78" s="120"/>
      <c r="AF78" s="50"/>
    </row>
    <row r="79" spans="2:32" x14ac:dyDescent="0.2">
      <c r="B79" s="50"/>
      <c r="C79" s="69"/>
      <c r="D79" s="75"/>
      <c r="E79" s="75"/>
      <c r="F79" s="99"/>
      <c r="G79" s="88"/>
      <c r="H79" s="165"/>
      <c r="I79" s="88"/>
      <c r="J79" s="88"/>
      <c r="K79" s="71"/>
      <c r="L79" s="74">
        <f t="shared" si="27"/>
        <v>0</v>
      </c>
      <c r="M79" s="686">
        <f t="shared" si="18"/>
        <v>0</v>
      </c>
      <c r="N79" s="686">
        <f t="shared" si="19"/>
        <v>0</v>
      </c>
      <c r="O79" s="697" t="str">
        <f t="shared" si="20"/>
        <v>-</v>
      </c>
      <c r="P79" s="686">
        <f t="shared" si="29"/>
        <v>0</v>
      </c>
      <c r="Q79" s="71"/>
      <c r="R79" s="686">
        <f t="shared" si="21"/>
        <v>0</v>
      </c>
      <c r="S79" s="686">
        <f t="shared" si="22"/>
        <v>0</v>
      </c>
      <c r="T79" s="686">
        <f t="shared" si="23"/>
        <v>0</v>
      </c>
      <c r="U79" s="686">
        <f t="shared" si="24"/>
        <v>0</v>
      </c>
      <c r="V79" s="686">
        <f t="shared" si="24"/>
        <v>0</v>
      </c>
      <c r="W79" s="686">
        <f t="shared" si="24"/>
        <v>0</v>
      </c>
      <c r="X79" s="71"/>
      <c r="Y79" s="686">
        <f t="shared" si="25"/>
        <v>0</v>
      </c>
      <c r="Z79" s="686">
        <f t="shared" si="25"/>
        <v>0</v>
      </c>
      <c r="AA79" s="686">
        <f t="shared" si="25"/>
        <v>0</v>
      </c>
      <c r="AB79" s="686">
        <f t="shared" si="28"/>
        <v>0</v>
      </c>
      <c r="AC79" s="686">
        <f t="shared" si="28"/>
        <v>0</v>
      </c>
      <c r="AD79" s="686">
        <f t="shared" si="28"/>
        <v>0</v>
      </c>
      <c r="AE79" s="120"/>
      <c r="AF79" s="50"/>
    </row>
    <row r="80" spans="2:32" x14ac:dyDescent="0.2">
      <c r="B80" s="50"/>
      <c r="C80" s="69"/>
      <c r="D80" s="75"/>
      <c r="E80" s="75"/>
      <c r="F80" s="99"/>
      <c r="G80" s="88"/>
      <c r="H80" s="165"/>
      <c r="I80" s="88"/>
      <c r="J80" s="88"/>
      <c r="K80" s="71"/>
      <c r="L80" s="74">
        <f t="shared" si="27"/>
        <v>0</v>
      </c>
      <c r="M80" s="686">
        <f t="shared" si="18"/>
        <v>0</v>
      </c>
      <c r="N80" s="686">
        <f t="shared" si="19"/>
        <v>0</v>
      </c>
      <c r="O80" s="697" t="str">
        <f t="shared" si="20"/>
        <v>-</v>
      </c>
      <c r="P80" s="686">
        <f t="shared" si="29"/>
        <v>0</v>
      </c>
      <c r="Q80" s="71"/>
      <c r="R80" s="686">
        <f t="shared" si="21"/>
        <v>0</v>
      </c>
      <c r="S80" s="686">
        <f t="shared" si="22"/>
        <v>0</v>
      </c>
      <c r="T80" s="686">
        <f t="shared" si="23"/>
        <v>0</v>
      </c>
      <c r="U80" s="686">
        <f t="shared" si="24"/>
        <v>0</v>
      </c>
      <c r="V80" s="686">
        <f t="shared" si="24"/>
        <v>0</v>
      </c>
      <c r="W80" s="686">
        <f t="shared" si="24"/>
        <v>0</v>
      </c>
      <c r="X80" s="71"/>
      <c r="Y80" s="686">
        <f t="shared" si="25"/>
        <v>0</v>
      </c>
      <c r="Z80" s="686">
        <f t="shared" si="25"/>
        <v>0</v>
      </c>
      <c r="AA80" s="686">
        <f t="shared" si="25"/>
        <v>0</v>
      </c>
      <c r="AB80" s="686">
        <f t="shared" si="28"/>
        <v>0</v>
      </c>
      <c r="AC80" s="686">
        <f t="shared" si="28"/>
        <v>0</v>
      </c>
      <c r="AD80" s="686">
        <f t="shared" si="28"/>
        <v>0</v>
      </c>
      <c r="AE80" s="120"/>
      <c r="AF80" s="50"/>
    </row>
    <row r="81" spans="2:32" x14ac:dyDescent="0.2">
      <c r="B81" s="50"/>
      <c r="C81" s="69"/>
      <c r="D81" s="75"/>
      <c r="E81" s="75"/>
      <c r="F81" s="99"/>
      <c r="G81" s="88"/>
      <c r="H81" s="165"/>
      <c r="I81" s="88"/>
      <c r="J81" s="88"/>
      <c r="K81" s="71"/>
      <c r="L81" s="74">
        <f t="shared" ref="L81:L87" si="30">IF(J81="geen",9999999999,J81)</f>
        <v>0</v>
      </c>
      <c r="M81" s="686">
        <f t="shared" ref="M81:M87" si="31">G81*H81</f>
        <v>0</v>
      </c>
      <c r="N81" s="686">
        <f t="shared" ref="N81:N87" si="32">IF(G81=0,0,(G81*H81)/L81)</f>
        <v>0</v>
      </c>
      <c r="O81" s="697" t="str">
        <f t="shared" ref="O81:O86" si="33">IF(L81=0,"-",(IF(L81&gt;3000,"-",I81+L81-1)))</f>
        <v>-</v>
      </c>
      <c r="P81" s="686">
        <f t="shared" si="29"/>
        <v>0</v>
      </c>
      <c r="Q81" s="71"/>
      <c r="R81" s="686">
        <f t="shared" si="21"/>
        <v>0</v>
      </c>
      <c r="S81" s="686">
        <f t="shared" si="22"/>
        <v>0</v>
      </c>
      <c r="T81" s="686">
        <f t="shared" si="23"/>
        <v>0</v>
      </c>
      <c r="U81" s="686">
        <f t="shared" si="24"/>
        <v>0</v>
      </c>
      <c r="V81" s="686">
        <f t="shared" si="24"/>
        <v>0</v>
      </c>
      <c r="W81" s="686">
        <f t="shared" si="24"/>
        <v>0</v>
      </c>
      <c r="X81" s="71"/>
      <c r="Y81" s="686">
        <f t="shared" si="25"/>
        <v>0</v>
      </c>
      <c r="Z81" s="686">
        <f t="shared" si="25"/>
        <v>0</v>
      </c>
      <c r="AA81" s="686">
        <f t="shared" si="25"/>
        <v>0</v>
      </c>
      <c r="AB81" s="686">
        <f t="shared" si="28"/>
        <v>0</v>
      </c>
      <c r="AC81" s="686">
        <f t="shared" si="28"/>
        <v>0</v>
      </c>
      <c r="AD81" s="686">
        <f t="shared" si="28"/>
        <v>0</v>
      </c>
      <c r="AE81" s="120"/>
      <c r="AF81" s="50"/>
    </row>
    <row r="82" spans="2:32" x14ac:dyDescent="0.2">
      <c r="B82" s="50"/>
      <c r="C82" s="69"/>
      <c r="D82" s="75"/>
      <c r="E82" s="75"/>
      <c r="F82" s="99"/>
      <c r="G82" s="88"/>
      <c r="H82" s="165"/>
      <c r="I82" s="88"/>
      <c r="J82" s="88"/>
      <c r="K82" s="71"/>
      <c r="L82" s="74">
        <f t="shared" si="30"/>
        <v>0</v>
      </c>
      <c r="M82" s="686">
        <f t="shared" si="31"/>
        <v>0</v>
      </c>
      <c r="N82" s="686">
        <f t="shared" si="32"/>
        <v>0</v>
      </c>
      <c r="O82" s="697" t="str">
        <f t="shared" si="33"/>
        <v>-</v>
      </c>
      <c r="P82" s="686">
        <f t="shared" si="29"/>
        <v>0</v>
      </c>
      <c r="Q82" s="71"/>
      <c r="R82" s="686">
        <f t="shared" si="21"/>
        <v>0</v>
      </c>
      <c r="S82" s="686">
        <f t="shared" si="22"/>
        <v>0</v>
      </c>
      <c r="T82" s="686">
        <f t="shared" si="23"/>
        <v>0</v>
      </c>
      <c r="U82" s="686">
        <f t="shared" si="24"/>
        <v>0</v>
      </c>
      <c r="V82" s="686">
        <f t="shared" si="24"/>
        <v>0</v>
      </c>
      <c r="W82" s="686">
        <f t="shared" si="24"/>
        <v>0</v>
      </c>
      <c r="X82" s="71"/>
      <c r="Y82" s="686">
        <f t="shared" si="25"/>
        <v>0</v>
      </c>
      <c r="Z82" s="686">
        <f t="shared" si="25"/>
        <v>0</v>
      </c>
      <c r="AA82" s="686">
        <f t="shared" si="25"/>
        <v>0</v>
      </c>
      <c r="AB82" s="686">
        <f t="shared" si="28"/>
        <v>0</v>
      </c>
      <c r="AC82" s="686">
        <f t="shared" si="28"/>
        <v>0</v>
      </c>
      <c r="AD82" s="686">
        <f t="shared" si="28"/>
        <v>0</v>
      </c>
      <c r="AE82" s="120"/>
      <c r="AF82" s="50"/>
    </row>
    <row r="83" spans="2:32" x14ac:dyDescent="0.2">
      <c r="B83" s="50"/>
      <c r="C83" s="69"/>
      <c r="D83" s="75"/>
      <c r="E83" s="75"/>
      <c r="F83" s="99"/>
      <c r="G83" s="88"/>
      <c r="H83" s="165"/>
      <c r="I83" s="88"/>
      <c r="J83" s="88"/>
      <c r="K83" s="71"/>
      <c r="L83" s="74">
        <f t="shared" si="30"/>
        <v>0</v>
      </c>
      <c r="M83" s="686">
        <f t="shared" si="31"/>
        <v>0</v>
      </c>
      <c r="N83" s="686">
        <f t="shared" si="32"/>
        <v>0</v>
      </c>
      <c r="O83" s="697" t="str">
        <f t="shared" si="33"/>
        <v>-</v>
      </c>
      <c r="P83" s="686">
        <f t="shared" si="29"/>
        <v>0</v>
      </c>
      <c r="Q83" s="71"/>
      <c r="R83" s="686">
        <f t="shared" si="21"/>
        <v>0</v>
      </c>
      <c r="S83" s="686">
        <f t="shared" si="22"/>
        <v>0</v>
      </c>
      <c r="T83" s="686">
        <f t="shared" si="23"/>
        <v>0</v>
      </c>
      <c r="U83" s="686">
        <f t="shared" si="24"/>
        <v>0</v>
      </c>
      <c r="V83" s="686">
        <f t="shared" si="24"/>
        <v>0</v>
      </c>
      <c r="W83" s="686">
        <f t="shared" si="24"/>
        <v>0</v>
      </c>
      <c r="X83" s="71"/>
      <c r="Y83" s="686">
        <f t="shared" si="25"/>
        <v>0</v>
      </c>
      <c r="Z83" s="686">
        <f t="shared" si="25"/>
        <v>0</v>
      </c>
      <c r="AA83" s="686">
        <f t="shared" si="25"/>
        <v>0</v>
      </c>
      <c r="AB83" s="686">
        <f t="shared" si="28"/>
        <v>0</v>
      </c>
      <c r="AC83" s="686">
        <f t="shared" si="28"/>
        <v>0</v>
      </c>
      <c r="AD83" s="686">
        <f t="shared" si="28"/>
        <v>0</v>
      </c>
      <c r="AE83" s="120"/>
      <c r="AF83" s="50"/>
    </row>
    <row r="84" spans="2:32" x14ac:dyDescent="0.2">
      <c r="B84" s="50"/>
      <c r="C84" s="69"/>
      <c r="D84" s="75"/>
      <c r="E84" s="75"/>
      <c r="F84" s="99"/>
      <c r="G84" s="88"/>
      <c r="H84" s="165"/>
      <c r="I84" s="88"/>
      <c r="J84" s="88"/>
      <c r="K84" s="71"/>
      <c r="L84" s="74">
        <f t="shared" si="30"/>
        <v>0</v>
      </c>
      <c r="M84" s="686">
        <f t="shared" si="31"/>
        <v>0</v>
      </c>
      <c r="N84" s="686">
        <f t="shared" si="32"/>
        <v>0</v>
      </c>
      <c r="O84" s="697" t="str">
        <f t="shared" si="33"/>
        <v>-</v>
      </c>
      <c r="P84" s="686">
        <f t="shared" si="29"/>
        <v>0</v>
      </c>
      <c r="Q84" s="71"/>
      <c r="R84" s="686">
        <f t="shared" si="21"/>
        <v>0</v>
      </c>
      <c r="S84" s="686">
        <f t="shared" si="22"/>
        <v>0</v>
      </c>
      <c r="T84" s="686">
        <f t="shared" si="23"/>
        <v>0</v>
      </c>
      <c r="U84" s="686">
        <f t="shared" si="24"/>
        <v>0</v>
      </c>
      <c r="V84" s="686">
        <f t="shared" si="24"/>
        <v>0</v>
      </c>
      <c r="W84" s="686">
        <f t="shared" si="24"/>
        <v>0</v>
      </c>
      <c r="X84" s="71"/>
      <c r="Y84" s="686">
        <f t="shared" si="25"/>
        <v>0</v>
      </c>
      <c r="Z84" s="686">
        <f t="shared" si="25"/>
        <v>0</v>
      </c>
      <c r="AA84" s="686">
        <f t="shared" si="25"/>
        <v>0</v>
      </c>
      <c r="AB84" s="686">
        <f t="shared" si="28"/>
        <v>0</v>
      </c>
      <c r="AC84" s="686">
        <f t="shared" si="28"/>
        <v>0</v>
      </c>
      <c r="AD84" s="686">
        <f t="shared" si="28"/>
        <v>0</v>
      </c>
      <c r="AE84" s="120"/>
      <c r="AF84" s="50"/>
    </row>
    <row r="85" spans="2:32" x14ac:dyDescent="0.2">
      <c r="B85" s="50"/>
      <c r="C85" s="69"/>
      <c r="D85" s="75"/>
      <c r="E85" s="75"/>
      <c r="F85" s="99"/>
      <c r="G85" s="88"/>
      <c r="H85" s="165"/>
      <c r="I85" s="88"/>
      <c r="J85" s="88"/>
      <c r="K85" s="71"/>
      <c r="L85" s="74">
        <f t="shared" si="30"/>
        <v>0</v>
      </c>
      <c r="M85" s="686">
        <f t="shared" si="31"/>
        <v>0</v>
      </c>
      <c r="N85" s="686">
        <f t="shared" si="32"/>
        <v>0</v>
      </c>
      <c r="O85" s="697" t="str">
        <f t="shared" si="33"/>
        <v>-</v>
      </c>
      <c r="P85" s="686">
        <f t="shared" si="29"/>
        <v>0</v>
      </c>
      <c r="Q85" s="71"/>
      <c r="R85" s="686">
        <f t="shared" si="21"/>
        <v>0</v>
      </c>
      <c r="S85" s="686">
        <f t="shared" si="22"/>
        <v>0</v>
      </c>
      <c r="T85" s="686">
        <f t="shared" si="23"/>
        <v>0</v>
      </c>
      <c r="U85" s="686">
        <f t="shared" si="24"/>
        <v>0</v>
      </c>
      <c r="V85" s="686">
        <f t="shared" si="24"/>
        <v>0</v>
      </c>
      <c r="W85" s="686">
        <f t="shared" si="24"/>
        <v>0</v>
      </c>
      <c r="X85" s="71"/>
      <c r="Y85" s="686">
        <f t="shared" si="25"/>
        <v>0</v>
      </c>
      <c r="Z85" s="686">
        <f t="shared" si="25"/>
        <v>0</v>
      </c>
      <c r="AA85" s="686">
        <f t="shared" si="25"/>
        <v>0</v>
      </c>
      <c r="AB85" s="686">
        <f t="shared" si="28"/>
        <v>0</v>
      </c>
      <c r="AC85" s="686">
        <f t="shared" si="28"/>
        <v>0</v>
      </c>
      <c r="AD85" s="686">
        <f t="shared" si="28"/>
        <v>0</v>
      </c>
      <c r="AE85" s="120"/>
      <c r="AF85" s="50"/>
    </row>
    <row r="86" spans="2:32" x14ac:dyDescent="0.2">
      <c r="B86" s="50"/>
      <c r="C86" s="69"/>
      <c r="D86" s="75"/>
      <c r="E86" s="75"/>
      <c r="F86" s="99"/>
      <c r="G86" s="88"/>
      <c r="H86" s="165"/>
      <c r="I86" s="88"/>
      <c r="J86" s="88"/>
      <c r="K86" s="71"/>
      <c r="L86" s="74">
        <f t="shared" si="30"/>
        <v>0</v>
      </c>
      <c r="M86" s="686">
        <f t="shared" si="31"/>
        <v>0</v>
      </c>
      <c r="N86" s="686">
        <f t="shared" si="32"/>
        <v>0</v>
      </c>
      <c r="O86" s="697" t="str">
        <f t="shared" si="33"/>
        <v>-</v>
      </c>
      <c r="P86" s="686">
        <f t="shared" si="29"/>
        <v>0</v>
      </c>
      <c r="Q86" s="71"/>
      <c r="R86" s="686">
        <f t="shared" si="21"/>
        <v>0</v>
      </c>
      <c r="S86" s="686">
        <f t="shared" si="22"/>
        <v>0</v>
      </c>
      <c r="T86" s="686">
        <f t="shared" si="23"/>
        <v>0</v>
      </c>
      <c r="U86" s="686">
        <f t="shared" si="24"/>
        <v>0</v>
      </c>
      <c r="V86" s="686">
        <f t="shared" si="24"/>
        <v>0</v>
      </c>
      <c r="W86" s="686">
        <f t="shared" si="24"/>
        <v>0</v>
      </c>
      <c r="X86" s="71"/>
      <c r="Y86" s="686">
        <f t="shared" si="25"/>
        <v>0</v>
      </c>
      <c r="Z86" s="686">
        <f t="shared" si="25"/>
        <v>0</v>
      </c>
      <c r="AA86" s="686">
        <f t="shared" si="25"/>
        <v>0</v>
      </c>
      <c r="AB86" s="686">
        <f t="shared" si="28"/>
        <v>0</v>
      </c>
      <c r="AC86" s="686">
        <f t="shared" si="28"/>
        <v>0</v>
      </c>
      <c r="AD86" s="686">
        <f t="shared" si="28"/>
        <v>0</v>
      </c>
      <c r="AE86" s="120"/>
      <c r="AF86" s="50"/>
    </row>
    <row r="87" spans="2:32" x14ac:dyDescent="0.2">
      <c r="B87" s="50"/>
      <c r="C87" s="69"/>
      <c r="D87" s="75"/>
      <c r="E87" s="75"/>
      <c r="F87" s="99"/>
      <c r="G87" s="88"/>
      <c r="H87" s="165"/>
      <c r="I87" s="88"/>
      <c r="J87" s="88"/>
      <c r="K87" s="71"/>
      <c r="L87" s="74">
        <f t="shared" si="30"/>
        <v>0</v>
      </c>
      <c r="M87" s="686">
        <f t="shared" si="31"/>
        <v>0</v>
      </c>
      <c r="N87" s="686">
        <f t="shared" si="32"/>
        <v>0</v>
      </c>
      <c r="O87" s="697" t="str">
        <f>IF(L87=0,"-",(IF(L87&gt;3000,"-",I87+L87-1)))</f>
        <v>-</v>
      </c>
      <c r="P87" s="686">
        <f t="shared" si="29"/>
        <v>0</v>
      </c>
      <c r="Q87" s="71"/>
      <c r="R87" s="686">
        <f t="shared" si="21"/>
        <v>0</v>
      </c>
      <c r="S87" s="686">
        <f t="shared" si="22"/>
        <v>0</v>
      </c>
      <c r="T87" s="686">
        <f t="shared" si="23"/>
        <v>0</v>
      </c>
      <c r="U87" s="686">
        <f t="shared" si="24"/>
        <v>0</v>
      </c>
      <c r="V87" s="686">
        <f t="shared" si="24"/>
        <v>0</v>
      </c>
      <c r="W87" s="686">
        <f t="shared" si="24"/>
        <v>0</v>
      </c>
      <c r="X87" s="71"/>
      <c r="Y87" s="686">
        <f t="shared" si="25"/>
        <v>0</v>
      </c>
      <c r="Z87" s="686">
        <f t="shared" si="25"/>
        <v>0</v>
      </c>
      <c r="AA87" s="686">
        <f t="shared" si="25"/>
        <v>0</v>
      </c>
      <c r="AB87" s="686">
        <f t="shared" si="28"/>
        <v>0</v>
      </c>
      <c r="AC87" s="686">
        <f t="shared" si="28"/>
        <v>0</v>
      </c>
      <c r="AD87" s="686">
        <f t="shared" si="28"/>
        <v>0</v>
      </c>
      <c r="AE87" s="120"/>
      <c r="AF87" s="50"/>
    </row>
    <row r="88" spans="2:32" x14ac:dyDescent="0.2">
      <c r="B88" s="50"/>
      <c r="C88" s="69"/>
      <c r="D88" s="75"/>
      <c r="E88" s="75"/>
      <c r="F88" s="99"/>
      <c r="G88" s="88"/>
      <c r="H88" s="165"/>
      <c r="I88" s="88"/>
      <c r="J88" s="88"/>
      <c r="K88" s="71"/>
      <c r="L88" s="74">
        <f t="shared" si="27"/>
        <v>0</v>
      </c>
      <c r="M88" s="686">
        <f t="shared" si="18"/>
        <v>0</v>
      </c>
      <c r="N88" s="686">
        <f t="shared" si="19"/>
        <v>0</v>
      </c>
      <c r="O88" s="697" t="str">
        <f t="shared" si="20"/>
        <v>-</v>
      </c>
      <c r="P88" s="686">
        <f t="shared" si="29"/>
        <v>0</v>
      </c>
      <c r="Q88" s="71"/>
      <c r="R88" s="686">
        <f t="shared" si="21"/>
        <v>0</v>
      </c>
      <c r="S88" s="686">
        <f t="shared" si="22"/>
        <v>0</v>
      </c>
      <c r="T88" s="686">
        <f t="shared" si="23"/>
        <v>0</v>
      </c>
      <c r="U88" s="686">
        <f t="shared" si="24"/>
        <v>0</v>
      </c>
      <c r="V88" s="686">
        <f t="shared" si="24"/>
        <v>0</v>
      </c>
      <c r="W88" s="686">
        <f t="shared" si="24"/>
        <v>0</v>
      </c>
      <c r="X88" s="71"/>
      <c r="Y88" s="686">
        <f t="shared" si="25"/>
        <v>0</v>
      </c>
      <c r="Z88" s="686">
        <f t="shared" si="25"/>
        <v>0</v>
      </c>
      <c r="AA88" s="686">
        <f t="shared" si="25"/>
        <v>0</v>
      </c>
      <c r="AB88" s="686">
        <f t="shared" si="28"/>
        <v>0</v>
      </c>
      <c r="AC88" s="686">
        <f t="shared" si="28"/>
        <v>0</v>
      </c>
      <c r="AD88" s="686">
        <f t="shared" si="28"/>
        <v>0</v>
      </c>
      <c r="AE88" s="120"/>
      <c r="AF88" s="50"/>
    </row>
    <row r="89" spans="2:32" x14ac:dyDescent="0.2">
      <c r="B89" s="50"/>
      <c r="C89" s="69"/>
      <c r="D89" s="75"/>
      <c r="E89" s="75"/>
      <c r="F89" s="99"/>
      <c r="G89" s="88"/>
      <c r="H89" s="165"/>
      <c r="I89" s="88"/>
      <c r="J89" s="88"/>
      <c r="K89" s="71"/>
      <c r="L89" s="74">
        <f t="shared" si="27"/>
        <v>0</v>
      </c>
      <c r="M89" s="686">
        <f t="shared" si="18"/>
        <v>0</v>
      </c>
      <c r="N89" s="686">
        <f t="shared" si="19"/>
        <v>0</v>
      </c>
      <c r="O89" s="697" t="str">
        <f t="shared" si="20"/>
        <v>-</v>
      </c>
      <c r="P89" s="686">
        <f t="shared" si="29"/>
        <v>0</v>
      </c>
      <c r="Q89" s="71"/>
      <c r="R89" s="686">
        <f t="shared" si="21"/>
        <v>0</v>
      </c>
      <c r="S89" s="686">
        <f t="shared" si="22"/>
        <v>0</v>
      </c>
      <c r="T89" s="686">
        <f t="shared" si="23"/>
        <v>0</v>
      </c>
      <c r="U89" s="686">
        <f t="shared" si="24"/>
        <v>0</v>
      </c>
      <c r="V89" s="686">
        <f t="shared" si="24"/>
        <v>0</v>
      </c>
      <c r="W89" s="686">
        <f t="shared" si="24"/>
        <v>0</v>
      </c>
      <c r="X89" s="71"/>
      <c r="Y89" s="686">
        <f t="shared" si="25"/>
        <v>0</v>
      </c>
      <c r="Z89" s="686">
        <f t="shared" si="25"/>
        <v>0</v>
      </c>
      <c r="AA89" s="686">
        <f t="shared" si="25"/>
        <v>0</v>
      </c>
      <c r="AB89" s="686">
        <f t="shared" si="28"/>
        <v>0</v>
      </c>
      <c r="AC89" s="686">
        <f t="shared" si="28"/>
        <v>0</v>
      </c>
      <c r="AD89" s="686">
        <f t="shared" si="28"/>
        <v>0</v>
      </c>
      <c r="AE89" s="120"/>
      <c r="AF89" s="50"/>
    </row>
    <row r="90" spans="2:32" x14ac:dyDescent="0.2">
      <c r="B90" s="50"/>
      <c r="C90" s="69"/>
      <c r="D90" s="75"/>
      <c r="E90" s="75"/>
      <c r="F90" s="99"/>
      <c r="G90" s="88"/>
      <c r="H90" s="165"/>
      <c r="I90" s="88"/>
      <c r="J90" s="88"/>
      <c r="K90" s="71"/>
      <c r="L90" s="74">
        <f t="shared" si="27"/>
        <v>0</v>
      </c>
      <c r="M90" s="686">
        <f t="shared" si="18"/>
        <v>0</v>
      </c>
      <c r="N90" s="686">
        <f t="shared" si="19"/>
        <v>0</v>
      </c>
      <c r="O90" s="697" t="str">
        <f t="shared" si="20"/>
        <v>-</v>
      </c>
      <c r="P90" s="686">
        <f t="shared" si="29"/>
        <v>0</v>
      </c>
      <c r="Q90" s="71"/>
      <c r="R90" s="686">
        <f t="shared" si="21"/>
        <v>0</v>
      </c>
      <c r="S90" s="686">
        <f t="shared" si="22"/>
        <v>0</v>
      </c>
      <c r="T90" s="686">
        <f t="shared" si="23"/>
        <v>0</v>
      </c>
      <c r="U90" s="686">
        <f t="shared" si="24"/>
        <v>0</v>
      </c>
      <c r="V90" s="686">
        <f t="shared" si="24"/>
        <v>0</v>
      </c>
      <c r="W90" s="686">
        <f t="shared" si="24"/>
        <v>0</v>
      </c>
      <c r="X90" s="71"/>
      <c r="Y90" s="686">
        <f t="shared" si="25"/>
        <v>0</v>
      </c>
      <c r="Z90" s="686">
        <f t="shared" si="25"/>
        <v>0</v>
      </c>
      <c r="AA90" s="686">
        <f t="shared" si="25"/>
        <v>0</v>
      </c>
      <c r="AB90" s="686">
        <f t="shared" si="28"/>
        <v>0</v>
      </c>
      <c r="AC90" s="686">
        <f t="shared" si="28"/>
        <v>0</v>
      </c>
      <c r="AD90" s="686">
        <f t="shared" si="28"/>
        <v>0</v>
      </c>
      <c r="AE90" s="120"/>
      <c r="AF90" s="50"/>
    </row>
    <row r="91" spans="2:32" x14ac:dyDescent="0.2">
      <c r="B91" s="50"/>
      <c r="C91" s="69"/>
      <c r="D91" s="75"/>
      <c r="E91" s="75"/>
      <c r="F91" s="99"/>
      <c r="G91" s="88"/>
      <c r="H91" s="165"/>
      <c r="I91" s="88"/>
      <c r="J91" s="88"/>
      <c r="K91" s="71"/>
      <c r="L91" s="74">
        <f t="shared" si="27"/>
        <v>0</v>
      </c>
      <c r="M91" s="686">
        <f t="shared" si="18"/>
        <v>0</v>
      </c>
      <c r="N91" s="686">
        <f t="shared" si="19"/>
        <v>0</v>
      </c>
      <c r="O91" s="697" t="str">
        <f t="shared" si="20"/>
        <v>-</v>
      </c>
      <c r="P91" s="686">
        <f t="shared" si="29"/>
        <v>0</v>
      </c>
      <c r="Q91" s="71"/>
      <c r="R91" s="686">
        <f t="shared" si="21"/>
        <v>0</v>
      </c>
      <c r="S91" s="686">
        <f t="shared" si="22"/>
        <v>0</v>
      </c>
      <c r="T91" s="686">
        <f t="shared" si="23"/>
        <v>0</v>
      </c>
      <c r="U91" s="686">
        <f t="shared" si="24"/>
        <v>0</v>
      </c>
      <c r="V91" s="686">
        <f t="shared" si="24"/>
        <v>0</v>
      </c>
      <c r="W91" s="686">
        <f t="shared" si="24"/>
        <v>0</v>
      </c>
      <c r="X91" s="71"/>
      <c r="Y91" s="686">
        <f t="shared" ref="Y91:AA108" si="34">IF(Y$8=$I91,($G91*$H91),0)</f>
        <v>0</v>
      </c>
      <c r="Z91" s="686">
        <f t="shared" si="34"/>
        <v>0</v>
      </c>
      <c r="AA91" s="686">
        <f t="shared" si="34"/>
        <v>0</v>
      </c>
      <c r="AB91" s="686">
        <f t="shared" ref="AB91:AD99" si="35">IF(AB$8=$I91,($G91*$H91),0)</f>
        <v>0</v>
      </c>
      <c r="AC91" s="686">
        <f t="shared" si="35"/>
        <v>0</v>
      </c>
      <c r="AD91" s="686">
        <f t="shared" si="35"/>
        <v>0</v>
      </c>
      <c r="AE91" s="120"/>
      <c r="AF91" s="50"/>
    </row>
    <row r="92" spans="2:32" x14ac:dyDescent="0.2">
      <c r="B92" s="50"/>
      <c r="C92" s="69"/>
      <c r="D92" s="75"/>
      <c r="E92" s="75"/>
      <c r="F92" s="99"/>
      <c r="G92" s="88"/>
      <c r="H92" s="165"/>
      <c r="I92" s="88"/>
      <c r="J92" s="88"/>
      <c r="K92" s="71"/>
      <c r="L92" s="74">
        <f>IF(J92="geen",9999999999,J92)</f>
        <v>0</v>
      </c>
      <c r="M92" s="686">
        <f>G92*H92</f>
        <v>0</v>
      </c>
      <c r="N92" s="686">
        <f>IF(G92=0,0,(G92*H92)/L92)</f>
        <v>0</v>
      </c>
      <c r="O92" s="697" t="str">
        <f>IF(L92=0,"-",(IF(L92&gt;3000,"-",I92+L92-1)))</f>
        <v>-</v>
      </c>
      <c r="P92" s="686">
        <f t="shared" si="29"/>
        <v>0</v>
      </c>
      <c r="Q92" s="71"/>
      <c r="R92" s="686">
        <f t="shared" si="21"/>
        <v>0</v>
      </c>
      <c r="S92" s="686">
        <f t="shared" si="22"/>
        <v>0</v>
      </c>
      <c r="T92" s="686">
        <f t="shared" si="23"/>
        <v>0</v>
      </c>
      <c r="U92" s="686">
        <f t="shared" si="24"/>
        <v>0</v>
      </c>
      <c r="V92" s="686">
        <f t="shared" si="24"/>
        <v>0</v>
      </c>
      <c r="W92" s="686">
        <f t="shared" si="24"/>
        <v>0</v>
      </c>
      <c r="X92" s="71"/>
      <c r="Y92" s="686">
        <f t="shared" si="25"/>
        <v>0</v>
      </c>
      <c r="Z92" s="686">
        <f t="shared" si="25"/>
        <v>0</v>
      </c>
      <c r="AA92" s="686">
        <f t="shared" si="25"/>
        <v>0</v>
      </c>
      <c r="AB92" s="686">
        <f t="shared" si="28"/>
        <v>0</v>
      </c>
      <c r="AC92" s="686">
        <f t="shared" si="28"/>
        <v>0</v>
      </c>
      <c r="AD92" s="686">
        <f t="shared" si="28"/>
        <v>0</v>
      </c>
      <c r="AE92" s="120"/>
      <c r="AF92" s="50"/>
    </row>
    <row r="93" spans="2:32" x14ac:dyDescent="0.2">
      <c r="B93" s="50"/>
      <c r="C93" s="69"/>
      <c r="D93" s="75"/>
      <c r="E93" s="75"/>
      <c r="F93" s="99"/>
      <c r="G93" s="88"/>
      <c r="H93" s="165"/>
      <c r="I93" s="88"/>
      <c r="J93" s="88"/>
      <c r="K93" s="71"/>
      <c r="L93" s="74">
        <f t="shared" si="27"/>
        <v>0</v>
      </c>
      <c r="M93" s="686">
        <f t="shared" si="18"/>
        <v>0</v>
      </c>
      <c r="N93" s="686">
        <f t="shared" si="19"/>
        <v>0</v>
      </c>
      <c r="O93" s="697" t="str">
        <f t="shared" si="20"/>
        <v>-</v>
      </c>
      <c r="P93" s="686">
        <f t="shared" si="29"/>
        <v>0</v>
      </c>
      <c r="Q93" s="71"/>
      <c r="R93" s="686">
        <f t="shared" si="21"/>
        <v>0</v>
      </c>
      <c r="S93" s="686">
        <f t="shared" si="22"/>
        <v>0</v>
      </c>
      <c r="T93" s="686">
        <f t="shared" si="23"/>
        <v>0</v>
      </c>
      <c r="U93" s="686">
        <f t="shared" si="24"/>
        <v>0</v>
      </c>
      <c r="V93" s="686">
        <f t="shared" si="24"/>
        <v>0</v>
      </c>
      <c r="W93" s="686">
        <f t="shared" si="24"/>
        <v>0</v>
      </c>
      <c r="X93" s="71"/>
      <c r="Y93" s="686">
        <f t="shared" si="34"/>
        <v>0</v>
      </c>
      <c r="Z93" s="686">
        <f t="shared" si="34"/>
        <v>0</v>
      </c>
      <c r="AA93" s="686">
        <f t="shared" si="34"/>
        <v>0</v>
      </c>
      <c r="AB93" s="686">
        <f t="shared" si="35"/>
        <v>0</v>
      </c>
      <c r="AC93" s="686">
        <f t="shared" si="35"/>
        <v>0</v>
      </c>
      <c r="AD93" s="686">
        <f t="shared" si="35"/>
        <v>0</v>
      </c>
      <c r="AE93" s="120"/>
      <c r="AF93" s="50"/>
    </row>
    <row r="94" spans="2:32" x14ac:dyDescent="0.2">
      <c r="B94" s="50"/>
      <c r="C94" s="69"/>
      <c r="D94" s="75"/>
      <c r="E94" s="75"/>
      <c r="F94" s="99"/>
      <c r="G94" s="88"/>
      <c r="H94" s="165"/>
      <c r="I94" s="88"/>
      <c r="J94" s="88"/>
      <c r="K94" s="71"/>
      <c r="L94" s="74">
        <f t="shared" si="27"/>
        <v>0</v>
      </c>
      <c r="M94" s="686">
        <f t="shared" si="18"/>
        <v>0</v>
      </c>
      <c r="N94" s="686">
        <f t="shared" si="19"/>
        <v>0</v>
      </c>
      <c r="O94" s="697" t="str">
        <f t="shared" si="20"/>
        <v>-</v>
      </c>
      <c r="P94" s="686">
        <f t="shared" si="29"/>
        <v>0</v>
      </c>
      <c r="Q94" s="71"/>
      <c r="R94" s="686">
        <f t="shared" si="21"/>
        <v>0</v>
      </c>
      <c r="S94" s="686">
        <f t="shared" si="22"/>
        <v>0</v>
      </c>
      <c r="T94" s="686">
        <f t="shared" si="23"/>
        <v>0</v>
      </c>
      <c r="U94" s="686">
        <f t="shared" si="24"/>
        <v>0</v>
      </c>
      <c r="V94" s="686">
        <f t="shared" si="24"/>
        <v>0</v>
      </c>
      <c r="W94" s="686">
        <f t="shared" si="24"/>
        <v>0</v>
      </c>
      <c r="X94" s="71"/>
      <c r="Y94" s="686">
        <f t="shared" si="34"/>
        <v>0</v>
      </c>
      <c r="Z94" s="686">
        <f t="shared" si="34"/>
        <v>0</v>
      </c>
      <c r="AA94" s="686">
        <f t="shared" si="34"/>
        <v>0</v>
      </c>
      <c r="AB94" s="686">
        <f t="shared" si="35"/>
        <v>0</v>
      </c>
      <c r="AC94" s="686">
        <f t="shared" si="35"/>
        <v>0</v>
      </c>
      <c r="AD94" s="686">
        <f t="shared" si="35"/>
        <v>0</v>
      </c>
      <c r="AE94" s="120"/>
      <c r="AF94" s="50"/>
    </row>
    <row r="95" spans="2:32" x14ac:dyDescent="0.2">
      <c r="B95" s="50"/>
      <c r="C95" s="69"/>
      <c r="D95" s="75"/>
      <c r="E95" s="75"/>
      <c r="F95" s="99"/>
      <c r="G95" s="88"/>
      <c r="H95" s="165"/>
      <c r="I95" s="88"/>
      <c r="J95" s="88"/>
      <c r="K95" s="71"/>
      <c r="L95" s="74">
        <f t="shared" ref="L95:L126" si="36">IF(J95="geen",9999999999,J95)</f>
        <v>0</v>
      </c>
      <c r="M95" s="686">
        <f t="shared" ref="M95:M126" si="37">G95*H95</f>
        <v>0</v>
      </c>
      <c r="N95" s="686">
        <f t="shared" ref="N95:N126" si="38">IF(G95=0,0,(G95*H95)/L95)</f>
        <v>0</v>
      </c>
      <c r="O95" s="697" t="str">
        <f t="shared" ref="O95:O126" si="39">IF(L95=0,"-",(IF(L95&gt;3000,"-",I95+L95-1)))</f>
        <v>-</v>
      </c>
      <c r="P95" s="686">
        <f t="shared" si="29"/>
        <v>0</v>
      </c>
      <c r="Q95" s="71"/>
      <c r="R95" s="686">
        <f t="shared" si="21"/>
        <v>0</v>
      </c>
      <c r="S95" s="686">
        <f t="shared" si="22"/>
        <v>0</v>
      </c>
      <c r="T95" s="686">
        <f t="shared" si="23"/>
        <v>0</v>
      </c>
      <c r="U95" s="686">
        <f>(IF(U$8&lt;$I95,0,IF($O95&lt;=U$8-1,0,$N95)))</f>
        <v>0</v>
      </c>
      <c r="V95" s="686">
        <f>(IF(V$8&lt;$I95,0,IF($O95&lt;=V$8-1,0,$N95)))</f>
        <v>0</v>
      </c>
      <c r="W95" s="686">
        <f>(IF(W$8&lt;$I95,0,IF($O95&lt;=W$8-1,0,$N95)))</f>
        <v>0</v>
      </c>
      <c r="X95" s="71"/>
      <c r="Y95" s="686">
        <f t="shared" si="34"/>
        <v>0</v>
      </c>
      <c r="Z95" s="686">
        <f t="shared" si="34"/>
        <v>0</v>
      </c>
      <c r="AA95" s="686">
        <f t="shared" si="34"/>
        <v>0</v>
      </c>
      <c r="AB95" s="686">
        <f t="shared" si="35"/>
        <v>0</v>
      </c>
      <c r="AC95" s="686">
        <f t="shared" si="35"/>
        <v>0</v>
      </c>
      <c r="AD95" s="686">
        <f t="shared" si="35"/>
        <v>0</v>
      </c>
      <c r="AE95" s="120"/>
      <c r="AF95" s="50"/>
    </row>
    <row r="96" spans="2:32" x14ac:dyDescent="0.2">
      <c r="B96" s="50"/>
      <c r="C96" s="69"/>
      <c r="D96" s="75"/>
      <c r="E96" s="75"/>
      <c r="F96" s="99"/>
      <c r="G96" s="88"/>
      <c r="H96" s="165"/>
      <c r="I96" s="88"/>
      <c r="J96" s="88"/>
      <c r="K96" s="71"/>
      <c r="L96" s="74">
        <f t="shared" si="36"/>
        <v>0</v>
      </c>
      <c r="M96" s="686">
        <f t="shared" si="37"/>
        <v>0</v>
      </c>
      <c r="N96" s="686">
        <f t="shared" si="38"/>
        <v>0</v>
      </c>
      <c r="O96" s="697" t="str">
        <f t="shared" si="39"/>
        <v>-</v>
      </c>
      <c r="P96" s="686">
        <f t="shared" si="29"/>
        <v>0</v>
      </c>
      <c r="Q96" s="71"/>
      <c r="R96" s="686">
        <f t="shared" si="21"/>
        <v>0</v>
      </c>
      <c r="S96" s="686">
        <f t="shared" si="22"/>
        <v>0</v>
      </c>
      <c r="T96" s="686">
        <f t="shared" si="23"/>
        <v>0</v>
      </c>
      <c r="U96" s="686">
        <f t="shared" ref="U96:W209" si="40">(IF(U$8&lt;$I96,0,IF($O96&lt;=U$8-1,0,$N96)))</f>
        <v>0</v>
      </c>
      <c r="V96" s="686">
        <f t="shared" si="40"/>
        <v>0</v>
      </c>
      <c r="W96" s="686">
        <f t="shared" si="40"/>
        <v>0</v>
      </c>
      <c r="X96" s="71"/>
      <c r="Y96" s="686">
        <f t="shared" si="34"/>
        <v>0</v>
      </c>
      <c r="Z96" s="686">
        <f t="shared" si="34"/>
        <v>0</v>
      </c>
      <c r="AA96" s="686">
        <f t="shared" si="34"/>
        <v>0</v>
      </c>
      <c r="AB96" s="686">
        <f t="shared" si="35"/>
        <v>0</v>
      </c>
      <c r="AC96" s="686">
        <f t="shared" si="35"/>
        <v>0</v>
      </c>
      <c r="AD96" s="686">
        <f t="shared" si="35"/>
        <v>0</v>
      </c>
      <c r="AE96" s="120"/>
      <c r="AF96" s="50"/>
    </row>
    <row r="97" spans="2:32" x14ac:dyDescent="0.2">
      <c r="B97" s="50"/>
      <c r="C97" s="69"/>
      <c r="D97" s="75"/>
      <c r="E97" s="75"/>
      <c r="F97" s="99"/>
      <c r="G97" s="88"/>
      <c r="H97" s="165"/>
      <c r="I97" s="88"/>
      <c r="J97" s="88"/>
      <c r="K97" s="71"/>
      <c r="L97" s="74">
        <f t="shared" si="36"/>
        <v>0</v>
      </c>
      <c r="M97" s="686">
        <f t="shared" si="37"/>
        <v>0</v>
      </c>
      <c r="N97" s="686">
        <f t="shared" si="38"/>
        <v>0</v>
      </c>
      <c r="O97" s="697" t="str">
        <f t="shared" si="39"/>
        <v>-</v>
      </c>
      <c r="P97" s="686">
        <f t="shared" si="29"/>
        <v>0</v>
      </c>
      <c r="Q97" s="71"/>
      <c r="R97" s="686">
        <f t="shared" si="21"/>
        <v>0</v>
      </c>
      <c r="S97" s="686">
        <f t="shared" si="22"/>
        <v>0</v>
      </c>
      <c r="T97" s="686">
        <f t="shared" si="23"/>
        <v>0</v>
      </c>
      <c r="U97" s="686">
        <f t="shared" si="40"/>
        <v>0</v>
      </c>
      <c r="V97" s="686">
        <f t="shared" si="40"/>
        <v>0</v>
      </c>
      <c r="W97" s="686">
        <f t="shared" si="40"/>
        <v>0</v>
      </c>
      <c r="X97" s="71"/>
      <c r="Y97" s="686">
        <f t="shared" si="34"/>
        <v>0</v>
      </c>
      <c r="Z97" s="686">
        <f t="shared" si="34"/>
        <v>0</v>
      </c>
      <c r="AA97" s="686">
        <f t="shared" si="34"/>
        <v>0</v>
      </c>
      <c r="AB97" s="686">
        <f t="shared" si="35"/>
        <v>0</v>
      </c>
      <c r="AC97" s="686">
        <f t="shared" si="35"/>
        <v>0</v>
      </c>
      <c r="AD97" s="686">
        <f t="shared" si="35"/>
        <v>0</v>
      </c>
      <c r="AE97" s="120"/>
      <c r="AF97" s="50"/>
    </row>
    <row r="98" spans="2:32" x14ac:dyDescent="0.2">
      <c r="B98" s="50"/>
      <c r="C98" s="69"/>
      <c r="D98" s="75"/>
      <c r="E98" s="75"/>
      <c r="F98" s="99"/>
      <c r="G98" s="88"/>
      <c r="H98" s="165"/>
      <c r="I98" s="88"/>
      <c r="J98" s="88"/>
      <c r="K98" s="71"/>
      <c r="L98" s="74">
        <f t="shared" si="36"/>
        <v>0</v>
      </c>
      <c r="M98" s="686">
        <f t="shared" si="37"/>
        <v>0</v>
      </c>
      <c r="N98" s="686">
        <f t="shared" si="38"/>
        <v>0</v>
      </c>
      <c r="O98" s="697" t="str">
        <f t="shared" si="39"/>
        <v>-</v>
      </c>
      <c r="P98" s="686">
        <f t="shared" si="29"/>
        <v>0</v>
      </c>
      <c r="Q98" s="71"/>
      <c r="R98" s="686">
        <f t="shared" si="21"/>
        <v>0</v>
      </c>
      <c r="S98" s="686">
        <f t="shared" si="22"/>
        <v>0</v>
      </c>
      <c r="T98" s="686">
        <f t="shared" si="23"/>
        <v>0</v>
      </c>
      <c r="U98" s="686">
        <f t="shared" si="40"/>
        <v>0</v>
      </c>
      <c r="V98" s="686">
        <f t="shared" si="40"/>
        <v>0</v>
      </c>
      <c r="W98" s="686">
        <f t="shared" si="40"/>
        <v>0</v>
      </c>
      <c r="X98" s="71"/>
      <c r="Y98" s="686">
        <f t="shared" si="34"/>
        <v>0</v>
      </c>
      <c r="Z98" s="686">
        <f t="shared" si="34"/>
        <v>0</v>
      </c>
      <c r="AA98" s="686">
        <f t="shared" si="34"/>
        <v>0</v>
      </c>
      <c r="AB98" s="686">
        <f t="shared" si="35"/>
        <v>0</v>
      </c>
      <c r="AC98" s="686">
        <f t="shared" si="35"/>
        <v>0</v>
      </c>
      <c r="AD98" s="686">
        <f t="shared" si="35"/>
        <v>0</v>
      </c>
      <c r="AE98" s="120"/>
      <c r="AF98" s="50"/>
    </row>
    <row r="99" spans="2:32" x14ac:dyDescent="0.2">
      <c r="B99" s="50"/>
      <c r="C99" s="69"/>
      <c r="D99" s="75"/>
      <c r="E99" s="75"/>
      <c r="F99" s="99"/>
      <c r="G99" s="88"/>
      <c r="H99" s="165"/>
      <c r="I99" s="88"/>
      <c r="J99" s="88"/>
      <c r="K99" s="71"/>
      <c r="L99" s="74">
        <f t="shared" si="36"/>
        <v>0</v>
      </c>
      <c r="M99" s="686">
        <f t="shared" si="37"/>
        <v>0</v>
      </c>
      <c r="N99" s="686">
        <f t="shared" si="38"/>
        <v>0</v>
      </c>
      <c r="O99" s="697" t="str">
        <f t="shared" si="39"/>
        <v>-</v>
      </c>
      <c r="P99" s="686">
        <f t="shared" si="29"/>
        <v>0</v>
      </c>
      <c r="Q99" s="71"/>
      <c r="R99" s="686">
        <f t="shared" si="21"/>
        <v>0</v>
      </c>
      <c r="S99" s="686">
        <f t="shared" si="22"/>
        <v>0</v>
      </c>
      <c r="T99" s="686">
        <f t="shared" si="23"/>
        <v>0</v>
      </c>
      <c r="U99" s="686">
        <f t="shared" si="40"/>
        <v>0</v>
      </c>
      <c r="V99" s="686">
        <f t="shared" si="40"/>
        <v>0</v>
      </c>
      <c r="W99" s="686">
        <f t="shared" si="40"/>
        <v>0</v>
      </c>
      <c r="X99" s="71"/>
      <c r="Y99" s="686">
        <f t="shared" si="34"/>
        <v>0</v>
      </c>
      <c r="Z99" s="686">
        <f t="shared" si="34"/>
        <v>0</v>
      </c>
      <c r="AA99" s="686">
        <f t="shared" si="34"/>
        <v>0</v>
      </c>
      <c r="AB99" s="686">
        <f t="shared" si="35"/>
        <v>0</v>
      </c>
      <c r="AC99" s="686">
        <f t="shared" si="35"/>
        <v>0</v>
      </c>
      <c r="AD99" s="686">
        <f t="shared" si="35"/>
        <v>0</v>
      </c>
      <c r="AE99" s="120"/>
      <c r="AF99" s="50"/>
    </row>
    <row r="100" spans="2:32" x14ac:dyDescent="0.2">
      <c r="B100" s="50"/>
      <c r="C100" s="69"/>
      <c r="D100" s="75"/>
      <c r="E100" s="75"/>
      <c r="F100" s="99"/>
      <c r="G100" s="88"/>
      <c r="H100" s="165"/>
      <c r="I100" s="88"/>
      <c r="J100" s="88"/>
      <c r="K100" s="71"/>
      <c r="L100" s="74">
        <f t="shared" si="36"/>
        <v>0</v>
      </c>
      <c r="M100" s="686">
        <f t="shared" si="37"/>
        <v>0</v>
      </c>
      <c r="N100" s="686">
        <f t="shared" si="38"/>
        <v>0</v>
      </c>
      <c r="O100" s="697" t="str">
        <f t="shared" si="39"/>
        <v>-</v>
      </c>
      <c r="P100" s="686">
        <f t="shared" si="29"/>
        <v>0</v>
      </c>
      <c r="Q100" s="71"/>
      <c r="R100" s="686">
        <f t="shared" si="21"/>
        <v>0</v>
      </c>
      <c r="S100" s="686">
        <f t="shared" si="22"/>
        <v>0</v>
      </c>
      <c r="T100" s="686">
        <f t="shared" si="23"/>
        <v>0</v>
      </c>
      <c r="U100" s="686">
        <f t="shared" si="40"/>
        <v>0</v>
      </c>
      <c r="V100" s="686">
        <f t="shared" si="40"/>
        <v>0</v>
      </c>
      <c r="W100" s="686">
        <f t="shared" si="40"/>
        <v>0</v>
      </c>
      <c r="X100" s="71"/>
      <c r="Y100" s="686">
        <f t="shared" si="34"/>
        <v>0</v>
      </c>
      <c r="Z100" s="686">
        <f t="shared" si="34"/>
        <v>0</v>
      </c>
      <c r="AA100" s="686">
        <f t="shared" si="34"/>
        <v>0</v>
      </c>
      <c r="AB100" s="686">
        <f t="shared" ref="AB100:AD109" si="41">IF(AB$8=$I100,($G100*$H100),0)</f>
        <v>0</v>
      </c>
      <c r="AC100" s="686">
        <f t="shared" si="41"/>
        <v>0</v>
      </c>
      <c r="AD100" s="686">
        <f t="shared" si="41"/>
        <v>0</v>
      </c>
      <c r="AE100" s="120"/>
      <c r="AF100" s="50"/>
    </row>
    <row r="101" spans="2:32" x14ac:dyDescent="0.2">
      <c r="B101" s="50"/>
      <c r="C101" s="69"/>
      <c r="D101" s="75"/>
      <c r="E101" s="75"/>
      <c r="F101" s="99"/>
      <c r="G101" s="88"/>
      <c r="H101" s="165"/>
      <c r="I101" s="88"/>
      <c r="J101" s="88"/>
      <c r="K101" s="71"/>
      <c r="L101" s="74">
        <f t="shared" si="36"/>
        <v>0</v>
      </c>
      <c r="M101" s="686">
        <f t="shared" si="37"/>
        <v>0</v>
      </c>
      <c r="N101" s="686">
        <f t="shared" si="38"/>
        <v>0</v>
      </c>
      <c r="O101" s="697" t="str">
        <f t="shared" si="39"/>
        <v>-</v>
      </c>
      <c r="P101" s="686">
        <f t="shared" si="29"/>
        <v>0</v>
      </c>
      <c r="Q101" s="71"/>
      <c r="R101" s="686">
        <f t="shared" si="21"/>
        <v>0</v>
      </c>
      <c r="S101" s="686">
        <f t="shared" si="22"/>
        <v>0</v>
      </c>
      <c r="T101" s="686">
        <f t="shared" si="23"/>
        <v>0</v>
      </c>
      <c r="U101" s="686">
        <f t="shared" si="40"/>
        <v>0</v>
      </c>
      <c r="V101" s="686">
        <f t="shared" si="40"/>
        <v>0</v>
      </c>
      <c r="W101" s="686">
        <f t="shared" si="40"/>
        <v>0</v>
      </c>
      <c r="X101" s="71"/>
      <c r="Y101" s="686">
        <f t="shared" si="34"/>
        <v>0</v>
      </c>
      <c r="Z101" s="686">
        <f t="shared" si="34"/>
        <v>0</v>
      </c>
      <c r="AA101" s="686">
        <f t="shared" si="34"/>
        <v>0</v>
      </c>
      <c r="AB101" s="686">
        <f t="shared" si="41"/>
        <v>0</v>
      </c>
      <c r="AC101" s="686">
        <f t="shared" si="41"/>
        <v>0</v>
      </c>
      <c r="AD101" s="686">
        <f t="shared" si="41"/>
        <v>0</v>
      </c>
      <c r="AE101" s="120"/>
      <c r="AF101" s="50"/>
    </row>
    <row r="102" spans="2:32" x14ac:dyDescent="0.2">
      <c r="B102" s="50"/>
      <c r="C102" s="69"/>
      <c r="D102" s="75"/>
      <c r="E102" s="75"/>
      <c r="F102" s="99"/>
      <c r="G102" s="88"/>
      <c r="H102" s="165"/>
      <c r="I102" s="88"/>
      <c r="J102" s="88"/>
      <c r="K102" s="71"/>
      <c r="L102" s="74">
        <f t="shared" si="36"/>
        <v>0</v>
      </c>
      <c r="M102" s="686">
        <f t="shared" si="37"/>
        <v>0</v>
      </c>
      <c r="N102" s="686">
        <f t="shared" si="38"/>
        <v>0</v>
      </c>
      <c r="O102" s="697" t="str">
        <f t="shared" si="39"/>
        <v>-</v>
      </c>
      <c r="P102" s="686">
        <f t="shared" si="29"/>
        <v>0</v>
      </c>
      <c r="Q102" s="71"/>
      <c r="R102" s="686">
        <f t="shared" si="21"/>
        <v>0</v>
      </c>
      <c r="S102" s="686">
        <f t="shared" si="22"/>
        <v>0</v>
      </c>
      <c r="T102" s="686">
        <f t="shared" si="23"/>
        <v>0</v>
      </c>
      <c r="U102" s="686">
        <f t="shared" si="40"/>
        <v>0</v>
      </c>
      <c r="V102" s="686">
        <f t="shared" si="40"/>
        <v>0</v>
      </c>
      <c r="W102" s="686">
        <f t="shared" si="40"/>
        <v>0</v>
      </c>
      <c r="X102" s="71"/>
      <c r="Y102" s="686">
        <f t="shared" si="34"/>
        <v>0</v>
      </c>
      <c r="Z102" s="686">
        <f t="shared" si="34"/>
        <v>0</v>
      </c>
      <c r="AA102" s="686">
        <f t="shared" si="34"/>
        <v>0</v>
      </c>
      <c r="AB102" s="686">
        <f t="shared" si="41"/>
        <v>0</v>
      </c>
      <c r="AC102" s="686">
        <f t="shared" si="41"/>
        <v>0</v>
      </c>
      <c r="AD102" s="686">
        <f t="shared" si="41"/>
        <v>0</v>
      </c>
      <c r="AE102" s="120"/>
      <c r="AF102" s="50"/>
    </row>
    <row r="103" spans="2:32" x14ac:dyDescent="0.2">
      <c r="B103" s="50"/>
      <c r="C103" s="69"/>
      <c r="D103" s="75"/>
      <c r="E103" s="75"/>
      <c r="F103" s="99"/>
      <c r="G103" s="88"/>
      <c r="H103" s="165"/>
      <c r="I103" s="88"/>
      <c r="J103" s="88"/>
      <c r="K103" s="71"/>
      <c r="L103" s="74">
        <f t="shared" si="36"/>
        <v>0</v>
      </c>
      <c r="M103" s="686">
        <f t="shared" si="37"/>
        <v>0</v>
      </c>
      <c r="N103" s="686">
        <f t="shared" si="38"/>
        <v>0</v>
      </c>
      <c r="O103" s="697" t="str">
        <f t="shared" si="39"/>
        <v>-</v>
      </c>
      <c r="P103" s="686">
        <f t="shared" si="29"/>
        <v>0</v>
      </c>
      <c r="Q103" s="71"/>
      <c r="R103" s="686">
        <f t="shared" si="21"/>
        <v>0</v>
      </c>
      <c r="S103" s="686">
        <f t="shared" si="22"/>
        <v>0</v>
      </c>
      <c r="T103" s="686">
        <f t="shared" si="23"/>
        <v>0</v>
      </c>
      <c r="U103" s="686">
        <f t="shared" si="40"/>
        <v>0</v>
      </c>
      <c r="V103" s="686">
        <f t="shared" si="40"/>
        <v>0</v>
      </c>
      <c r="W103" s="686">
        <f t="shared" si="40"/>
        <v>0</v>
      </c>
      <c r="X103" s="71"/>
      <c r="Y103" s="686">
        <f t="shared" si="34"/>
        <v>0</v>
      </c>
      <c r="Z103" s="686">
        <f t="shared" si="34"/>
        <v>0</v>
      </c>
      <c r="AA103" s="686">
        <f t="shared" si="34"/>
        <v>0</v>
      </c>
      <c r="AB103" s="686">
        <f t="shared" si="41"/>
        <v>0</v>
      </c>
      <c r="AC103" s="686">
        <f t="shared" si="41"/>
        <v>0</v>
      </c>
      <c r="AD103" s="686">
        <f t="shared" si="41"/>
        <v>0</v>
      </c>
      <c r="AE103" s="120"/>
      <c r="AF103" s="50"/>
    </row>
    <row r="104" spans="2:32" x14ac:dyDescent="0.2">
      <c r="B104" s="50"/>
      <c r="C104" s="69"/>
      <c r="D104" s="75"/>
      <c r="E104" s="75"/>
      <c r="F104" s="99"/>
      <c r="G104" s="88"/>
      <c r="H104" s="165"/>
      <c r="I104" s="88"/>
      <c r="J104" s="88"/>
      <c r="K104" s="71"/>
      <c r="L104" s="74">
        <f t="shared" si="36"/>
        <v>0</v>
      </c>
      <c r="M104" s="686">
        <f t="shared" si="37"/>
        <v>0</v>
      </c>
      <c r="N104" s="686">
        <f t="shared" si="38"/>
        <v>0</v>
      </c>
      <c r="O104" s="697" t="str">
        <f t="shared" si="39"/>
        <v>-</v>
      </c>
      <c r="P104" s="686">
        <f t="shared" si="29"/>
        <v>0</v>
      </c>
      <c r="Q104" s="71"/>
      <c r="R104" s="686">
        <f t="shared" si="21"/>
        <v>0</v>
      </c>
      <c r="S104" s="686">
        <f t="shared" si="22"/>
        <v>0</v>
      </c>
      <c r="T104" s="686">
        <f t="shared" si="23"/>
        <v>0</v>
      </c>
      <c r="U104" s="686">
        <f t="shared" si="40"/>
        <v>0</v>
      </c>
      <c r="V104" s="686">
        <f t="shared" si="40"/>
        <v>0</v>
      </c>
      <c r="W104" s="686">
        <f t="shared" si="40"/>
        <v>0</v>
      </c>
      <c r="X104" s="71"/>
      <c r="Y104" s="686">
        <f t="shared" si="34"/>
        <v>0</v>
      </c>
      <c r="Z104" s="686">
        <f t="shared" si="34"/>
        <v>0</v>
      </c>
      <c r="AA104" s="686">
        <f t="shared" si="34"/>
        <v>0</v>
      </c>
      <c r="AB104" s="686">
        <f t="shared" si="41"/>
        <v>0</v>
      </c>
      <c r="AC104" s="686">
        <f t="shared" si="41"/>
        <v>0</v>
      </c>
      <c r="AD104" s="686">
        <f t="shared" si="41"/>
        <v>0</v>
      </c>
      <c r="AE104" s="120"/>
      <c r="AF104" s="50"/>
    </row>
    <row r="105" spans="2:32" x14ac:dyDescent="0.2">
      <c r="B105" s="50"/>
      <c r="C105" s="69"/>
      <c r="D105" s="75"/>
      <c r="E105" s="75"/>
      <c r="F105" s="99"/>
      <c r="G105" s="88"/>
      <c r="H105" s="165"/>
      <c r="I105" s="88"/>
      <c r="J105" s="88"/>
      <c r="K105" s="71"/>
      <c r="L105" s="74">
        <f t="shared" si="36"/>
        <v>0</v>
      </c>
      <c r="M105" s="686">
        <f t="shared" si="37"/>
        <v>0</v>
      </c>
      <c r="N105" s="686">
        <f t="shared" si="38"/>
        <v>0</v>
      </c>
      <c r="O105" s="697" t="str">
        <f t="shared" si="39"/>
        <v>-</v>
      </c>
      <c r="P105" s="686">
        <f t="shared" si="29"/>
        <v>0</v>
      </c>
      <c r="Q105" s="71"/>
      <c r="R105" s="686">
        <f t="shared" si="21"/>
        <v>0</v>
      </c>
      <c r="S105" s="686">
        <f t="shared" si="22"/>
        <v>0</v>
      </c>
      <c r="T105" s="686">
        <f t="shared" si="23"/>
        <v>0</v>
      </c>
      <c r="U105" s="686">
        <f t="shared" si="40"/>
        <v>0</v>
      </c>
      <c r="V105" s="686">
        <f t="shared" si="40"/>
        <v>0</v>
      </c>
      <c r="W105" s="686">
        <f t="shared" si="40"/>
        <v>0</v>
      </c>
      <c r="X105" s="71"/>
      <c r="Y105" s="686">
        <f t="shared" si="34"/>
        <v>0</v>
      </c>
      <c r="Z105" s="686">
        <f t="shared" si="34"/>
        <v>0</v>
      </c>
      <c r="AA105" s="686">
        <f t="shared" si="34"/>
        <v>0</v>
      </c>
      <c r="AB105" s="686">
        <f t="shared" si="41"/>
        <v>0</v>
      </c>
      <c r="AC105" s="686">
        <f t="shared" si="41"/>
        <v>0</v>
      </c>
      <c r="AD105" s="686">
        <f t="shared" si="41"/>
        <v>0</v>
      </c>
      <c r="AE105" s="120"/>
      <c r="AF105" s="50"/>
    </row>
    <row r="106" spans="2:32" x14ac:dyDescent="0.2">
      <c r="B106" s="50"/>
      <c r="C106" s="69"/>
      <c r="D106" s="75"/>
      <c r="E106" s="75"/>
      <c r="F106" s="99"/>
      <c r="G106" s="88"/>
      <c r="H106" s="165"/>
      <c r="I106" s="88"/>
      <c r="J106" s="88"/>
      <c r="K106" s="71"/>
      <c r="L106" s="74">
        <f t="shared" si="36"/>
        <v>0</v>
      </c>
      <c r="M106" s="686">
        <f t="shared" si="37"/>
        <v>0</v>
      </c>
      <c r="N106" s="686">
        <f t="shared" si="38"/>
        <v>0</v>
      </c>
      <c r="O106" s="697" t="str">
        <f t="shared" si="39"/>
        <v>-</v>
      </c>
      <c r="P106" s="686">
        <f t="shared" si="29"/>
        <v>0</v>
      </c>
      <c r="Q106" s="71"/>
      <c r="R106" s="686">
        <f t="shared" si="21"/>
        <v>0</v>
      </c>
      <c r="S106" s="686">
        <f t="shared" si="22"/>
        <v>0</v>
      </c>
      <c r="T106" s="686">
        <f t="shared" si="23"/>
        <v>0</v>
      </c>
      <c r="U106" s="686">
        <f t="shared" si="40"/>
        <v>0</v>
      </c>
      <c r="V106" s="686">
        <f t="shared" si="40"/>
        <v>0</v>
      </c>
      <c r="W106" s="686">
        <f t="shared" si="40"/>
        <v>0</v>
      </c>
      <c r="X106" s="71"/>
      <c r="Y106" s="686">
        <f t="shared" si="34"/>
        <v>0</v>
      </c>
      <c r="Z106" s="686">
        <f t="shared" si="34"/>
        <v>0</v>
      </c>
      <c r="AA106" s="686">
        <f t="shared" si="34"/>
        <v>0</v>
      </c>
      <c r="AB106" s="686">
        <f t="shared" si="41"/>
        <v>0</v>
      </c>
      <c r="AC106" s="686">
        <f t="shared" si="41"/>
        <v>0</v>
      </c>
      <c r="AD106" s="686">
        <f t="shared" si="41"/>
        <v>0</v>
      </c>
      <c r="AE106" s="120"/>
      <c r="AF106" s="50"/>
    </row>
    <row r="107" spans="2:32" x14ac:dyDescent="0.2">
      <c r="B107" s="50"/>
      <c r="C107" s="69"/>
      <c r="D107" s="75"/>
      <c r="E107" s="75"/>
      <c r="F107" s="99"/>
      <c r="G107" s="88"/>
      <c r="H107" s="165"/>
      <c r="I107" s="88"/>
      <c r="J107" s="88"/>
      <c r="K107" s="71"/>
      <c r="L107" s="74">
        <f t="shared" si="36"/>
        <v>0</v>
      </c>
      <c r="M107" s="686">
        <f t="shared" si="37"/>
        <v>0</v>
      </c>
      <c r="N107" s="686">
        <f t="shared" si="38"/>
        <v>0</v>
      </c>
      <c r="O107" s="697" t="str">
        <f t="shared" si="39"/>
        <v>-</v>
      </c>
      <c r="P107" s="686">
        <f t="shared" si="29"/>
        <v>0</v>
      </c>
      <c r="Q107" s="71"/>
      <c r="R107" s="686">
        <f t="shared" si="21"/>
        <v>0</v>
      </c>
      <c r="S107" s="686">
        <f t="shared" si="22"/>
        <v>0</v>
      </c>
      <c r="T107" s="686">
        <f t="shared" si="23"/>
        <v>0</v>
      </c>
      <c r="U107" s="686">
        <f t="shared" si="40"/>
        <v>0</v>
      </c>
      <c r="V107" s="686">
        <f t="shared" si="40"/>
        <v>0</v>
      </c>
      <c r="W107" s="686">
        <f t="shared" si="40"/>
        <v>0</v>
      </c>
      <c r="X107" s="71"/>
      <c r="Y107" s="686">
        <f t="shared" si="34"/>
        <v>0</v>
      </c>
      <c r="Z107" s="686">
        <f t="shared" si="34"/>
        <v>0</v>
      </c>
      <c r="AA107" s="686">
        <f t="shared" si="34"/>
        <v>0</v>
      </c>
      <c r="AB107" s="686">
        <f t="shared" si="41"/>
        <v>0</v>
      </c>
      <c r="AC107" s="686">
        <f t="shared" si="41"/>
        <v>0</v>
      </c>
      <c r="AD107" s="686">
        <f t="shared" si="41"/>
        <v>0</v>
      </c>
      <c r="AE107" s="120"/>
      <c r="AF107" s="50"/>
    </row>
    <row r="108" spans="2:32" x14ac:dyDescent="0.2">
      <c r="B108" s="50"/>
      <c r="C108" s="69"/>
      <c r="D108" s="75"/>
      <c r="E108" s="75"/>
      <c r="F108" s="99"/>
      <c r="G108" s="88"/>
      <c r="H108" s="165"/>
      <c r="I108" s="88"/>
      <c r="J108" s="88"/>
      <c r="K108" s="71"/>
      <c r="L108" s="74">
        <f t="shared" si="36"/>
        <v>0</v>
      </c>
      <c r="M108" s="686">
        <f t="shared" si="37"/>
        <v>0</v>
      </c>
      <c r="N108" s="686">
        <f t="shared" si="38"/>
        <v>0</v>
      </c>
      <c r="O108" s="697" t="str">
        <f t="shared" si="39"/>
        <v>-</v>
      </c>
      <c r="P108" s="686">
        <f t="shared" si="29"/>
        <v>0</v>
      </c>
      <c r="Q108" s="71"/>
      <c r="R108" s="686">
        <f t="shared" si="21"/>
        <v>0</v>
      </c>
      <c r="S108" s="686">
        <f t="shared" si="22"/>
        <v>0</v>
      </c>
      <c r="T108" s="686">
        <f t="shared" si="23"/>
        <v>0</v>
      </c>
      <c r="U108" s="686">
        <f t="shared" si="40"/>
        <v>0</v>
      </c>
      <c r="V108" s="686">
        <f t="shared" si="40"/>
        <v>0</v>
      </c>
      <c r="W108" s="686">
        <f t="shared" si="40"/>
        <v>0</v>
      </c>
      <c r="X108" s="71"/>
      <c r="Y108" s="686">
        <f t="shared" si="34"/>
        <v>0</v>
      </c>
      <c r="Z108" s="686">
        <f t="shared" si="34"/>
        <v>0</v>
      </c>
      <c r="AA108" s="686">
        <f t="shared" si="34"/>
        <v>0</v>
      </c>
      <c r="AB108" s="686">
        <f t="shared" si="41"/>
        <v>0</v>
      </c>
      <c r="AC108" s="686">
        <f t="shared" si="41"/>
        <v>0</v>
      </c>
      <c r="AD108" s="686">
        <f t="shared" si="41"/>
        <v>0</v>
      </c>
      <c r="AE108" s="120"/>
      <c r="AF108" s="50"/>
    </row>
    <row r="109" spans="2:32" x14ac:dyDescent="0.2">
      <c r="B109" s="50"/>
      <c r="C109" s="69"/>
      <c r="D109" s="75"/>
      <c r="E109" s="75"/>
      <c r="F109" s="99"/>
      <c r="G109" s="88"/>
      <c r="H109" s="165"/>
      <c r="I109" s="88"/>
      <c r="J109" s="88"/>
      <c r="K109" s="71"/>
      <c r="L109" s="74">
        <f t="shared" si="36"/>
        <v>0</v>
      </c>
      <c r="M109" s="686">
        <f t="shared" si="37"/>
        <v>0</v>
      </c>
      <c r="N109" s="686">
        <f t="shared" si="38"/>
        <v>0</v>
      </c>
      <c r="O109" s="697" t="str">
        <f t="shared" si="39"/>
        <v>-</v>
      </c>
      <c r="P109" s="686">
        <f t="shared" si="29"/>
        <v>0</v>
      </c>
      <c r="Q109" s="71"/>
      <c r="R109" s="686">
        <f t="shared" si="21"/>
        <v>0</v>
      </c>
      <c r="S109" s="686">
        <f t="shared" si="22"/>
        <v>0</v>
      </c>
      <c r="T109" s="686">
        <f t="shared" si="23"/>
        <v>0</v>
      </c>
      <c r="U109" s="686">
        <f t="shared" si="40"/>
        <v>0</v>
      </c>
      <c r="V109" s="686">
        <f t="shared" si="40"/>
        <v>0</v>
      </c>
      <c r="W109" s="686">
        <f t="shared" si="40"/>
        <v>0</v>
      </c>
      <c r="X109" s="71"/>
      <c r="Y109" s="686">
        <f t="shared" ref="Y109:AA200" si="42">IF(Y$8=$I109,($G109*$H109),0)</f>
        <v>0</v>
      </c>
      <c r="Z109" s="686">
        <f t="shared" si="42"/>
        <v>0</v>
      </c>
      <c r="AA109" s="686">
        <f t="shared" si="42"/>
        <v>0</v>
      </c>
      <c r="AB109" s="686">
        <f t="shared" si="41"/>
        <v>0</v>
      </c>
      <c r="AC109" s="686">
        <f t="shared" si="41"/>
        <v>0</v>
      </c>
      <c r="AD109" s="686">
        <f t="shared" si="41"/>
        <v>0</v>
      </c>
      <c r="AE109" s="120"/>
      <c r="AF109" s="50"/>
    </row>
    <row r="110" spans="2:32" x14ac:dyDescent="0.2">
      <c r="B110" s="50"/>
      <c r="C110" s="69"/>
      <c r="D110" s="75"/>
      <c r="E110" s="75"/>
      <c r="F110" s="99"/>
      <c r="G110" s="88"/>
      <c r="H110" s="165"/>
      <c r="I110" s="88"/>
      <c r="J110" s="88"/>
      <c r="K110" s="71"/>
      <c r="L110" s="74">
        <f t="shared" si="36"/>
        <v>0</v>
      </c>
      <c r="M110" s="686">
        <f t="shared" si="37"/>
        <v>0</v>
      </c>
      <c r="N110" s="686">
        <f t="shared" si="38"/>
        <v>0</v>
      </c>
      <c r="O110" s="697" t="str">
        <f t="shared" si="39"/>
        <v>-</v>
      </c>
      <c r="P110" s="686">
        <f t="shared" ref="P110:P126" si="43">IF(J110="geen",IF(I110&lt;$R$8,G110*H110,0),IF(I110&gt;=$R$8,0,IF((H110*G110-(R$8-I110)*N110)&lt;0,0,H110*G110-(R$8-I110)*N110)))</f>
        <v>0</v>
      </c>
      <c r="Q110" s="71"/>
      <c r="R110" s="686">
        <f t="shared" si="21"/>
        <v>0</v>
      </c>
      <c r="S110" s="686">
        <f t="shared" si="22"/>
        <v>0</v>
      </c>
      <c r="T110" s="686">
        <f t="shared" si="23"/>
        <v>0</v>
      </c>
      <c r="U110" s="686">
        <f t="shared" si="40"/>
        <v>0</v>
      </c>
      <c r="V110" s="686">
        <f t="shared" si="40"/>
        <v>0</v>
      </c>
      <c r="W110" s="686">
        <f t="shared" si="40"/>
        <v>0</v>
      </c>
      <c r="X110" s="71"/>
      <c r="Y110" s="686">
        <f t="shared" si="42"/>
        <v>0</v>
      </c>
      <c r="Z110" s="686">
        <f t="shared" si="42"/>
        <v>0</v>
      </c>
      <c r="AA110" s="686">
        <f t="shared" si="42"/>
        <v>0</v>
      </c>
      <c r="AB110" s="686">
        <f t="shared" ref="AB110:AD119" si="44">IF(AB$8=$I110,($G110*$H110),0)</f>
        <v>0</v>
      </c>
      <c r="AC110" s="686">
        <f t="shared" si="44"/>
        <v>0</v>
      </c>
      <c r="AD110" s="686">
        <f t="shared" si="44"/>
        <v>0</v>
      </c>
      <c r="AE110" s="120"/>
      <c r="AF110" s="50"/>
    </row>
    <row r="111" spans="2:32" x14ac:dyDescent="0.2">
      <c r="B111" s="50"/>
      <c r="C111" s="69"/>
      <c r="D111" s="75"/>
      <c r="E111" s="75"/>
      <c r="F111" s="99"/>
      <c r="G111" s="88"/>
      <c r="H111" s="165"/>
      <c r="I111" s="88"/>
      <c r="J111" s="88"/>
      <c r="K111" s="71"/>
      <c r="L111" s="74">
        <f t="shared" si="36"/>
        <v>0</v>
      </c>
      <c r="M111" s="686">
        <f t="shared" si="37"/>
        <v>0</v>
      </c>
      <c r="N111" s="686">
        <f t="shared" si="38"/>
        <v>0</v>
      </c>
      <c r="O111" s="697" t="str">
        <f t="shared" si="39"/>
        <v>-</v>
      </c>
      <c r="P111" s="686">
        <f t="shared" si="43"/>
        <v>0</v>
      </c>
      <c r="Q111" s="71"/>
      <c r="R111" s="686">
        <f t="shared" si="21"/>
        <v>0</v>
      </c>
      <c r="S111" s="686">
        <f t="shared" si="22"/>
        <v>0</v>
      </c>
      <c r="T111" s="686">
        <f t="shared" si="23"/>
        <v>0</v>
      </c>
      <c r="U111" s="686">
        <f t="shared" si="40"/>
        <v>0</v>
      </c>
      <c r="V111" s="686">
        <f t="shared" si="40"/>
        <v>0</v>
      </c>
      <c r="W111" s="686">
        <f t="shared" si="40"/>
        <v>0</v>
      </c>
      <c r="X111" s="71"/>
      <c r="Y111" s="686">
        <f t="shared" si="42"/>
        <v>0</v>
      </c>
      <c r="Z111" s="686">
        <f t="shared" si="42"/>
        <v>0</v>
      </c>
      <c r="AA111" s="686">
        <f t="shared" si="42"/>
        <v>0</v>
      </c>
      <c r="AB111" s="686">
        <f t="shared" si="44"/>
        <v>0</v>
      </c>
      <c r="AC111" s="686">
        <f t="shared" si="44"/>
        <v>0</v>
      </c>
      <c r="AD111" s="686">
        <f t="shared" si="44"/>
        <v>0</v>
      </c>
      <c r="AE111" s="120"/>
      <c r="AF111" s="50"/>
    </row>
    <row r="112" spans="2:32" x14ac:dyDescent="0.2">
      <c r="B112" s="50"/>
      <c r="C112" s="69"/>
      <c r="D112" s="75"/>
      <c r="E112" s="75"/>
      <c r="F112" s="99"/>
      <c r="G112" s="88"/>
      <c r="H112" s="165"/>
      <c r="I112" s="88"/>
      <c r="J112" s="88"/>
      <c r="K112" s="71"/>
      <c r="L112" s="74">
        <f t="shared" si="36"/>
        <v>0</v>
      </c>
      <c r="M112" s="686">
        <f t="shared" si="37"/>
        <v>0</v>
      </c>
      <c r="N112" s="686">
        <f t="shared" si="38"/>
        <v>0</v>
      </c>
      <c r="O112" s="697" t="str">
        <f t="shared" si="39"/>
        <v>-</v>
      </c>
      <c r="P112" s="686">
        <f t="shared" si="43"/>
        <v>0</v>
      </c>
      <c r="Q112" s="71"/>
      <c r="R112" s="686">
        <f t="shared" si="21"/>
        <v>0</v>
      </c>
      <c r="S112" s="686">
        <f t="shared" si="22"/>
        <v>0</v>
      </c>
      <c r="T112" s="686">
        <f t="shared" si="23"/>
        <v>0</v>
      </c>
      <c r="U112" s="686">
        <f t="shared" si="40"/>
        <v>0</v>
      </c>
      <c r="V112" s="686">
        <f t="shared" si="40"/>
        <v>0</v>
      </c>
      <c r="W112" s="686">
        <f t="shared" si="40"/>
        <v>0</v>
      </c>
      <c r="X112" s="71"/>
      <c r="Y112" s="686">
        <f t="shared" si="42"/>
        <v>0</v>
      </c>
      <c r="Z112" s="686">
        <f t="shared" si="42"/>
        <v>0</v>
      </c>
      <c r="AA112" s="686">
        <f t="shared" si="42"/>
        <v>0</v>
      </c>
      <c r="AB112" s="686">
        <f t="shared" si="44"/>
        <v>0</v>
      </c>
      <c r="AC112" s="686">
        <f t="shared" si="44"/>
        <v>0</v>
      </c>
      <c r="AD112" s="686">
        <f t="shared" si="44"/>
        <v>0</v>
      </c>
      <c r="AE112" s="120"/>
      <c r="AF112" s="50"/>
    </row>
    <row r="113" spans="2:32" x14ac:dyDescent="0.2">
      <c r="B113" s="50"/>
      <c r="C113" s="69"/>
      <c r="D113" s="75"/>
      <c r="E113" s="75"/>
      <c r="F113" s="99"/>
      <c r="G113" s="88"/>
      <c r="H113" s="165"/>
      <c r="I113" s="88"/>
      <c r="J113" s="88"/>
      <c r="K113" s="71"/>
      <c r="L113" s="74">
        <f t="shared" si="36"/>
        <v>0</v>
      </c>
      <c r="M113" s="686">
        <f t="shared" si="37"/>
        <v>0</v>
      </c>
      <c r="N113" s="686">
        <f t="shared" si="38"/>
        <v>0</v>
      </c>
      <c r="O113" s="697" t="str">
        <f t="shared" si="39"/>
        <v>-</v>
      </c>
      <c r="P113" s="686">
        <f t="shared" si="43"/>
        <v>0</v>
      </c>
      <c r="Q113" s="71"/>
      <c r="R113" s="686">
        <f t="shared" si="21"/>
        <v>0</v>
      </c>
      <c r="S113" s="686">
        <f t="shared" si="22"/>
        <v>0</v>
      </c>
      <c r="T113" s="686">
        <f t="shared" si="23"/>
        <v>0</v>
      </c>
      <c r="U113" s="686">
        <f t="shared" si="40"/>
        <v>0</v>
      </c>
      <c r="V113" s="686">
        <f t="shared" si="40"/>
        <v>0</v>
      </c>
      <c r="W113" s="686">
        <f t="shared" si="40"/>
        <v>0</v>
      </c>
      <c r="X113" s="71"/>
      <c r="Y113" s="686">
        <f t="shared" si="42"/>
        <v>0</v>
      </c>
      <c r="Z113" s="686">
        <f t="shared" si="42"/>
        <v>0</v>
      </c>
      <c r="AA113" s="686">
        <f t="shared" si="42"/>
        <v>0</v>
      </c>
      <c r="AB113" s="686">
        <f t="shared" si="44"/>
        <v>0</v>
      </c>
      <c r="AC113" s="686">
        <f t="shared" si="44"/>
        <v>0</v>
      </c>
      <c r="AD113" s="686">
        <f t="shared" si="44"/>
        <v>0</v>
      </c>
      <c r="AE113" s="120"/>
      <c r="AF113" s="50"/>
    </row>
    <row r="114" spans="2:32" x14ac:dyDescent="0.2">
      <c r="B114" s="50"/>
      <c r="C114" s="69"/>
      <c r="D114" s="75"/>
      <c r="E114" s="75"/>
      <c r="F114" s="99"/>
      <c r="G114" s="88"/>
      <c r="H114" s="165"/>
      <c r="I114" s="88"/>
      <c r="J114" s="88"/>
      <c r="K114" s="71"/>
      <c r="L114" s="74">
        <f t="shared" si="36"/>
        <v>0</v>
      </c>
      <c r="M114" s="686">
        <f t="shared" si="37"/>
        <v>0</v>
      </c>
      <c r="N114" s="686">
        <f t="shared" si="38"/>
        <v>0</v>
      </c>
      <c r="O114" s="697" t="str">
        <f t="shared" si="39"/>
        <v>-</v>
      </c>
      <c r="P114" s="686">
        <f t="shared" si="43"/>
        <v>0</v>
      </c>
      <c r="Q114" s="71"/>
      <c r="R114" s="686">
        <f t="shared" si="21"/>
        <v>0</v>
      </c>
      <c r="S114" s="686">
        <f t="shared" si="22"/>
        <v>0</v>
      </c>
      <c r="T114" s="686">
        <f t="shared" si="23"/>
        <v>0</v>
      </c>
      <c r="U114" s="686">
        <f t="shared" si="40"/>
        <v>0</v>
      </c>
      <c r="V114" s="686">
        <f t="shared" si="40"/>
        <v>0</v>
      </c>
      <c r="W114" s="686">
        <f t="shared" si="40"/>
        <v>0</v>
      </c>
      <c r="X114" s="71"/>
      <c r="Y114" s="686">
        <f t="shared" si="42"/>
        <v>0</v>
      </c>
      <c r="Z114" s="686">
        <f t="shared" si="42"/>
        <v>0</v>
      </c>
      <c r="AA114" s="686">
        <f t="shared" si="42"/>
        <v>0</v>
      </c>
      <c r="AB114" s="686">
        <f t="shared" si="44"/>
        <v>0</v>
      </c>
      <c r="AC114" s="686">
        <f t="shared" si="44"/>
        <v>0</v>
      </c>
      <c r="AD114" s="686">
        <f t="shared" si="44"/>
        <v>0</v>
      </c>
      <c r="AE114" s="120"/>
      <c r="AF114" s="50"/>
    </row>
    <row r="115" spans="2:32" x14ac:dyDescent="0.2">
      <c r="B115" s="50"/>
      <c r="C115" s="69"/>
      <c r="D115" s="75"/>
      <c r="E115" s="75"/>
      <c r="F115" s="99"/>
      <c r="G115" s="88"/>
      <c r="H115" s="165"/>
      <c r="I115" s="88"/>
      <c r="J115" s="88"/>
      <c r="K115" s="71"/>
      <c r="L115" s="74">
        <f t="shared" si="36"/>
        <v>0</v>
      </c>
      <c r="M115" s="686">
        <f t="shared" si="37"/>
        <v>0</v>
      </c>
      <c r="N115" s="686">
        <f t="shared" si="38"/>
        <v>0</v>
      </c>
      <c r="O115" s="697" t="str">
        <f t="shared" si="39"/>
        <v>-</v>
      </c>
      <c r="P115" s="686">
        <f t="shared" si="43"/>
        <v>0</v>
      </c>
      <c r="Q115" s="71"/>
      <c r="R115" s="686">
        <f t="shared" si="21"/>
        <v>0</v>
      </c>
      <c r="S115" s="686">
        <f t="shared" si="22"/>
        <v>0</v>
      </c>
      <c r="T115" s="686">
        <f t="shared" si="23"/>
        <v>0</v>
      </c>
      <c r="U115" s="686">
        <f t="shared" si="40"/>
        <v>0</v>
      </c>
      <c r="V115" s="686">
        <f t="shared" si="40"/>
        <v>0</v>
      </c>
      <c r="W115" s="686">
        <f t="shared" si="40"/>
        <v>0</v>
      </c>
      <c r="X115" s="71"/>
      <c r="Y115" s="686">
        <f t="shared" si="42"/>
        <v>0</v>
      </c>
      <c r="Z115" s="686">
        <f t="shared" si="42"/>
        <v>0</v>
      </c>
      <c r="AA115" s="686">
        <f t="shared" si="42"/>
        <v>0</v>
      </c>
      <c r="AB115" s="686">
        <f t="shared" si="44"/>
        <v>0</v>
      </c>
      <c r="AC115" s="686">
        <f t="shared" si="44"/>
        <v>0</v>
      </c>
      <c r="AD115" s="686">
        <f t="shared" si="44"/>
        <v>0</v>
      </c>
      <c r="AE115" s="120"/>
      <c r="AF115" s="50"/>
    </row>
    <row r="116" spans="2:32" x14ac:dyDescent="0.2">
      <c r="B116" s="50"/>
      <c r="C116" s="69"/>
      <c r="D116" s="75"/>
      <c r="E116" s="75"/>
      <c r="F116" s="99"/>
      <c r="G116" s="88"/>
      <c r="H116" s="165"/>
      <c r="I116" s="88"/>
      <c r="J116" s="88"/>
      <c r="K116" s="71"/>
      <c r="L116" s="74">
        <f t="shared" si="36"/>
        <v>0</v>
      </c>
      <c r="M116" s="686">
        <f t="shared" si="37"/>
        <v>0</v>
      </c>
      <c r="N116" s="686">
        <f t="shared" si="38"/>
        <v>0</v>
      </c>
      <c r="O116" s="697" t="str">
        <f t="shared" si="39"/>
        <v>-</v>
      </c>
      <c r="P116" s="686">
        <f t="shared" si="43"/>
        <v>0</v>
      </c>
      <c r="Q116" s="71"/>
      <c r="R116" s="686">
        <f t="shared" si="21"/>
        <v>0</v>
      </c>
      <c r="S116" s="686">
        <f t="shared" si="22"/>
        <v>0</v>
      </c>
      <c r="T116" s="686">
        <f t="shared" si="23"/>
        <v>0</v>
      </c>
      <c r="U116" s="686">
        <f t="shared" si="40"/>
        <v>0</v>
      </c>
      <c r="V116" s="686">
        <f t="shared" si="40"/>
        <v>0</v>
      </c>
      <c r="W116" s="686">
        <f t="shared" si="40"/>
        <v>0</v>
      </c>
      <c r="X116" s="71"/>
      <c r="Y116" s="686">
        <f t="shared" si="42"/>
        <v>0</v>
      </c>
      <c r="Z116" s="686">
        <f t="shared" si="42"/>
        <v>0</v>
      </c>
      <c r="AA116" s="686">
        <f t="shared" si="42"/>
        <v>0</v>
      </c>
      <c r="AB116" s="686">
        <f t="shared" si="44"/>
        <v>0</v>
      </c>
      <c r="AC116" s="686">
        <f t="shared" si="44"/>
        <v>0</v>
      </c>
      <c r="AD116" s="686">
        <f t="shared" si="44"/>
        <v>0</v>
      </c>
      <c r="AE116" s="120"/>
      <c r="AF116" s="50"/>
    </row>
    <row r="117" spans="2:32" x14ac:dyDescent="0.2">
      <c r="B117" s="50"/>
      <c r="C117" s="69"/>
      <c r="D117" s="75"/>
      <c r="E117" s="75"/>
      <c r="F117" s="99"/>
      <c r="G117" s="88"/>
      <c r="H117" s="165"/>
      <c r="I117" s="88"/>
      <c r="J117" s="88"/>
      <c r="K117" s="71"/>
      <c r="L117" s="74">
        <f t="shared" si="36"/>
        <v>0</v>
      </c>
      <c r="M117" s="686">
        <f t="shared" si="37"/>
        <v>0</v>
      </c>
      <c r="N117" s="686">
        <f t="shared" si="38"/>
        <v>0</v>
      </c>
      <c r="O117" s="697" t="str">
        <f t="shared" si="39"/>
        <v>-</v>
      </c>
      <c r="P117" s="686">
        <f t="shared" si="43"/>
        <v>0</v>
      </c>
      <c r="Q117" s="71"/>
      <c r="R117" s="686">
        <f t="shared" si="21"/>
        <v>0</v>
      </c>
      <c r="S117" s="686">
        <f t="shared" si="22"/>
        <v>0</v>
      </c>
      <c r="T117" s="686">
        <f t="shared" si="23"/>
        <v>0</v>
      </c>
      <c r="U117" s="686">
        <f t="shared" si="40"/>
        <v>0</v>
      </c>
      <c r="V117" s="686">
        <f t="shared" si="40"/>
        <v>0</v>
      </c>
      <c r="W117" s="686">
        <f t="shared" si="40"/>
        <v>0</v>
      </c>
      <c r="X117" s="71"/>
      <c r="Y117" s="686">
        <f t="shared" si="42"/>
        <v>0</v>
      </c>
      <c r="Z117" s="686">
        <f t="shared" si="42"/>
        <v>0</v>
      </c>
      <c r="AA117" s="686">
        <f t="shared" si="42"/>
        <v>0</v>
      </c>
      <c r="AB117" s="686">
        <f t="shared" si="44"/>
        <v>0</v>
      </c>
      <c r="AC117" s="686">
        <f t="shared" si="44"/>
        <v>0</v>
      </c>
      <c r="AD117" s="686">
        <f t="shared" si="44"/>
        <v>0</v>
      </c>
      <c r="AE117" s="120"/>
      <c r="AF117" s="50"/>
    </row>
    <row r="118" spans="2:32" x14ac:dyDescent="0.2">
      <c r="B118" s="50"/>
      <c r="C118" s="69"/>
      <c r="D118" s="75"/>
      <c r="E118" s="75"/>
      <c r="F118" s="99"/>
      <c r="G118" s="88"/>
      <c r="H118" s="165"/>
      <c r="I118" s="88"/>
      <c r="J118" s="88"/>
      <c r="K118" s="71"/>
      <c r="L118" s="74">
        <f t="shared" si="36"/>
        <v>0</v>
      </c>
      <c r="M118" s="686">
        <f t="shared" si="37"/>
        <v>0</v>
      </c>
      <c r="N118" s="686">
        <f t="shared" si="38"/>
        <v>0</v>
      </c>
      <c r="O118" s="697" t="str">
        <f t="shared" si="39"/>
        <v>-</v>
      </c>
      <c r="P118" s="686">
        <f t="shared" si="43"/>
        <v>0</v>
      </c>
      <c r="Q118" s="71"/>
      <c r="R118" s="686">
        <f t="shared" si="21"/>
        <v>0</v>
      </c>
      <c r="S118" s="686">
        <f t="shared" si="22"/>
        <v>0</v>
      </c>
      <c r="T118" s="686">
        <f t="shared" si="23"/>
        <v>0</v>
      </c>
      <c r="U118" s="686">
        <f t="shared" si="40"/>
        <v>0</v>
      </c>
      <c r="V118" s="686">
        <f t="shared" si="40"/>
        <v>0</v>
      </c>
      <c r="W118" s="686">
        <f t="shared" si="40"/>
        <v>0</v>
      </c>
      <c r="X118" s="71"/>
      <c r="Y118" s="686">
        <f t="shared" si="42"/>
        <v>0</v>
      </c>
      <c r="Z118" s="686">
        <f t="shared" si="42"/>
        <v>0</v>
      </c>
      <c r="AA118" s="686">
        <f t="shared" si="42"/>
        <v>0</v>
      </c>
      <c r="AB118" s="686">
        <f t="shared" si="44"/>
        <v>0</v>
      </c>
      <c r="AC118" s="686">
        <f t="shared" si="44"/>
        <v>0</v>
      </c>
      <c r="AD118" s="686">
        <f t="shared" si="44"/>
        <v>0</v>
      </c>
      <c r="AE118" s="120"/>
      <c r="AF118" s="50"/>
    </row>
    <row r="119" spans="2:32" x14ac:dyDescent="0.2">
      <c r="B119" s="50"/>
      <c r="C119" s="69"/>
      <c r="D119" s="75"/>
      <c r="E119" s="75"/>
      <c r="F119" s="99"/>
      <c r="G119" s="88"/>
      <c r="H119" s="165"/>
      <c r="I119" s="88"/>
      <c r="J119" s="88"/>
      <c r="K119" s="71"/>
      <c r="L119" s="74">
        <f t="shared" si="36"/>
        <v>0</v>
      </c>
      <c r="M119" s="686">
        <f t="shared" si="37"/>
        <v>0</v>
      </c>
      <c r="N119" s="686">
        <f t="shared" si="38"/>
        <v>0</v>
      </c>
      <c r="O119" s="697" t="str">
        <f t="shared" si="39"/>
        <v>-</v>
      </c>
      <c r="P119" s="686">
        <f t="shared" si="43"/>
        <v>0</v>
      </c>
      <c r="Q119" s="71"/>
      <c r="R119" s="686">
        <f t="shared" si="21"/>
        <v>0</v>
      </c>
      <c r="S119" s="686">
        <f t="shared" si="22"/>
        <v>0</v>
      </c>
      <c r="T119" s="686">
        <f t="shared" si="23"/>
        <v>0</v>
      </c>
      <c r="U119" s="686">
        <f t="shared" si="40"/>
        <v>0</v>
      </c>
      <c r="V119" s="686">
        <f t="shared" si="40"/>
        <v>0</v>
      </c>
      <c r="W119" s="686">
        <f t="shared" si="40"/>
        <v>0</v>
      </c>
      <c r="X119" s="71"/>
      <c r="Y119" s="686">
        <f t="shared" si="42"/>
        <v>0</v>
      </c>
      <c r="Z119" s="686">
        <f t="shared" si="42"/>
        <v>0</v>
      </c>
      <c r="AA119" s="686">
        <f t="shared" si="42"/>
        <v>0</v>
      </c>
      <c r="AB119" s="686">
        <f t="shared" si="44"/>
        <v>0</v>
      </c>
      <c r="AC119" s="686">
        <f t="shared" si="44"/>
        <v>0</v>
      </c>
      <c r="AD119" s="686">
        <f t="shared" si="44"/>
        <v>0</v>
      </c>
      <c r="AE119" s="120"/>
      <c r="AF119" s="50"/>
    </row>
    <row r="120" spans="2:32" x14ac:dyDescent="0.2">
      <c r="B120" s="50"/>
      <c r="C120" s="69"/>
      <c r="D120" s="75"/>
      <c r="E120" s="75"/>
      <c r="F120" s="99"/>
      <c r="G120" s="88"/>
      <c r="H120" s="165"/>
      <c r="I120" s="88"/>
      <c r="J120" s="88"/>
      <c r="K120" s="71"/>
      <c r="L120" s="74">
        <f t="shared" si="36"/>
        <v>0</v>
      </c>
      <c r="M120" s="686">
        <f t="shared" si="37"/>
        <v>0</v>
      </c>
      <c r="N120" s="686">
        <f t="shared" si="38"/>
        <v>0</v>
      </c>
      <c r="O120" s="697" t="str">
        <f t="shared" si="39"/>
        <v>-</v>
      </c>
      <c r="P120" s="686">
        <f t="shared" si="43"/>
        <v>0</v>
      </c>
      <c r="Q120" s="71"/>
      <c r="R120" s="686">
        <f t="shared" si="21"/>
        <v>0</v>
      </c>
      <c r="S120" s="686">
        <f t="shared" si="22"/>
        <v>0</v>
      </c>
      <c r="T120" s="686">
        <f t="shared" si="23"/>
        <v>0</v>
      </c>
      <c r="U120" s="686">
        <f t="shared" si="40"/>
        <v>0</v>
      </c>
      <c r="V120" s="686">
        <f t="shared" si="40"/>
        <v>0</v>
      </c>
      <c r="W120" s="686">
        <f t="shared" si="40"/>
        <v>0</v>
      </c>
      <c r="X120" s="71"/>
      <c r="Y120" s="686">
        <f t="shared" si="42"/>
        <v>0</v>
      </c>
      <c r="Z120" s="686">
        <f t="shared" si="42"/>
        <v>0</v>
      </c>
      <c r="AA120" s="686">
        <f t="shared" si="42"/>
        <v>0</v>
      </c>
      <c r="AB120" s="686">
        <f t="shared" ref="AB120:AD201" si="45">IF(AB$8=$I120,($G120*$H120),0)</f>
        <v>0</v>
      </c>
      <c r="AC120" s="686">
        <f t="shared" si="45"/>
        <v>0</v>
      </c>
      <c r="AD120" s="686">
        <f t="shared" si="45"/>
        <v>0</v>
      </c>
      <c r="AE120" s="120"/>
      <c r="AF120" s="50"/>
    </row>
    <row r="121" spans="2:32" x14ac:dyDescent="0.2">
      <c r="B121" s="50"/>
      <c r="C121" s="69"/>
      <c r="D121" s="75"/>
      <c r="E121" s="75"/>
      <c r="F121" s="99"/>
      <c r="G121" s="88"/>
      <c r="H121" s="165"/>
      <c r="I121" s="88"/>
      <c r="J121" s="88"/>
      <c r="K121" s="71"/>
      <c r="L121" s="74">
        <f t="shared" si="36"/>
        <v>0</v>
      </c>
      <c r="M121" s="686">
        <f t="shared" si="37"/>
        <v>0</v>
      </c>
      <c r="N121" s="686">
        <f t="shared" si="38"/>
        <v>0</v>
      </c>
      <c r="O121" s="697" t="str">
        <f t="shared" si="39"/>
        <v>-</v>
      </c>
      <c r="P121" s="686">
        <f t="shared" si="43"/>
        <v>0</v>
      </c>
      <c r="Q121" s="71"/>
      <c r="R121" s="686">
        <f t="shared" si="21"/>
        <v>0</v>
      </c>
      <c r="S121" s="686">
        <f t="shared" si="22"/>
        <v>0</v>
      </c>
      <c r="T121" s="686">
        <f t="shared" si="23"/>
        <v>0</v>
      </c>
      <c r="U121" s="686">
        <f t="shared" si="40"/>
        <v>0</v>
      </c>
      <c r="V121" s="686">
        <f t="shared" si="40"/>
        <v>0</v>
      </c>
      <c r="W121" s="686">
        <f t="shared" si="40"/>
        <v>0</v>
      </c>
      <c r="X121" s="71"/>
      <c r="Y121" s="686">
        <f t="shared" si="42"/>
        <v>0</v>
      </c>
      <c r="Z121" s="686">
        <f t="shared" si="42"/>
        <v>0</v>
      </c>
      <c r="AA121" s="686">
        <f t="shared" si="42"/>
        <v>0</v>
      </c>
      <c r="AB121" s="686">
        <f t="shared" si="45"/>
        <v>0</v>
      </c>
      <c r="AC121" s="686">
        <f t="shared" si="45"/>
        <v>0</v>
      </c>
      <c r="AD121" s="686">
        <f t="shared" si="45"/>
        <v>0</v>
      </c>
      <c r="AE121" s="120"/>
      <c r="AF121" s="50"/>
    </row>
    <row r="122" spans="2:32" x14ac:dyDescent="0.2">
      <c r="B122" s="50"/>
      <c r="C122" s="69"/>
      <c r="D122" s="75"/>
      <c r="E122" s="75"/>
      <c r="F122" s="99"/>
      <c r="G122" s="88"/>
      <c r="H122" s="165"/>
      <c r="I122" s="88"/>
      <c r="J122" s="88"/>
      <c r="K122" s="71"/>
      <c r="L122" s="74">
        <f t="shared" si="36"/>
        <v>0</v>
      </c>
      <c r="M122" s="686">
        <f t="shared" si="37"/>
        <v>0</v>
      </c>
      <c r="N122" s="686">
        <f t="shared" si="38"/>
        <v>0</v>
      </c>
      <c r="O122" s="697" t="str">
        <f t="shared" si="39"/>
        <v>-</v>
      </c>
      <c r="P122" s="686">
        <f t="shared" si="43"/>
        <v>0</v>
      </c>
      <c r="Q122" s="71"/>
      <c r="R122" s="686">
        <f t="shared" si="21"/>
        <v>0</v>
      </c>
      <c r="S122" s="686">
        <f t="shared" si="22"/>
        <v>0</v>
      </c>
      <c r="T122" s="686">
        <f t="shared" si="23"/>
        <v>0</v>
      </c>
      <c r="U122" s="686">
        <f t="shared" si="40"/>
        <v>0</v>
      </c>
      <c r="V122" s="686">
        <f t="shared" si="40"/>
        <v>0</v>
      </c>
      <c r="W122" s="686">
        <f t="shared" si="40"/>
        <v>0</v>
      </c>
      <c r="X122" s="71"/>
      <c r="Y122" s="686">
        <f t="shared" si="42"/>
        <v>0</v>
      </c>
      <c r="Z122" s="686">
        <f t="shared" si="42"/>
        <v>0</v>
      </c>
      <c r="AA122" s="686">
        <f t="shared" si="42"/>
        <v>0</v>
      </c>
      <c r="AB122" s="686">
        <f t="shared" si="45"/>
        <v>0</v>
      </c>
      <c r="AC122" s="686">
        <f t="shared" si="45"/>
        <v>0</v>
      </c>
      <c r="AD122" s="686">
        <f t="shared" si="45"/>
        <v>0</v>
      </c>
      <c r="AE122" s="120"/>
      <c r="AF122" s="50"/>
    </row>
    <row r="123" spans="2:32" x14ac:dyDescent="0.2">
      <c r="B123" s="50"/>
      <c r="C123" s="69"/>
      <c r="D123" s="75"/>
      <c r="E123" s="75"/>
      <c r="F123" s="99"/>
      <c r="G123" s="88"/>
      <c r="H123" s="165"/>
      <c r="I123" s="88"/>
      <c r="J123" s="88"/>
      <c r="K123" s="71"/>
      <c r="L123" s="74">
        <f t="shared" si="36"/>
        <v>0</v>
      </c>
      <c r="M123" s="686">
        <f t="shared" si="37"/>
        <v>0</v>
      </c>
      <c r="N123" s="686">
        <f t="shared" si="38"/>
        <v>0</v>
      </c>
      <c r="O123" s="697" t="str">
        <f t="shared" si="39"/>
        <v>-</v>
      </c>
      <c r="P123" s="686">
        <f t="shared" si="43"/>
        <v>0</v>
      </c>
      <c r="Q123" s="71"/>
      <c r="R123" s="686">
        <f t="shared" si="21"/>
        <v>0</v>
      </c>
      <c r="S123" s="686">
        <f t="shared" si="22"/>
        <v>0</v>
      </c>
      <c r="T123" s="686">
        <f t="shared" si="23"/>
        <v>0</v>
      </c>
      <c r="U123" s="686">
        <f t="shared" si="40"/>
        <v>0</v>
      </c>
      <c r="V123" s="686">
        <f t="shared" si="40"/>
        <v>0</v>
      </c>
      <c r="W123" s="686">
        <f t="shared" ref="W123:W209" si="46">(IF(W$8&lt;$I123,0,IF($O123&lt;=W$8-1,0,$N123)))</f>
        <v>0</v>
      </c>
      <c r="X123" s="71"/>
      <c r="Y123" s="686">
        <f t="shared" si="42"/>
        <v>0</v>
      </c>
      <c r="Z123" s="686">
        <f t="shared" si="42"/>
        <v>0</v>
      </c>
      <c r="AA123" s="686">
        <f t="shared" si="42"/>
        <v>0</v>
      </c>
      <c r="AB123" s="686">
        <f t="shared" si="45"/>
        <v>0</v>
      </c>
      <c r="AC123" s="686">
        <f t="shared" si="45"/>
        <v>0</v>
      </c>
      <c r="AD123" s="686">
        <f t="shared" si="45"/>
        <v>0</v>
      </c>
      <c r="AE123" s="120"/>
      <c r="AF123" s="50"/>
    </row>
    <row r="124" spans="2:32" x14ac:dyDescent="0.2">
      <c r="B124" s="50"/>
      <c r="C124" s="69"/>
      <c r="D124" s="75"/>
      <c r="E124" s="75"/>
      <c r="F124" s="99"/>
      <c r="G124" s="88"/>
      <c r="H124" s="165"/>
      <c r="I124" s="88"/>
      <c r="J124" s="88"/>
      <c r="K124" s="71"/>
      <c r="L124" s="74">
        <f t="shared" si="36"/>
        <v>0</v>
      </c>
      <c r="M124" s="686">
        <f t="shared" si="37"/>
        <v>0</v>
      </c>
      <c r="N124" s="686">
        <f t="shared" si="38"/>
        <v>0</v>
      </c>
      <c r="O124" s="697" t="str">
        <f t="shared" si="39"/>
        <v>-</v>
      </c>
      <c r="P124" s="686">
        <f t="shared" si="43"/>
        <v>0</v>
      </c>
      <c r="Q124" s="71"/>
      <c r="R124" s="686">
        <f t="shared" si="21"/>
        <v>0</v>
      </c>
      <c r="S124" s="686">
        <f t="shared" si="22"/>
        <v>0</v>
      </c>
      <c r="T124" s="686">
        <f t="shared" si="23"/>
        <v>0</v>
      </c>
      <c r="U124" s="686">
        <f t="shared" si="40"/>
        <v>0</v>
      </c>
      <c r="V124" s="686">
        <f t="shared" si="40"/>
        <v>0</v>
      </c>
      <c r="W124" s="686">
        <f t="shared" si="46"/>
        <v>0</v>
      </c>
      <c r="X124" s="71"/>
      <c r="Y124" s="686">
        <f t="shared" si="42"/>
        <v>0</v>
      </c>
      <c r="Z124" s="686">
        <f t="shared" si="42"/>
        <v>0</v>
      </c>
      <c r="AA124" s="686">
        <f t="shared" si="42"/>
        <v>0</v>
      </c>
      <c r="AB124" s="686">
        <f t="shared" si="45"/>
        <v>0</v>
      </c>
      <c r="AC124" s="686">
        <f t="shared" si="45"/>
        <v>0</v>
      </c>
      <c r="AD124" s="686">
        <f t="shared" si="45"/>
        <v>0</v>
      </c>
      <c r="AE124" s="120"/>
      <c r="AF124" s="50"/>
    </row>
    <row r="125" spans="2:32" x14ac:dyDescent="0.2">
      <c r="B125" s="50"/>
      <c r="C125" s="69"/>
      <c r="D125" s="75"/>
      <c r="E125" s="75"/>
      <c r="F125" s="99"/>
      <c r="G125" s="88"/>
      <c r="H125" s="165"/>
      <c r="I125" s="88"/>
      <c r="J125" s="88"/>
      <c r="K125" s="71"/>
      <c r="L125" s="74">
        <f t="shared" si="36"/>
        <v>0</v>
      </c>
      <c r="M125" s="686">
        <f t="shared" si="37"/>
        <v>0</v>
      </c>
      <c r="N125" s="686">
        <f t="shared" si="38"/>
        <v>0</v>
      </c>
      <c r="O125" s="697" t="str">
        <f t="shared" si="39"/>
        <v>-</v>
      </c>
      <c r="P125" s="686">
        <f t="shared" si="43"/>
        <v>0</v>
      </c>
      <c r="Q125" s="71"/>
      <c r="R125" s="686">
        <f t="shared" si="21"/>
        <v>0</v>
      </c>
      <c r="S125" s="686">
        <f t="shared" si="22"/>
        <v>0</v>
      </c>
      <c r="T125" s="686">
        <f t="shared" si="23"/>
        <v>0</v>
      </c>
      <c r="U125" s="686">
        <f t="shared" si="40"/>
        <v>0</v>
      </c>
      <c r="V125" s="686">
        <f t="shared" si="40"/>
        <v>0</v>
      </c>
      <c r="W125" s="686">
        <f t="shared" si="46"/>
        <v>0</v>
      </c>
      <c r="X125" s="71"/>
      <c r="Y125" s="686">
        <f t="shared" si="42"/>
        <v>0</v>
      </c>
      <c r="Z125" s="686">
        <f t="shared" si="42"/>
        <v>0</v>
      </c>
      <c r="AA125" s="686">
        <f t="shared" si="42"/>
        <v>0</v>
      </c>
      <c r="AB125" s="686">
        <f t="shared" si="45"/>
        <v>0</v>
      </c>
      <c r="AC125" s="686">
        <f t="shared" si="45"/>
        <v>0</v>
      </c>
      <c r="AD125" s="686">
        <f t="shared" si="45"/>
        <v>0</v>
      </c>
      <c r="AE125" s="120"/>
      <c r="AF125" s="50"/>
    </row>
    <row r="126" spans="2:32" x14ac:dyDescent="0.2">
      <c r="B126" s="50"/>
      <c r="C126" s="69"/>
      <c r="D126" s="75"/>
      <c r="E126" s="75"/>
      <c r="F126" s="99"/>
      <c r="G126" s="88"/>
      <c r="H126" s="165"/>
      <c r="I126" s="88"/>
      <c r="J126" s="88"/>
      <c r="K126" s="71"/>
      <c r="L126" s="74">
        <f t="shared" si="36"/>
        <v>0</v>
      </c>
      <c r="M126" s="686">
        <f t="shared" si="37"/>
        <v>0</v>
      </c>
      <c r="N126" s="686">
        <f t="shared" si="38"/>
        <v>0</v>
      </c>
      <c r="O126" s="697" t="str">
        <f t="shared" si="39"/>
        <v>-</v>
      </c>
      <c r="P126" s="686">
        <f t="shared" si="43"/>
        <v>0</v>
      </c>
      <c r="Q126" s="71"/>
      <c r="R126" s="686">
        <f t="shared" si="21"/>
        <v>0</v>
      </c>
      <c r="S126" s="686">
        <f t="shared" si="22"/>
        <v>0</v>
      </c>
      <c r="T126" s="686">
        <f t="shared" si="23"/>
        <v>0</v>
      </c>
      <c r="U126" s="686">
        <f t="shared" si="40"/>
        <v>0</v>
      </c>
      <c r="V126" s="686">
        <f t="shared" si="40"/>
        <v>0</v>
      </c>
      <c r="W126" s="686">
        <f t="shared" si="46"/>
        <v>0</v>
      </c>
      <c r="X126" s="71"/>
      <c r="Y126" s="686">
        <f t="shared" si="42"/>
        <v>0</v>
      </c>
      <c r="Z126" s="686">
        <f t="shared" si="42"/>
        <v>0</v>
      </c>
      <c r="AA126" s="686">
        <f t="shared" si="42"/>
        <v>0</v>
      </c>
      <c r="AB126" s="686">
        <f t="shared" si="45"/>
        <v>0</v>
      </c>
      <c r="AC126" s="686">
        <f t="shared" si="45"/>
        <v>0</v>
      </c>
      <c r="AD126" s="686">
        <f t="shared" si="45"/>
        <v>0</v>
      </c>
      <c r="AE126" s="120"/>
      <c r="AF126" s="50"/>
    </row>
    <row r="127" spans="2:32" x14ac:dyDescent="0.2">
      <c r="B127" s="50"/>
      <c r="C127" s="69"/>
      <c r="D127" s="75"/>
      <c r="E127" s="75"/>
      <c r="F127" s="99"/>
      <c r="G127" s="88"/>
      <c r="H127" s="165"/>
      <c r="I127" s="88"/>
      <c r="J127" s="88"/>
      <c r="K127" s="71"/>
      <c r="L127" s="74">
        <f t="shared" ref="L127:L190" si="47">IF(J127="geen",9999999999,J127)</f>
        <v>0</v>
      </c>
      <c r="M127" s="686">
        <f t="shared" ref="M127:M190" si="48">G127*H127</f>
        <v>0</v>
      </c>
      <c r="N127" s="686">
        <f t="shared" ref="N127:N190" si="49">IF(G127=0,0,(G127*H127)/L127)</f>
        <v>0</v>
      </c>
      <c r="O127" s="697" t="str">
        <f t="shared" ref="O127:O190" si="50">IF(L127=0,"-",(IF(L127&gt;3000,"-",I127+L127-1)))</f>
        <v>-</v>
      </c>
      <c r="P127" s="686">
        <f t="shared" ref="P127:P190" si="51">IF(J127="geen",IF(I127&lt;$R$8,G127*H127,0),IF(I127&gt;=$R$8,0,IF((H127*G127-(R$8-I127)*N127)&lt;0,0,H127*G127-(R$8-I127)*N127)))</f>
        <v>0</v>
      </c>
      <c r="Q127" s="71"/>
      <c r="R127" s="686">
        <f t="shared" si="21"/>
        <v>0</v>
      </c>
      <c r="S127" s="686">
        <f t="shared" si="22"/>
        <v>0</v>
      </c>
      <c r="T127" s="686">
        <f t="shared" si="23"/>
        <v>0</v>
      </c>
      <c r="U127" s="686">
        <f t="shared" si="40"/>
        <v>0</v>
      </c>
      <c r="V127" s="686">
        <f t="shared" si="40"/>
        <v>0</v>
      </c>
      <c r="W127" s="686">
        <f t="shared" si="46"/>
        <v>0</v>
      </c>
      <c r="X127" s="71"/>
      <c r="Y127" s="686">
        <f t="shared" si="42"/>
        <v>0</v>
      </c>
      <c r="Z127" s="686">
        <f t="shared" si="42"/>
        <v>0</v>
      </c>
      <c r="AA127" s="686">
        <f t="shared" si="42"/>
        <v>0</v>
      </c>
      <c r="AB127" s="686">
        <f t="shared" si="45"/>
        <v>0</v>
      </c>
      <c r="AC127" s="686">
        <f t="shared" si="45"/>
        <v>0</v>
      </c>
      <c r="AD127" s="686">
        <f t="shared" si="45"/>
        <v>0</v>
      </c>
      <c r="AE127" s="120"/>
      <c r="AF127" s="50"/>
    </row>
    <row r="128" spans="2:32" x14ac:dyDescent="0.2">
      <c r="B128" s="50"/>
      <c r="C128" s="69"/>
      <c r="D128" s="75"/>
      <c r="E128" s="75"/>
      <c r="F128" s="99"/>
      <c r="G128" s="88"/>
      <c r="H128" s="165"/>
      <c r="I128" s="88"/>
      <c r="J128" s="88"/>
      <c r="K128" s="71"/>
      <c r="L128" s="74">
        <f t="shared" si="47"/>
        <v>0</v>
      </c>
      <c r="M128" s="686">
        <f t="shared" si="48"/>
        <v>0</v>
      </c>
      <c r="N128" s="686">
        <f t="shared" si="49"/>
        <v>0</v>
      </c>
      <c r="O128" s="697" t="str">
        <f t="shared" si="50"/>
        <v>-</v>
      </c>
      <c r="P128" s="686">
        <f t="shared" si="51"/>
        <v>0</v>
      </c>
      <c r="Q128" s="71"/>
      <c r="R128" s="686">
        <f t="shared" si="21"/>
        <v>0</v>
      </c>
      <c r="S128" s="686">
        <f t="shared" si="22"/>
        <v>0</v>
      </c>
      <c r="T128" s="686">
        <f t="shared" si="23"/>
        <v>0</v>
      </c>
      <c r="U128" s="686">
        <f t="shared" si="40"/>
        <v>0</v>
      </c>
      <c r="V128" s="686">
        <f t="shared" si="40"/>
        <v>0</v>
      </c>
      <c r="W128" s="686">
        <f t="shared" si="46"/>
        <v>0</v>
      </c>
      <c r="X128" s="71"/>
      <c r="Y128" s="686">
        <f t="shared" si="42"/>
        <v>0</v>
      </c>
      <c r="Z128" s="686">
        <f t="shared" si="42"/>
        <v>0</v>
      </c>
      <c r="AA128" s="686">
        <f t="shared" si="42"/>
        <v>0</v>
      </c>
      <c r="AB128" s="686">
        <f t="shared" si="45"/>
        <v>0</v>
      </c>
      <c r="AC128" s="686">
        <f t="shared" si="45"/>
        <v>0</v>
      </c>
      <c r="AD128" s="686">
        <f t="shared" si="45"/>
        <v>0</v>
      </c>
      <c r="AE128" s="120"/>
      <c r="AF128" s="50"/>
    </row>
    <row r="129" spans="2:32" x14ac:dyDescent="0.2">
      <c r="B129" s="50"/>
      <c r="C129" s="69"/>
      <c r="D129" s="75"/>
      <c r="E129" s="75"/>
      <c r="F129" s="99"/>
      <c r="G129" s="88"/>
      <c r="H129" s="165"/>
      <c r="I129" s="88"/>
      <c r="J129" s="88"/>
      <c r="K129" s="71"/>
      <c r="L129" s="74">
        <f t="shared" si="47"/>
        <v>0</v>
      </c>
      <c r="M129" s="686">
        <f t="shared" si="48"/>
        <v>0</v>
      </c>
      <c r="N129" s="686">
        <f t="shared" si="49"/>
        <v>0</v>
      </c>
      <c r="O129" s="697" t="str">
        <f t="shared" si="50"/>
        <v>-</v>
      </c>
      <c r="P129" s="686">
        <f t="shared" si="51"/>
        <v>0</v>
      </c>
      <c r="Q129" s="71"/>
      <c r="R129" s="686">
        <f t="shared" si="21"/>
        <v>0</v>
      </c>
      <c r="S129" s="686">
        <f t="shared" si="22"/>
        <v>0</v>
      </c>
      <c r="T129" s="686">
        <f t="shared" si="23"/>
        <v>0</v>
      </c>
      <c r="U129" s="686">
        <f t="shared" si="40"/>
        <v>0</v>
      </c>
      <c r="V129" s="686">
        <f t="shared" si="40"/>
        <v>0</v>
      </c>
      <c r="W129" s="686">
        <f t="shared" si="46"/>
        <v>0</v>
      </c>
      <c r="X129" s="71"/>
      <c r="Y129" s="686">
        <f t="shared" si="42"/>
        <v>0</v>
      </c>
      <c r="Z129" s="686">
        <f t="shared" si="42"/>
        <v>0</v>
      </c>
      <c r="AA129" s="686">
        <f t="shared" si="42"/>
        <v>0</v>
      </c>
      <c r="AB129" s="686">
        <f t="shared" si="45"/>
        <v>0</v>
      </c>
      <c r="AC129" s="686">
        <f t="shared" si="45"/>
        <v>0</v>
      </c>
      <c r="AD129" s="686">
        <f t="shared" si="45"/>
        <v>0</v>
      </c>
      <c r="AE129" s="120"/>
      <c r="AF129" s="50"/>
    </row>
    <row r="130" spans="2:32" x14ac:dyDescent="0.2">
      <c r="B130" s="50"/>
      <c r="C130" s="69"/>
      <c r="D130" s="75"/>
      <c r="E130" s="75"/>
      <c r="F130" s="99"/>
      <c r="G130" s="88"/>
      <c r="H130" s="165"/>
      <c r="I130" s="88"/>
      <c r="J130" s="88"/>
      <c r="K130" s="71"/>
      <c r="L130" s="74">
        <f t="shared" si="47"/>
        <v>0</v>
      </c>
      <c r="M130" s="686">
        <f t="shared" si="48"/>
        <v>0</v>
      </c>
      <c r="N130" s="686">
        <f t="shared" si="49"/>
        <v>0</v>
      </c>
      <c r="O130" s="697" t="str">
        <f t="shared" si="50"/>
        <v>-</v>
      </c>
      <c r="P130" s="686">
        <f t="shared" si="51"/>
        <v>0</v>
      </c>
      <c r="Q130" s="71"/>
      <c r="R130" s="686">
        <f t="shared" si="21"/>
        <v>0</v>
      </c>
      <c r="S130" s="686">
        <f t="shared" si="22"/>
        <v>0</v>
      </c>
      <c r="T130" s="686">
        <f t="shared" si="23"/>
        <v>0</v>
      </c>
      <c r="U130" s="686">
        <f t="shared" si="40"/>
        <v>0</v>
      </c>
      <c r="V130" s="686">
        <f t="shared" si="40"/>
        <v>0</v>
      </c>
      <c r="W130" s="686">
        <f t="shared" si="46"/>
        <v>0</v>
      </c>
      <c r="X130" s="71"/>
      <c r="Y130" s="686">
        <f t="shared" si="42"/>
        <v>0</v>
      </c>
      <c r="Z130" s="686">
        <f t="shared" si="42"/>
        <v>0</v>
      </c>
      <c r="AA130" s="686">
        <f t="shared" si="42"/>
        <v>0</v>
      </c>
      <c r="AB130" s="686">
        <f t="shared" si="45"/>
        <v>0</v>
      </c>
      <c r="AC130" s="686">
        <f t="shared" si="45"/>
        <v>0</v>
      </c>
      <c r="AD130" s="686">
        <f t="shared" si="45"/>
        <v>0</v>
      </c>
      <c r="AE130" s="120"/>
      <c r="AF130" s="50"/>
    </row>
    <row r="131" spans="2:32" x14ac:dyDescent="0.2">
      <c r="B131" s="50"/>
      <c r="C131" s="69"/>
      <c r="D131" s="75"/>
      <c r="E131" s="75"/>
      <c r="F131" s="99"/>
      <c r="G131" s="88"/>
      <c r="H131" s="165"/>
      <c r="I131" s="88"/>
      <c r="J131" s="88"/>
      <c r="K131" s="71"/>
      <c r="L131" s="74">
        <f t="shared" si="47"/>
        <v>0</v>
      </c>
      <c r="M131" s="686">
        <f t="shared" si="48"/>
        <v>0</v>
      </c>
      <c r="N131" s="686">
        <f t="shared" si="49"/>
        <v>0</v>
      </c>
      <c r="O131" s="697" t="str">
        <f t="shared" si="50"/>
        <v>-</v>
      </c>
      <c r="P131" s="686">
        <f t="shared" si="51"/>
        <v>0</v>
      </c>
      <c r="Q131" s="71"/>
      <c r="R131" s="686">
        <f t="shared" si="21"/>
        <v>0</v>
      </c>
      <c r="S131" s="686">
        <f t="shared" si="22"/>
        <v>0</v>
      </c>
      <c r="T131" s="686">
        <f t="shared" si="23"/>
        <v>0</v>
      </c>
      <c r="U131" s="686">
        <f t="shared" si="40"/>
        <v>0</v>
      </c>
      <c r="V131" s="686">
        <f t="shared" si="40"/>
        <v>0</v>
      </c>
      <c r="W131" s="686">
        <f t="shared" si="46"/>
        <v>0</v>
      </c>
      <c r="X131" s="71"/>
      <c r="Y131" s="686">
        <f t="shared" si="42"/>
        <v>0</v>
      </c>
      <c r="Z131" s="686">
        <f t="shared" si="42"/>
        <v>0</v>
      </c>
      <c r="AA131" s="686">
        <f t="shared" si="42"/>
        <v>0</v>
      </c>
      <c r="AB131" s="686">
        <f t="shared" si="45"/>
        <v>0</v>
      </c>
      <c r="AC131" s="686">
        <f t="shared" si="45"/>
        <v>0</v>
      </c>
      <c r="AD131" s="686">
        <f t="shared" si="45"/>
        <v>0</v>
      </c>
      <c r="AE131" s="120"/>
      <c r="AF131" s="50"/>
    </row>
    <row r="132" spans="2:32" x14ac:dyDescent="0.2">
      <c r="B132" s="50"/>
      <c r="C132" s="69"/>
      <c r="D132" s="75"/>
      <c r="E132" s="75"/>
      <c r="F132" s="99"/>
      <c r="G132" s="88"/>
      <c r="H132" s="165"/>
      <c r="I132" s="88"/>
      <c r="J132" s="88"/>
      <c r="K132" s="71"/>
      <c r="L132" s="74">
        <f t="shared" si="47"/>
        <v>0</v>
      </c>
      <c r="M132" s="686">
        <f t="shared" si="48"/>
        <v>0</v>
      </c>
      <c r="N132" s="686">
        <f t="shared" si="49"/>
        <v>0</v>
      </c>
      <c r="O132" s="697" t="str">
        <f t="shared" si="50"/>
        <v>-</v>
      </c>
      <c r="P132" s="686">
        <f t="shared" si="51"/>
        <v>0</v>
      </c>
      <c r="Q132" s="71"/>
      <c r="R132" s="686">
        <f t="shared" si="21"/>
        <v>0</v>
      </c>
      <c r="S132" s="686">
        <f t="shared" si="22"/>
        <v>0</v>
      </c>
      <c r="T132" s="686">
        <f t="shared" si="23"/>
        <v>0</v>
      </c>
      <c r="U132" s="686">
        <f t="shared" si="40"/>
        <v>0</v>
      </c>
      <c r="V132" s="686">
        <f t="shared" si="40"/>
        <v>0</v>
      </c>
      <c r="W132" s="686">
        <f t="shared" si="46"/>
        <v>0</v>
      </c>
      <c r="X132" s="71"/>
      <c r="Y132" s="686">
        <f t="shared" si="42"/>
        <v>0</v>
      </c>
      <c r="Z132" s="686">
        <f t="shared" si="42"/>
        <v>0</v>
      </c>
      <c r="AA132" s="686">
        <f t="shared" si="42"/>
        <v>0</v>
      </c>
      <c r="AB132" s="686">
        <f t="shared" si="45"/>
        <v>0</v>
      </c>
      <c r="AC132" s="686">
        <f t="shared" si="45"/>
        <v>0</v>
      </c>
      <c r="AD132" s="686">
        <f t="shared" si="45"/>
        <v>0</v>
      </c>
      <c r="AE132" s="120"/>
      <c r="AF132" s="50"/>
    </row>
    <row r="133" spans="2:32" x14ac:dyDescent="0.2">
      <c r="B133" s="50"/>
      <c r="C133" s="69"/>
      <c r="D133" s="75"/>
      <c r="E133" s="75"/>
      <c r="F133" s="99"/>
      <c r="G133" s="88"/>
      <c r="H133" s="165"/>
      <c r="I133" s="88"/>
      <c r="J133" s="88"/>
      <c r="K133" s="71"/>
      <c r="L133" s="74">
        <f t="shared" si="47"/>
        <v>0</v>
      </c>
      <c r="M133" s="686">
        <f t="shared" si="48"/>
        <v>0</v>
      </c>
      <c r="N133" s="686">
        <f t="shared" si="49"/>
        <v>0</v>
      </c>
      <c r="O133" s="697" t="str">
        <f t="shared" si="50"/>
        <v>-</v>
      </c>
      <c r="P133" s="686">
        <f t="shared" si="51"/>
        <v>0</v>
      </c>
      <c r="Q133" s="71"/>
      <c r="R133" s="686">
        <f t="shared" si="21"/>
        <v>0</v>
      </c>
      <c r="S133" s="686">
        <f t="shared" si="22"/>
        <v>0</v>
      </c>
      <c r="T133" s="686">
        <f t="shared" si="23"/>
        <v>0</v>
      </c>
      <c r="U133" s="686">
        <f t="shared" si="40"/>
        <v>0</v>
      </c>
      <c r="V133" s="686">
        <f t="shared" si="40"/>
        <v>0</v>
      </c>
      <c r="W133" s="686">
        <f t="shared" si="46"/>
        <v>0</v>
      </c>
      <c r="X133" s="71"/>
      <c r="Y133" s="686">
        <f t="shared" si="42"/>
        <v>0</v>
      </c>
      <c r="Z133" s="686">
        <f t="shared" si="42"/>
        <v>0</v>
      </c>
      <c r="AA133" s="686">
        <f t="shared" si="42"/>
        <v>0</v>
      </c>
      <c r="AB133" s="686">
        <f t="shared" si="45"/>
        <v>0</v>
      </c>
      <c r="AC133" s="686">
        <f t="shared" si="45"/>
        <v>0</v>
      </c>
      <c r="AD133" s="686">
        <f t="shared" si="45"/>
        <v>0</v>
      </c>
      <c r="AE133" s="120"/>
      <c r="AF133" s="50"/>
    </row>
    <row r="134" spans="2:32" x14ac:dyDescent="0.2">
      <c r="B134" s="50"/>
      <c r="C134" s="69"/>
      <c r="D134" s="75"/>
      <c r="E134" s="75"/>
      <c r="F134" s="99"/>
      <c r="G134" s="88"/>
      <c r="H134" s="165"/>
      <c r="I134" s="88"/>
      <c r="J134" s="88"/>
      <c r="K134" s="71"/>
      <c r="L134" s="74">
        <f t="shared" si="47"/>
        <v>0</v>
      </c>
      <c r="M134" s="686">
        <f t="shared" si="48"/>
        <v>0</v>
      </c>
      <c r="N134" s="686">
        <f t="shared" si="49"/>
        <v>0</v>
      </c>
      <c r="O134" s="697" t="str">
        <f t="shared" si="50"/>
        <v>-</v>
      </c>
      <c r="P134" s="686">
        <f t="shared" si="51"/>
        <v>0</v>
      </c>
      <c r="Q134" s="71"/>
      <c r="R134" s="686">
        <f t="shared" si="21"/>
        <v>0</v>
      </c>
      <c r="S134" s="686">
        <f t="shared" si="22"/>
        <v>0</v>
      </c>
      <c r="T134" s="686">
        <f t="shared" si="23"/>
        <v>0</v>
      </c>
      <c r="U134" s="686">
        <f t="shared" si="40"/>
        <v>0</v>
      </c>
      <c r="V134" s="686">
        <f t="shared" si="40"/>
        <v>0</v>
      </c>
      <c r="W134" s="686">
        <f t="shared" si="46"/>
        <v>0</v>
      </c>
      <c r="X134" s="71"/>
      <c r="Y134" s="686">
        <f t="shared" si="42"/>
        <v>0</v>
      </c>
      <c r="Z134" s="686">
        <f t="shared" si="42"/>
        <v>0</v>
      </c>
      <c r="AA134" s="686">
        <f t="shared" si="42"/>
        <v>0</v>
      </c>
      <c r="AB134" s="686">
        <f t="shared" si="45"/>
        <v>0</v>
      </c>
      <c r="AC134" s="686">
        <f t="shared" si="45"/>
        <v>0</v>
      </c>
      <c r="AD134" s="686">
        <f t="shared" si="45"/>
        <v>0</v>
      </c>
      <c r="AE134" s="120"/>
      <c r="AF134" s="50"/>
    </row>
    <row r="135" spans="2:32" x14ac:dyDescent="0.2">
      <c r="B135" s="50"/>
      <c r="C135" s="69"/>
      <c r="D135" s="75"/>
      <c r="E135" s="75"/>
      <c r="F135" s="99"/>
      <c r="G135" s="88"/>
      <c r="H135" s="165"/>
      <c r="I135" s="88"/>
      <c r="J135" s="88"/>
      <c r="K135" s="71"/>
      <c r="L135" s="74">
        <f t="shared" si="47"/>
        <v>0</v>
      </c>
      <c r="M135" s="686">
        <f t="shared" si="48"/>
        <v>0</v>
      </c>
      <c r="N135" s="686">
        <f t="shared" si="49"/>
        <v>0</v>
      </c>
      <c r="O135" s="697" t="str">
        <f t="shared" si="50"/>
        <v>-</v>
      </c>
      <c r="P135" s="686">
        <f t="shared" si="51"/>
        <v>0</v>
      </c>
      <c r="Q135" s="71"/>
      <c r="R135" s="686">
        <f t="shared" si="21"/>
        <v>0</v>
      </c>
      <c r="S135" s="686">
        <f t="shared" si="22"/>
        <v>0</v>
      </c>
      <c r="T135" s="686">
        <f t="shared" si="23"/>
        <v>0</v>
      </c>
      <c r="U135" s="686">
        <f t="shared" si="40"/>
        <v>0</v>
      </c>
      <c r="V135" s="686">
        <f t="shared" si="40"/>
        <v>0</v>
      </c>
      <c r="W135" s="686">
        <f t="shared" si="46"/>
        <v>0</v>
      </c>
      <c r="X135" s="71"/>
      <c r="Y135" s="686">
        <f t="shared" si="42"/>
        <v>0</v>
      </c>
      <c r="Z135" s="686">
        <f t="shared" si="42"/>
        <v>0</v>
      </c>
      <c r="AA135" s="686">
        <f t="shared" si="42"/>
        <v>0</v>
      </c>
      <c r="AB135" s="686">
        <f t="shared" si="45"/>
        <v>0</v>
      </c>
      <c r="AC135" s="686">
        <f t="shared" si="45"/>
        <v>0</v>
      </c>
      <c r="AD135" s="686">
        <f t="shared" si="45"/>
        <v>0</v>
      </c>
      <c r="AE135" s="120"/>
      <c r="AF135" s="50"/>
    </row>
    <row r="136" spans="2:32" x14ac:dyDescent="0.2">
      <c r="B136" s="50"/>
      <c r="C136" s="69"/>
      <c r="D136" s="75"/>
      <c r="E136" s="75"/>
      <c r="F136" s="99"/>
      <c r="G136" s="88"/>
      <c r="H136" s="165"/>
      <c r="I136" s="88"/>
      <c r="J136" s="88"/>
      <c r="K136" s="71"/>
      <c r="L136" s="74">
        <f t="shared" si="47"/>
        <v>0</v>
      </c>
      <c r="M136" s="686">
        <f t="shared" si="48"/>
        <v>0</v>
      </c>
      <c r="N136" s="686">
        <f t="shared" si="49"/>
        <v>0</v>
      </c>
      <c r="O136" s="697" t="str">
        <f t="shared" si="50"/>
        <v>-</v>
      </c>
      <c r="P136" s="686">
        <f t="shared" si="51"/>
        <v>0</v>
      </c>
      <c r="Q136" s="71"/>
      <c r="R136" s="686">
        <f t="shared" si="21"/>
        <v>0</v>
      </c>
      <c r="S136" s="686">
        <f t="shared" si="22"/>
        <v>0</v>
      </c>
      <c r="T136" s="686">
        <f t="shared" si="23"/>
        <v>0</v>
      </c>
      <c r="U136" s="686">
        <f t="shared" si="40"/>
        <v>0</v>
      </c>
      <c r="V136" s="686">
        <f t="shared" si="40"/>
        <v>0</v>
      </c>
      <c r="W136" s="686">
        <f t="shared" si="46"/>
        <v>0</v>
      </c>
      <c r="X136" s="71"/>
      <c r="Y136" s="686">
        <f t="shared" si="42"/>
        <v>0</v>
      </c>
      <c r="Z136" s="686">
        <f t="shared" si="42"/>
        <v>0</v>
      </c>
      <c r="AA136" s="686">
        <f t="shared" si="42"/>
        <v>0</v>
      </c>
      <c r="AB136" s="686">
        <f t="shared" si="45"/>
        <v>0</v>
      </c>
      <c r="AC136" s="686">
        <f t="shared" si="45"/>
        <v>0</v>
      </c>
      <c r="AD136" s="686">
        <f t="shared" si="45"/>
        <v>0</v>
      </c>
      <c r="AE136" s="120"/>
      <c r="AF136" s="50"/>
    </row>
    <row r="137" spans="2:32" x14ac:dyDescent="0.2">
      <c r="B137" s="50"/>
      <c r="C137" s="69"/>
      <c r="D137" s="75"/>
      <c r="E137" s="75"/>
      <c r="F137" s="99"/>
      <c r="G137" s="88"/>
      <c r="H137" s="165"/>
      <c r="I137" s="88"/>
      <c r="J137" s="88"/>
      <c r="K137" s="71"/>
      <c r="L137" s="74">
        <f t="shared" si="47"/>
        <v>0</v>
      </c>
      <c r="M137" s="686">
        <f t="shared" si="48"/>
        <v>0</v>
      </c>
      <c r="N137" s="686">
        <f t="shared" si="49"/>
        <v>0</v>
      </c>
      <c r="O137" s="697" t="str">
        <f t="shared" si="50"/>
        <v>-</v>
      </c>
      <c r="P137" s="686">
        <f t="shared" si="51"/>
        <v>0</v>
      </c>
      <c r="Q137" s="71"/>
      <c r="R137" s="686">
        <f t="shared" si="21"/>
        <v>0</v>
      </c>
      <c r="S137" s="686">
        <f t="shared" si="22"/>
        <v>0</v>
      </c>
      <c r="T137" s="686">
        <f t="shared" si="23"/>
        <v>0</v>
      </c>
      <c r="U137" s="686">
        <f t="shared" si="40"/>
        <v>0</v>
      </c>
      <c r="V137" s="686">
        <f t="shared" si="40"/>
        <v>0</v>
      </c>
      <c r="W137" s="686">
        <f t="shared" si="46"/>
        <v>0</v>
      </c>
      <c r="X137" s="71"/>
      <c r="Y137" s="686">
        <f t="shared" si="42"/>
        <v>0</v>
      </c>
      <c r="Z137" s="686">
        <f t="shared" si="42"/>
        <v>0</v>
      </c>
      <c r="AA137" s="686">
        <f t="shared" si="42"/>
        <v>0</v>
      </c>
      <c r="AB137" s="686">
        <f t="shared" si="45"/>
        <v>0</v>
      </c>
      <c r="AC137" s="686">
        <f t="shared" si="45"/>
        <v>0</v>
      </c>
      <c r="AD137" s="686">
        <f t="shared" si="45"/>
        <v>0</v>
      </c>
      <c r="AE137" s="120"/>
      <c r="AF137" s="50"/>
    </row>
    <row r="138" spans="2:32" x14ac:dyDescent="0.2">
      <c r="B138" s="50"/>
      <c r="C138" s="69"/>
      <c r="D138" s="75"/>
      <c r="E138" s="75"/>
      <c r="F138" s="99"/>
      <c r="G138" s="88"/>
      <c r="H138" s="165"/>
      <c r="I138" s="88"/>
      <c r="J138" s="88"/>
      <c r="K138" s="71"/>
      <c r="L138" s="74">
        <f t="shared" si="47"/>
        <v>0</v>
      </c>
      <c r="M138" s="686">
        <f t="shared" si="48"/>
        <v>0</v>
      </c>
      <c r="N138" s="686">
        <f t="shared" si="49"/>
        <v>0</v>
      </c>
      <c r="O138" s="697" t="str">
        <f t="shared" si="50"/>
        <v>-</v>
      </c>
      <c r="P138" s="686">
        <f t="shared" si="51"/>
        <v>0</v>
      </c>
      <c r="Q138" s="71"/>
      <c r="R138" s="686">
        <f t="shared" si="21"/>
        <v>0</v>
      </c>
      <c r="S138" s="686">
        <f t="shared" si="22"/>
        <v>0</v>
      </c>
      <c r="T138" s="686">
        <f t="shared" si="23"/>
        <v>0</v>
      </c>
      <c r="U138" s="686">
        <f t="shared" si="40"/>
        <v>0</v>
      </c>
      <c r="V138" s="686">
        <f t="shared" si="40"/>
        <v>0</v>
      </c>
      <c r="W138" s="686">
        <f t="shared" si="46"/>
        <v>0</v>
      </c>
      <c r="X138" s="71"/>
      <c r="Y138" s="686">
        <f t="shared" si="42"/>
        <v>0</v>
      </c>
      <c r="Z138" s="686">
        <f t="shared" si="42"/>
        <v>0</v>
      </c>
      <c r="AA138" s="686">
        <f t="shared" si="42"/>
        <v>0</v>
      </c>
      <c r="AB138" s="686">
        <f t="shared" si="45"/>
        <v>0</v>
      </c>
      <c r="AC138" s="686">
        <f t="shared" si="45"/>
        <v>0</v>
      </c>
      <c r="AD138" s="686">
        <f t="shared" si="45"/>
        <v>0</v>
      </c>
      <c r="AE138" s="120"/>
      <c r="AF138" s="50"/>
    </row>
    <row r="139" spans="2:32" x14ac:dyDescent="0.2">
      <c r="B139" s="50"/>
      <c r="C139" s="69"/>
      <c r="D139" s="75"/>
      <c r="E139" s="75"/>
      <c r="F139" s="99"/>
      <c r="G139" s="88"/>
      <c r="H139" s="165"/>
      <c r="I139" s="88"/>
      <c r="J139" s="88"/>
      <c r="K139" s="71"/>
      <c r="L139" s="74">
        <f t="shared" si="47"/>
        <v>0</v>
      </c>
      <c r="M139" s="686">
        <f t="shared" si="48"/>
        <v>0</v>
      </c>
      <c r="N139" s="686">
        <f t="shared" si="49"/>
        <v>0</v>
      </c>
      <c r="O139" s="697" t="str">
        <f t="shared" si="50"/>
        <v>-</v>
      </c>
      <c r="P139" s="686">
        <f t="shared" si="51"/>
        <v>0</v>
      </c>
      <c r="Q139" s="71"/>
      <c r="R139" s="686">
        <f t="shared" si="21"/>
        <v>0</v>
      </c>
      <c r="S139" s="686">
        <f t="shared" si="22"/>
        <v>0</v>
      </c>
      <c r="T139" s="686">
        <f t="shared" si="23"/>
        <v>0</v>
      </c>
      <c r="U139" s="686">
        <f t="shared" si="40"/>
        <v>0</v>
      </c>
      <c r="V139" s="686">
        <f t="shared" si="40"/>
        <v>0</v>
      </c>
      <c r="W139" s="686">
        <f t="shared" si="46"/>
        <v>0</v>
      </c>
      <c r="X139" s="71"/>
      <c r="Y139" s="686">
        <f t="shared" si="42"/>
        <v>0</v>
      </c>
      <c r="Z139" s="686">
        <f t="shared" si="42"/>
        <v>0</v>
      </c>
      <c r="AA139" s="686">
        <f t="shared" si="42"/>
        <v>0</v>
      </c>
      <c r="AB139" s="686">
        <f t="shared" si="45"/>
        <v>0</v>
      </c>
      <c r="AC139" s="686">
        <f t="shared" si="45"/>
        <v>0</v>
      </c>
      <c r="AD139" s="686">
        <f t="shared" si="45"/>
        <v>0</v>
      </c>
      <c r="AE139" s="120"/>
      <c r="AF139" s="50"/>
    </row>
    <row r="140" spans="2:32" x14ac:dyDescent="0.2">
      <c r="B140" s="50"/>
      <c r="C140" s="69"/>
      <c r="D140" s="75"/>
      <c r="E140" s="75"/>
      <c r="F140" s="99"/>
      <c r="G140" s="88"/>
      <c r="H140" s="165"/>
      <c r="I140" s="88"/>
      <c r="J140" s="88"/>
      <c r="K140" s="71"/>
      <c r="L140" s="74">
        <f t="shared" si="47"/>
        <v>0</v>
      </c>
      <c r="M140" s="686">
        <f t="shared" si="48"/>
        <v>0</v>
      </c>
      <c r="N140" s="686">
        <f t="shared" si="49"/>
        <v>0</v>
      </c>
      <c r="O140" s="697" t="str">
        <f t="shared" si="50"/>
        <v>-</v>
      </c>
      <c r="P140" s="686">
        <f t="shared" si="51"/>
        <v>0</v>
      </c>
      <c r="Q140" s="71"/>
      <c r="R140" s="686">
        <f t="shared" si="21"/>
        <v>0</v>
      </c>
      <c r="S140" s="686">
        <f t="shared" si="22"/>
        <v>0</v>
      </c>
      <c r="T140" s="686">
        <f t="shared" si="23"/>
        <v>0</v>
      </c>
      <c r="U140" s="686">
        <f t="shared" si="40"/>
        <v>0</v>
      </c>
      <c r="V140" s="686">
        <f t="shared" si="40"/>
        <v>0</v>
      </c>
      <c r="W140" s="686">
        <f t="shared" si="46"/>
        <v>0</v>
      </c>
      <c r="X140" s="71"/>
      <c r="Y140" s="686">
        <f t="shared" si="42"/>
        <v>0</v>
      </c>
      <c r="Z140" s="686">
        <f t="shared" si="42"/>
        <v>0</v>
      </c>
      <c r="AA140" s="686">
        <f t="shared" si="42"/>
        <v>0</v>
      </c>
      <c r="AB140" s="686">
        <f t="shared" si="45"/>
        <v>0</v>
      </c>
      <c r="AC140" s="686">
        <f t="shared" si="45"/>
        <v>0</v>
      </c>
      <c r="AD140" s="686">
        <f t="shared" si="45"/>
        <v>0</v>
      </c>
      <c r="AE140" s="120"/>
      <c r="AF140" s="50"/>
    </row>
    <row r="141" spans="2:32" x14ac:dyDescent="0.2">
      <c r="B141" s="50"/>
      <c r="C141" s="69"/>
      <c r="D141" s="75"/>
      <c r="E141" s="75"/>
      <c r="F141" s="99"/>
      <c r="G141" s="88"/>
      <c r="H141" s="165"/>
      <c r="I141" s="88"/>
      <c r="J141" s="88"/>
      <c r="K141" s="71"/>
      <c r="L141" s="74">
        <f t="shared" si="47"/>
        <v>0</v>
      </c>
      <c r="M141" s="686">
        <f t="shared" si="48"/>
        <v>0</v>
      </c>
      <c r="N141" s="686">
        <f t="shared" si="49"/>
        <v>0</v>
      </c>
      <c r="O141" s="697" t="str">
        <f t="shared" si="50"/>
        <v>-</v>
      </c>
      <c r="P141" s="686">
        <f t="shared" si="51"/>
        <v>0</v>
      </c>
      <c r="Q141" s="71"/>
      <c r="R141" s="686">
        <f t="shared" si="21"/>
        <v>0</v>
      </c>
      <c r="S141" s="686">
        <f t="shared" si="22"/>
        <v>0</v>
      </c>
      <c r="T141" s="686">
        <f t="shared" si="23"/>
        <v>0</v>
      </c>
      <c r="U141" s="686">
        <f t="shared" si="40"/>
        <v>0</v>
      </c>
      <c r="V141" s="686">
        <f t="shared" si="40"/>
        <v>0</v>
      </c>
      <c r="W141" s="686">
        <f t="shared" si="46"/>
        <v>0</v>
      </c>
      <c r="X141" s="71"/>
      <c r="Y141" s="686">
        <f t="shared" si="42"/>
        <v>0</v>
      </c>
      <c r="Z141" s="686">
        <f t="shared" si="42"/>
        <v>0</v>
      </c>
      <c r="AA141" s="686">
        <f t="shared" si="42"/>
        <v>0</v>
      </c>
      <c r="AB141" s="686">
        <f t="shared" si="45"/>
        <v>0</v>
      </c>
      <c r="AC141" s="686">
        <f t="shared" si="45"/>
        <v>0</v>
      </c>
      <c r="AD141" s="686">
        <f t="shared" si="45"/>
        <v>0</v>
      </c>
      <c r="AE141" s="120"/>
      <c r="AF141" s="50"/>
    </row>
    <row r="142" spans="2:32" x14ac:dyDescent="0.2">
      <c r="B142" s="50"/>
      <c r="C142" s="69"/>
      <c r="D142" s="75"/>
      <c r="E142" s="75"/>
      <c r="F142" s="99"/>
      <c r="G142" s="88"/>
      <c r="H142" s="165"/>
      <c r="I142" s="88"/>
      <c r="J142" s="88"/>
      <c r="K142" s="71"/>
      <c r="L142" s="74">
        <f t="shared" si="47"/>
        <v>0</v>
      </c>
      <c r="M142" s="686">
        <f t="shared" si="48"/>
        <v>0</v>
      </c>
      <c r="N142" s="686">
        <f t="shared" si="49"/>
        <v>0</v>
      </c>
      <c r="O142" s="697" t="str">
        <f t="shared" si="50"/>
        <v>-</v>
      </c>
      <c r="P142" s="686">
        <f t="shared" si="51"/>
        <v>0</v>
      </c>
      <c r="Q142" s="71"/>
      <c r="R142" s="686">
        <f t="shared" si="21"/>
        <v>0</v>
      </c>
      <c r="S142" s="686">
        <f t="shared" si="22"/>
        <v>0</v>
      </c>
      <c r="T142" s="686">
        <f t="shared" si="23"/>
        <v>0</v>
      </c>
      <c r="U142" s="686">
        <f t="shared" si="40"/>
        <v>0</v>
      </c>
      <c r="V142" s="686">
        <f t="shared" si="40"/>
        <v>0</v>
      </c>
      <c r="W142" s="686">
        <f t="shared" si="46"/>
        <v>0</v>
      </c>
      <c r="X142" s="71"/>
      <c r="Y142" s="686">
        <f t="shared" si="42"/>
        <v>0</v>
      </c>
      <c r="Z142" s="686">
        <f t="shared" si="42"/>
        <v>0</v>
      </c>
      <c r="AA142" s="686">
        <f t="shared" si="42"/>
        <v>0</v>
      </c>
      <c r="AB142" s="686">
        <f t="shared" si="45"/>
        <v>0</v>
      </c>
      <c r="AC142" s="686">
        <f t="shared" si="45"/>
        <v>0</v>
      </c>
      <c r="AD142" s="686">
        <f t="shared" si="45"/>
        <v>0</v>
      </c>
      <c r="AE142" s="120"/>
      <c r="AF142" s="50"/>
    </row>
    <row r="143" spans="2:32" x14ac:dyDescent="0.2">
      <c r="B143" s="50"/>
      <c r="C143" s="69"/>
      <c r="D143" s="75"/>
      <c r="E143" s="75"/>
      <c r="F143" s="99"/>
      <c r="G143" s="88"/>
      <c r="H143" s="165"/>
      <c r="I143" s="88"/>
      <c r="J143" s="88"/>
      <c r="K143" s="71"/>
      <c r="L143" s="74">
        <f t="shared" si="47"/>
        <v>0</v>
      </c>
      <c r="M143" s="686">
        <f t="shared" si="48"/>
        <v>0</v>
      </c>
      <c r="N143" s="686">
        <f t="shared" si="49"/>
        <v>0</v>
      </c>
      <c r="O143" s="697" t="str">
        <f t="shared" si="50"/>
        <v>-</v>
      </c>
      <c r="P143" s="686">
        <f t="shared" si="51"/>
        <v>0</v>
      </c>
      <c r="Q143" s="71"/>
      <c r="R143" s="686">
        <f t="shared" si="21"/>
        <v>0</v>
      </c>
      <c r="S143" s="686">
        <f t="shared" si="22"/>
        <v>0</v>
      </c>
      <c r="T143" s="686">
        <f t="shared" si="23"/>
        <v>0</v>
      </c>
      <c r="U143" s="686">
        <f t="shared" si="40"/>
        <v>0</v>
      </c>
      <c r="V143" s="686">
        <f t="shared" si="40"/>
        <v>0</v>
      </c>
      <c r="W143" s="686">
        <f t="shared" si="46"/>
        <v>0</v>
      </c>
      <c r="X143" s="71"/>
      <c r="Y143" s="686">
        <f t="shared" si="42"/>
        <v>0</v>
      </c>
      <c r="Z143" s="686">
        <f t="shared" si="42"/>
        <v>0</v>
      </c>
      <c r="AA143" s="686">
        <f t="shared" si="42"/>
        <v>0</v>
      </c>
      <c r="AB143" s="686">
        <f t="shared" si="45"/>
        <v>0</v>
      </c>
      <c r="AC143" s="686">
        <f t="shared" si="45"/>
        <v>0</v>
      </c>
      <c r="AD143" s="686">
        <f t="shared" si="45"/>
        <v>0</v>
      </c>
      <c r="AE143" s="120"/>
      <c r="AF143" s="50"/>
    </row>
    <row r="144" spans="2:32" x14ac:dyDescent="0.2">
      <c r="B144" s="50"/>
      <c r="C144" s="69"/>
      <c r="D144" s="75"/>
      <c r="E144" s="75"/>
      <c r="F144" s="99"/>
      <c r="G144" s="88"/>
      <c r="H144" s="165"/>
      <c r="I144" s="88"/>
      <c r="J144" s="88"/>
      <c r="K144" s="71"/>
      <c r="L144" s="74">
        <f t="shared" si="47"/>
        <v>0</v>
      </c>
      <c r="M144" s="686">
        <f t="shared" si="48"/>
        <v>0</v>
      </c>
      <c r="N144" s="686">
        <f t="shared" si="49"/>
        <v>0</v>
      </c>
      <c r="O144" s="697" t="str">
        <f t="shared" si="50"/>
        <v>-</v>
      </c>
      <c r="P144" s="686">
        <f t="shared" si="51"/>
        <v>0</v>
      </c>
      <c r="Q144" s="71"/>
      <c r="R144" s="686">
        <f t="shared" si="21"/>
        <v>0</v>
      </c>
      <c r="S144" s="686">
        <f t="shared" si="22"/>
        <v>0</v>
      </c>
      <c r="T144" s="686">
        <f t="shared" si="23"/>
        <v>0</v>
      </c>
      <c r="U144" s="686">
        <f t="shared" si="40"/>
        <v>0</v>
      </c>
      <c r="V144" s="686">
        <f t="shared" si="40"/>
        <v>0</v>
      </c>
      <c r="W144" s="686">
        <f t="shared" si="46"/>
        <v>0</v>
      </c>
      <c r="X144" s="71"/>
      <c r="Y144" s="686">
        <f t="shared" si="42"/>
        <v>0</v>
      </c>
      <c r="Z144" s="686">
        <f t="shared" si="42"/>
        <v>0</v>
      </c>
      <c r="AA144" s="686">
        <f t="shared" si="42"/>
        <v>0</v>
      </c>
      <c r="AB144" s="686">
        <f t="shared" si="45"/>
        <v>0</v>
      </c>
      <c r="AC144" s="686">
        <f t="shared" si="45"/>
        <v>0</v>
      </c>
      <c r="AD144" s="686">
        <f t="shared" si="45"/>
        <v>0</v>
      </c>
      <c r="AE144" s="120"/>
      <c r="AF144" s="50"/>
    </row>
    <row r="145" spans="2:32" x14ac:dyDescent="0.2">
      <c r="B145" s="50"/>
      <c r="C145" s="69"/>
      <c r="D145" s="75"/>
      <c r="E145" s="75"/>
      <c r="F145" s="99"/>
      <c r="G145" s="88"/>
      <c r="H145" s="165"/>
      <c r="I145" s="88"/>
      <c r="J145" s="88"/>
      <c r="K145" s="71"/>
      <c r="L145" s="74">
        <f t="shared" si="47"/>
        <v>0</v>
      </c>
      <c r="M145" s="686">
        <f t="shared" si="48"/>
        <v>0</v>
      </c>
      <c r="N145" s="686">
        <f t="shared" si="49"/>
        <v>0</v>
      </c>
      <c r="O145" s="697" t="str">
        <f t="shared" si="50"/>
        <v>-</v>
      </c>
      <c r="P145" s="686">
        <f t="shared" si="51"/>
        <v>0</v>
      </c>
      <c r="Q145" s="71"/>
      <c r="R145" s="686">
        <f t="shared" si="21"/>
        <v>0</v>
      </c>
      <c r="S145" s="686">
        <f t="shared" si="22"/>
        <v>0</v>
      </c>
      <c r="T145" s="686">
        <f t="shared" si="23"/>
        <v>0</v>
      </c>
      <c r="U145" s="686">
        <f t="shared" si="40"/>
        <v>0</v>
      </c>
      <c r="V145" s="686">
        <f t="shared" si="40"/>
        <v>0</v>
      </c>
      <c r="W145" s="686">
        <f t="shared" si="46"/>
        <v>0</v>
      </c>
      <c r="X145" s="71"/>
      <c r="Y145" s="686">
        <f t="shared" si="42"/>
        <v>0</v>
      </c>
      <c r="Z145" s="686">
        <f t="shared" si="42"/>
        <v>0</v>
      </c>
      <c r="AA145" s="686">
        <f t="shared" si="42"/>
        <v>0</v>
      </c>
      <c r="AB145" s="686">
        <f t="shared" si="45"/>
        <v>0</v>
      </c>
      <c r="AC145" s="686">
        <f t="shared" si="45"/>
        <v>0</v>
      </c>
      <c r="AD145" s="686">
        <f t="shared" si="45"/>
        <v>0</v>
      </c>
      <c r="AE145" s="120"/>
      <c r="AF145" s="50"/>
    </row>
    <row r="146" spans="2:32" x14ac:dyDescent="0.2">
      <c r="B146" s="50"/>
      <c r="C146" s="69"/>
      <c r="D146" s="75"/>
      <c r="E146" s="75"/>
      <c r="F146" s="99"/>
      <c r="G146" s="88"/>
      <c r="H146" s="165"/>
      <c r="I146" s="88"/>
      <c r="J146" s="88"/>
      <c r="K146" s="71"/>
      <c r="L146" s="74">
        <f t="shared" si="47"/>
        <v>0</v>
      </c>
      <c r="M146" s="686">
        <f t="shared" si="48"/>
        <v>0</v>
      </c>
      <c r="N146" s="686">
        <f t="shared" si="49"/>
        <v>0</v>
      </c>
      <c r="O146" s="697" t="str">
        <f t="shared" si="50"/>
        <v>-</v>
      </c>
      <c r="P146" s="686">
        <f t="shared" si="51"/>
        <v>0</v>
      </c>
      <c r="Q146" s="71"/>
      <c r="R146" s="686">
        <f t="shared" si="21"/>
        <v>0</v>
      </c>
      <c r="S146" s="686">
        <f t="shared" si="22"/>
        <v>0</v>
      </c>
      <c r="T146" s="686">
        <f t="shared" si="23"/>
        <v>0</v>
      </c>
      <c r="U146" s="686">
        <f t="shared" si="40"/>
        <v>0</v>
      </c>
      <c r="V146" s="686">
        <f t="shared" si="40"/>
        <v>0</v>
      </c>
      <c r="W146" s="686">
        <f t="shared" si="46"/>
        <v>0</v>
      </c>
      <c r="X146" s="71"/>
      <c r="Y146" s="686">
        <f t="shared" si="42"/>
        <v>0</v>
      </c>
      <c r="Z146" s="686">
        <f t="shared" si="42"/>
        <v>0</v>
      </c>
      <c r="AA146" s="686">
        <f t="shared" si="42"/>
        <v>0</v>
      </c>
      <c r="AB146" s="686">
        <f t="shared" si="45"/>
        <v>0</v>
      </c>
      <c r="AC146" s="686">
        <f t="shared" si="45"/>
        <v>0</v>
      </c>
      <c r="AD146" s="686">
        <f t="shared" si="45"/>
        <v>0</v>
      </c>
      <c r="AE146" s="120"/>
      <c r="AF146" s="50"/>
    </row>
    <row r="147" spans="2:32" x14ac:dyDescent="0.2">
      <c r="B147" s="50"/>
      <c r="C147" s="69"/>
      <c r="D147" s="75"/>
      <c r="E147" s="75"/>
      <c r="F147" s="99"/>
      <c r="G147" s="88"/>
      <c r="H147" s="165"/>
      <c r="I147" s="88"/>
      <c r="J147" s="88"/>
      <c r="K147" s="71"/>
      <c r="L147" s="74">
        <f t="shared" si="47"/>
        <v>0</v>
      </c>
      <c r="M147" s="686">
        <f t="shared" si="48"/>
        <v>0</v>
      </c>
      <c r="N147" s="686">
        <f t="shared" si="49"/>
        <v>0</v>
      </c>
      <c r="O147" s="697" t="str">
        <f t="shared" si="50"/>
        <v>-</v>
      </c>
      <c r="P147" s="686">
        <f t="shared" si="51"/>
        <v>0</v>
      </c>
      <c r="Q147" s="71"/>
      <c r="R147" s="686">
        <f t="shared" si="21"/>
        <v>0</v>
      </c>
      <c r="S147" s="686">
        <f t="shared" si="22"/>
        <v>0</v>
      </c>
      <c r="T147" s="686">
        <f t="shared" si="23"/>
        <v>0</v>
      </c>
      <c r="U147" s="686">
        <f t="shared" si="40"/>
        <v>0</v>
      </c>
      <c r="V147" s="686">
        <f t="shared" si="40"/>
        <v>0</v>
      </c>
      <c r="W147" s="686">
        <f t="shared" si="46"/>
        <v>0</v>
      </c>
      <c r="X147" s="71"/>
      <c r="Y147" s="686">
        <f t="shared" si="42"/>
        <v>0</v>
      </c>
      <c r="Z147" s="686">
        <f t="shared" si="42"/>
        <v>0</v>
      </c>
      <c r="AA147" s="686">
        <f t="shared" si="42"/>
        <v>0</v>
      </c>
      <c r="AB147" s="686">
        <f t="shared" si="45"/>
        <v>0</v>
      </c>
      <c r="AC147" s="686">
        <f t="shared" si="45"/>
        <v>0</v>
      </c>
      <c r="AD147" s="686">
        <f t="shared" si="45"/>
        <v>0</v>
      </c>
      <c r="AE147" s="120"/>
      <c r="AF147" s="50"/>
    </row>
    <row r="148" spans="2:32" x14ac:dyDescent="0.2">
      <c r="B148" s="50"/>
      <c r="C148" s="69"/>
      <c r="D148" s="75"/>
      <c r="E148" s="75"/>
      <c r="F148" s="99"/>
      <c r="G148" s="88"/>
      <c r="H148" s="165"/>
      <c r="I148" s="88"/>
      <c r="J148" s="88"/>
      <c r="K148" s="71"/>
      <c r="L148" s="74">
        <f t="shared" si="47"/>
        <v>0</v>
      </c>
      <c r="M148" s="686">
        <f t="shared" si="48"/>
        <v>0</v>
      </c>
      <c r="N148" s="686">
        <f t="shared" si="49"/>
        <v>0</v>
      </c>
      <c r="O148" s="697" t="str">
        <f t="shared" si="50"/>
        <v>-</v>
      </c>
      <c r="P148" s="686">
        <f t="shared" si="51"/>
        <v>0</v>
      </c>
      <c r="Q148" s="71"/>
      <c r="R148" s="686">
        <f t="shared" si="21"/>
        <v>0</v>
      </c>
      <c r="S148" s="686">
        <f t="shared" si="22"/>
        <v>0</v>
      </c>
      <c r="T148" s="686">
        <f t="shared" si="23"/>
        <v>0</v>
      </c>
      <c r="U148" s="686">
        <f t="shared" si="40"/>
        <v>0</v>
      </c>
      <c r="V148" s="686">
        <f t="shared" si="40"/>
        <v>0</v>
      </c>
      <c r="W148" s="686">
        <f t="shared" si="46"/>
        <v>0</v>
      </c>
      <c r="X148" s="71"/>
      <c r="Y148" s="686">
        <f t="shared" si="42"/>
        <v>0</v>
      </c>
      <c r="Z148" s="686">
        <f t="shared" si="42"/>
        <v>0</v>
      </c>
      <c r="AA148" s="686">
        <f t="shared" si="42"/>
        <v>0</v>
      </c>
      <c r="AB148" s="686">
        <f t="shared" si="45"/>
        <v>0</v>
      </c>
      <c r="AC148" s="686">
        <f t="shared" si="45"/>
        <v>0</v>
      </c>
      <c r="AD148" s="686">
        <f t="shared" si="45"/>
        <v>0</v>
      </c>
      <c r="AE148" s="120"/>
      <c r="AF148" s="50"/>
    </row>
    <row r="149" spans="2:32" x14ac:dyDescent="0.2">
      <c r="B149" s="50"/>
      <c r="C149" s="69"/>
      <c r="D149" s="75"/>
      <c r="E149" s="75"/>
      <c r="F149" s="99"/>
      <c r="G149" s="88"/>
      <c r="H149" s="165"/>
      <c r="I149" s="88"/>
      <c r="J149" s="88"/>
      <c r="K149" s="71"/>
      <c r="L149" s="74">
        <f t="shared" si="47"/>
        <v>0</v>
      </c>
      <c r="M149" s="686">
        <f t="shared" si="48"/>
        <v>0</v>
      </c>
      <c r="N149" s="686">
        <f t="shared" si="49"/>
        <v>0</v>
      </c>
      <c r="O149" s="697" t="str">
        <f t="shared" si="50"/>
        <v>-</v>
      </c>
      <c r="P149" s="686">
        <f t="shared" si="51"/>
        <v>0</v>
      </c>
      <c r="Q149" s="71"/>
      <c r="R149" s="686">
        <f t="shared" si="21"/>
        <v>0</v>
      </c>
      <c r="S149" s="686">
        <f t="shared" si="22"/>
        <v>0</v>
      </c>
      <c r="T149" s="686">
        <f t="shared" si="23"/>
        <v>0</v>
      </c>
      <c r="U149" s="686">
        <f t="shared" si="40"/>
        <v>0</v>
      </c>
      <c r="V149" s="686">
        <f t="shared" si="40"/>
        <v>0</v>
      </c>
      <c r="W149" s="686">
        <f t="shared" si="46"/>
        <v>0</v>
      </c>
      <c r="X149" s="71"/>
      <c r="Y149" s="686">
        <f t="shared" si="42"/>
        <v>0</v>
      </c>
      <c r="Z149" s="686">
        <f t="shared" si="42"/>
        <v>0</v>
      </c>
      <c r="AA149" s="686">
        <f t="shared" si="42"/>
        <v>0</v>
      </c>
      <c r="AB149" s="686">
        <f t="shared" si="45"/>
        <v>0</v>
      </c>
      <c r="AC149" s="686">
        <f t="shared" si="45"/>
        <v>0</v>
      </c>
      <c r="AD149" s="686">
        <f t="shared" si="45"/>
        <v>0</v>
      </c>
      <c r="AE149" s="120"/>
      <c r="AF149" s="50"/>
    </row>
    <row r="150" spans="2:32" x14ac:dyDescent="0.2">
      <c r="B150" s="50"/>
      <c r="C150" s="69"/>
      <c r="D150" s="75"/>
      <c r="E150" s="75"/>
      <c r="F150" s="99"/>
      <c r="G150" s="88"/>
      <c r="H150" s="165"/>
      <c r="I150" s="88"/>
      <c r="J150" s="88"/>
      <c r="K150" s="71"/>
      <c r="L150" s="74">
        <f t="shared" si="47"/>
        <v>0</v>
      </c>
      <c r="M150" s="686">
        <f t="shared" si="48"/>
        <v>0</v>
      </c>
      <c r="N150" s="686">
        <f t="shared" si="49"/>
        <v>0</v>
      </c>
      <c r="O150" s="697" t="str">
        <f t="shared" si="50"/>
        <v>-</v>
      </c>
      <c r="P150" s="686">
        <f t="shared" si="51"/>
        <v>0</v>
      </c>
      <c r="Q150" s="71"/>
      <c r="R150" s="686">
        <f t="shared" si="21"/>
        <v>0</v>
      </c>
      <c r="S150" s="686">
        <f t="shared" si="22"/>
        <v>0</v>
      </c>
      <c r="T150" s="686">
        <f t="shared" si="23"/>
        <v>0</v>
      </c>
      <c r="U150" s="686">
        <f t="shared" si="40"/>
        <v>0</v>
      </c>
      <c r="V150" s="686">
        <f t="shared" si="40"/>
        <v>0</v>
      </c>
      <c r="W150" s="686">
        <f t="shared" si="46"/>
        <v>0</v>
      </c>
      <c r="X150" s="71"/>
      <c r="Y150" s="686">
        <f t="shared" si="42"/>
        <v>0</v>
      </c>
      <c r="Z150" s="686">
        <f t="shared" si="42"/>
        <v>0</v>
      </c>
      <c r="AA150" s="686">
        <f t="shared" si="42"/>
        <v>0</v>
      </c>
      <c r="AB150" s="686">
        <f t="shared" si="45"/>
        <v>0</v>
      </c>
      <c r="AC150" s="686">
        <f t="shared" si="45"/>
        <v>0</v>
      </c>
      <c r="AD150" s="686">
        <f t="shared" si="45"/>
        <v>0</v>
      </c>
      <c r="AE150" s="120"/>
      <c r="AF150" s="50"/>
    </row>
    <row r="151" spans="2:32" x14ac:dyDescent="0.2">
      <c r="B151" s="50"/>
      <c r="C151" s="69"/>
      <c r="D151" s="75"/>
      <c r="E151" s="75"/>
      <c r="F151" s="99"/>
      <c r="G151" s="88"/>
      <c r="H151" s="165"/>
      <c r="I151" s="88"/>
      <c r="J151" s="88"/>
      <c r="K151" s="71"/>
      <c r="L151" s="74">
        <f t="shared" si="47"/>
        <v>0</v>
      </c>
      <c r="M151" s="686">
        <f t="shared" si="48"/>
        <v>0</v>
      </c>
      <c r="N151" s="686">
        <f t="shared" si="49"/>
        <v>0</v>
      </c>
      <c r="O151" s="697" t="str">
        <f t="shared" si="50"/>
        <v>-</v>
      </c>
      <c r="P151" s="686">
        <f t="shared" si="51"/>
        <v>0</v>
      </c>
      <c r="Q151" s="71"/>
      <c r="R151" s="686">
        <f t="shared" si="21"/>
        <v>0</v>
      </c>
      <c r="S151" s="686">
        <f t="shared" si="22"/>
        <v>0</v>
      </c>
      <c r="T151" s="686">
        <f t="shared" si="23"/>
        <v>0</v>
      </c>
      <c r="U151" s="686">
        <f t="shared" si="40"/>
        <v>0</v>
      </c>
      <c r="V151" s="686">
        <f t="shared" si="40"/>
        <v>0</v>
      </c>
      <c r="W151" s="686">
        <f t="shared" si="46"/>
        <v>0</v>
      </c>
      <c r="X151" s="71"/>
      <c r="Y151" s="686">
        <f t="shared" si="42"/>
        <v>0</v>
      </c>
      <c r="Z151" s="686">
        <f t="shared" si="42"/>
        <v>0</v>
      </c>
      <c r="AA151" s="686">
        <f t="shared" si="42"/>
        <v>0</v>
      </c>
      <c r="AB151" s="686">
        <f t="shared" si="45"/>
        <v>0</v>
      </c>
      <c r="AC151" s="686">
        <f t="shared" si="45"/>
        <v>0</v>
      </c>
      <c r="AD151" s="686">
        <f t="shared" si="45"/>
        <v>0</v>
      </c>
      <c r="AE151" s="120"/>
      <c r="AF151" s="50"/>
    </row>
    <row r="152" spans="2:32" x14ac:dyDescent="0.2">
      <c r="B152" s="50"/>
      <c r="C152" s="69"/>
      <c r="D152" s="75"/>
      <c r="E152" s="75"/>
      <c r="F152" s="99"/>
      <c r="G152" s="88"/>
      <c r="H152" s="165"/>
      <c r="I152" s="88"/>
      <c r="J152" s="88"/>
      <c r="K152" s="71"/>
      <c r="L152" s="74">
        <f t="shared" si="47"/>
        <v>0</v>
      </c>
      <c r="M152" s="686">
        <f t="shared" si="48"/>
        <v>0</v>
      </c>
      <c r="N152" s="686">
        <f t="shared" si="49"/>
        <v>0</v>
      </c>
      <c r="O152" s="697" t="str">
        <f t="shared" si="50"/>
        <v>-</v>
      </c>
      <c r="P152" s="686">
        <f t="shared" si="51"/>
        <v>0</v>
      </c>
      <c r="Q152" s="71"/>
      <c r="R152" s="686">
        <f t="shared" si="21"/>
        <v>0</v>
      </c>
      <c r="S152" s="686">
        <f t="shared" si="22"/>
        <v>0</v>
      </c>
      <c r="T152" s="686">
        <f t="shared" si="23"/>
        <v>0</v>
      </c>
      <c r="U152" s="686">
        <f t="shared" si="40"/>
        <v>0</v>
      </c>
      <c r="V152" s="686">
        <f t="shared" si="40"/>
        <v>0</v>
      </c>
      <c r="W152" s="686">
        <f t="shared" si="46"/>
        <v>0</v>
      </c>
      <c r="X152" s="71"/>
      <c r="Y152" s="686">
        <f t="shared" si="42"/>
        <v>0</v>
      </c>
      <c r="Z152" s="686">
        <f t="shared" si="42"/>
        <v>0</v>
      </c>
      <c r="AA152" s="686">
        <f t="shared" si="42"/>
        <v>0</v>
      </c>
      <c r="AB152" s="686">
        <f t="shared" si="45"/>
        <v>0</v>
      </c>
      <c r="AC152" s="686">
        <f t="shared" si="45"/>
        <v>0</v>
      </c>
      <c r="AD152" s="686">
        <f t="shared" si="45"/>
        <v>0</v>
      </c>
      <c r="AE152" s="120"/>
      <c r="AF152" s="50"/>
    </row>
    <row r="153" spans="2:32" x14ac:dyDescent="0.2">
      <c r="B153" s="50"/>
      <c r="C153" s="69"/>
      <c r="D153" s="75"/>
      <c r="E153" s="75"/>
      <c r="F153" s="99"/>
      <c r="G153" s="88"/>
      <c r="H153" s="165"/>
      <c r="I153" s="88"/>
      <c r="J153" s="88"/>
      <c r="K153" s="71"/>
      <c r="L153" s="74">
        <f t="shared" si="47"/>
        <v>0</v>
      </c>
      <c r="M153" s="686">
        <f t="shared" si="48"/>
        <v>0</v>
      </c>
      <c r="N153" s="686">
        <f t="shared" si="49"/>
        <v>0</v>
      </c>
      <c r="O153" s="697" t="str">
        <f t="shared" si="50"/>
        <v>-</v>
      </c>
      <c r="P153" s="686">
        <f t="shared" si="51"/>
        <v>0</v>
      </c>
      <c r="Q153" s="71"/>
      <c r="R153" s="686">
        <f t="shared" si="21"/>
        <v>0</v>
      </c>
      <c r="S153" s="686">
        <f t="shared" si="22"/>
        <v>0</v>
      </c>
      <c r="T153" s="686">
        <f t="shared" si="23"/>
        <v>0</v>
      </c>
      <c r="U153" s="686">
        <f t="shared" si="40"/>
        <v>0</v>
      </c>
      <c r="V153" s="686">
        <f t="shared" si="40"/>
        <v>0</v>
      </c>
      <c r="W153" s="686">
        <f t="shared" si="46"/>
        <v>0</v>
      </c>
      <c r="X153" s="71"/>
      <c r="Y153" s="686">
        <f t="shared" si="42"/>
        <v>0</v>
      </c>
      <c r="Z153" s="686">
        <f t="shared" si="42"/>
        <v>0</v>
      </c>
      <c r="AA153" s="686">
        <f t="shared" si="42"/>
        <v>0</v>
      </c>
      <c r="AB153" s="686">
        <f t="shared" si="45"/>
        <v>0</v>
      </c>
      <c r="AC153" s="686">
        <f t="shared" si="45"/>
        <v>0</v>
      </c>
      <c r="AD153" s="686">
        <f t="shared" si="45"/>
        <v>0</v>
      </c>
      <c r="AE153" s="120"/>
      <c r="AF153" s="50"/>
    </row>
    <row r="154" spans="2:32" x14ac:dyDescent="0.2">
      <c r="B154" s="50"/>
      <c r="C154" s="69"/>
      <c r="D154" s="75"/>
      <c r="E154" s="75"/>
      <c r="F154" s="99"/>
      <c r="G154" s="88"/>
      <c r="H154" s="165"/>
      <c r="I154" s="88"/>
      <c r="J154" s="88"/>
      <c r="K154" s="71"/>
      <c r="L154" s="74">
        <f t="shared" si="47"/>
        <v>0</v>
      </c>
      <c r="M154" s="686">
        <f t="shared" si="48"/>
        <v>0</v>
      </c>
      <c r="N154" s="686">
        <f t="shared" si="49"/>
        <v>0</v>
      </c>
      <c r="O154" s="697" t="str">
        <f t="shared" si="50"/>
        <v>-</v>
      </c>
      <c r="P154" s="686">
        <f t="shared" si="51"/>
        <v>0</v>
      </c>
      <c r="Q154" s="71"/>
      <c r="R154" s="686">
        <f t="shared" si="21"/>
        <v>0</v>
      </c>
      <c r="S154" s="686">
        <f t="shared" si="22"/>
        <v>0</v>
      </c>
      <c r="T154" s="686">
        <f t="shared" si="23"/>
        <v>0</v>
      </c>
      <c r="U154" s="686">
        <f t="shared" si="40"/>
        <v>0</v>
      </c>
      <c r="V154" s="686">
        <f t="shared" si="40"/>
        <v>0</v>
      </c>
      <c r="W154" s="686">
        <f t="shared" si="46"/>
        <v>0</v>
      </c>
      <c r="X154" s="71"/>
      <c r="Y154" s="686">
        <f t="shared" si="42"/>
        <v>0</v>
      </c>
      <c r="Z154" s="686">
        <f t="shared" si="42"/>
        <v>0</v>
      </c>
      <c r="AA154" s="686">
        <f t="shared" si="42"/>
        <v>0</v>
      </c>
      <c r="AB154" s="686">
        <f t="shared" si="45"/>
        <v>0</v>
      </c>
      <c r="AC154" s="686">
        <f t="shared" si="45"/>
        <v>0</v>
      </c>
      <c r="AD154" s="686">
        <f t="shared" si="45"/>
        <v>0</v>
      </c>
      <c r="AE154" s="120"/>
      <c r="AF154" s="50"/>
    </row>
    <row r="155" spans="2:32" x14ac:dyDescent="0.2">
      <c r="B155" s="50"/>
      <c r="C155" s="69"/>
      <c r="D155" s="75"/>
      <c r="E155" s="75"/>
      <c r="F155" s="99"/>
      <c r="G155" s="88"/>
      <c r="H155" s="165"/>
      <c r="I155" s="88"/>
      <c r="J155" s="88"/>
      <c r="K155" s="71"/>
      <c r="L155" s="74">
        <f t="shared" si="47"/>
        <v>0</v>
      </c>
      <c r="M155" s="686">
        <f t="shared" si="48"/>
        <v>0</v>
      </c>
      <c r="N155" s="686">
        <f t="shared" si="49"/>
        <v>0</v>
      </c>
      <c r="O155" s="697" t="str">
        <f t="shared" si="50"/>
        <v>-</v>
      </c>
      <c r="P155" s="686">
        <f t="shared" si="51"/>
        <v>0</v>
      </c>
      <c r="Q155" s="71"/>
      <c r="R155" s="686">
        <f t="shared" si="21"/>
        <v>0</v>
      </c>
      <c r="S155" s="686">
        <f t="shared" si="22"/>
        <v>0</v>
      </c>
      <c r="T155" s="686">
        <f t="shared" si="23"/>
        <v>0</v>
      </c>
      <c r="U155" s="686">
        <f t="shared" si="40"/>
        <v>0</v>
      </c>
      <c r="V155" s="686">
        <f t="shared" si="40"/>
        <v>0</v>
      </c>
      <c r="W155" s="686">
        <f t="shared" si="46"/>
        <v>0</v>
      </c>
      <c r="X155" s="71"/>
      <c r="Y155" s="686">
        <f t="shared" si="42"/>
        <v>0</v>
      </c>
      <c r="Z155" s="686">
        <f t="shared" si="42"/>
        <v>0</v>
      </c>
      <c r="AA155" s="686">
        <f t="shared" si="42"/>
        <v>0</v>
      </c>
      <c r="AB155" s="686">
        <f t="shared" si="45"/>
        <v>0</v>
      </c>
      <c r="AC155" s="686">
        <f t="shared" si="45"/>
        <v>0</v>
      </c>
      <c r="AD155" s="686">
        <f t="shared" si="45"/>
        <v>0</v>
      </c>
      <c r="AE155" s="120"/>
      <c r="AF155" s="50"/>
    </row>
    <row r="156" spans="2:32" x14ac:dyDescent="0.2">
      <c r="B156" s="50"/>
      <c r="C156" s="69"/>
      <c r="D156" s="75"/>
      <c r="E156" s="75"/>
      <c r="F156" s="99"/>
      <c r="G156" s="88"/>
      <c r="H156" s="165"/>
      <c r="I156" s="88"/>
      <c r="J156" s="88"/>
      <c r="K156" s="71"/>
      <c r="L156" s="74">
        <f t="shared" si="47"/>
        <v>0</v>
      </c>
      <c r="M156" s="686">
        <f t="shared" si="48"/>
        <v>0</v>
      </c>
      <c r="N156" s="686">
        <f t="shared" si="49"/>
        <v>0</v>
      </c>
      <c r="O156" s="697" t="str">
        <f t="shared" si="50"/>
        <v>-</v>
      </c>
      <c r="P156" s="686">
        <f t="shared" si="51"/>
        <v>0</v>
      </c>
      <c r="Q156" s="71"/>
      <c r="R156" s="686">
        <f t="shared" si="21"/>
        <v>0</v>
      </c>
      <c r="S156" s="686">
        <f t="shared" si="22"/>
        <v>0</v>
      </c>
      <c r="T156" s="686">
        <f t="shared" si="23"/>
        <v>0</v>
      </c>
      <c r="U156" s="686">
        <f t="shared" si="40"/>
        <v>0</v>
      </c>
      <c r="V156" s="686">
        <f t="shared" si="40"/>
        <v>0</v>
      </c>
      <c r="W156" s="686">
        <f t="shared" si="46"/>
        <v>0</v>
      </c>
      <c r="X156" s="71"/>
      <c r="Y156" s="686">
        <f t="shared" si="42"/>
        <v>0</v>
      </c>
      <c r="Z156" s="686">
        <f t="shared" si="42"/>
        <v>0</v>
      </c>
      <c r="AA156" s="686">
        <f t="shared" si="42"/>
        <v>0</v>
      </c>
      <c r="AB156" s="686">
        <f t="shared" si="45"/>
        <v>0</v>
      </c>
      <c r="AC156" s="686">
        <f t="shared" si="45"/>
        <v>0</v>
      </c>
      <c r="AD156" s="686">
        <f t="shared" si="45"/>
        <v>0</v>
      </c>
      <c r="AE156" s="120"/>
      <c r="AF156" s="50"/>
    </row>
    <row r="157" spans="2:32" x14ac:dyDescent="0.2">
      <c r="B157" s="50"/>
      <c r="C157" s="69"/>
      <c r="D157" s="75"/>
      <c r="E157" s="75"/>
      <c r="F157" s="99"/>
      <c r="G157" s="88"/>
      <c r="H157" s="165"/>
      <c r="I157" s="88"/>
      <c r="J157" s="88"/>
      <c r="K157" s="71"/>
      <c r="L157" s="74">
        <f t="shared" si="47"/>
        <v>0</v>
      </c>
      <c r="M157" s="686">
        <f t="shared" si="48"/>
        <v>0</v>
      </c>
      <c r="N157" s="686">
        <f t="shared" si="49"/>
        <v>0</v>
      </c>
      <c r="O157" s="697" t="str">
        <f t="shared" si="50"/>
        <v>-</v>
      </c>
      <c r="P157" s="686">
        <f t="shared" si="51"/>
        <v>0</v>
      </c>
      <c r="Q157" s="71"/>
      <c r="R157" s="686">
        <f t="shared" si="21"/>
        <v>0</v>
      </c>
      <c r="S157" s="686">
        <f t="shared" si="22"/>
        <v>0</v>
      </c>
      <c r="T157" s="686">
        <f t="shared" si="23"/>
        <v>0</v>
      </c>
      <c r="U157" s="686">
        <f t="shared" si="40"/>
        <v>0</v>
      </c>
      <c r="V157" s="686">
        <f t="shared" si="40"/>
        <v>0</v>
      </c>
      <c r="W157" s="686">
        <f t="shared" si="46"/>
        <v>0</v>
      </c>
      <c r="X157" s="71"/>
      <c r="Y157" s="686">
        <f t="shared" si="42"/>
        <v>0</v>
      </c>
      <c r="Z157" s="686">
        <f t="shared" si="42"/>
        <v>0</v>
      </c>
      <c r="AA157" s="686">
        <f t="shared" si="42"/>
        <v>0</v>
      </c>
      <c r="AB157" s="686">
        <f t="shared" si="45"/>
        <v>0</v>
      </c>
      <c r="AC157" s="686">
        <f t="shared" si="45"/>
        <v>0</v>
      </c>
      <c r="AD157" s="686">
        <f t="shared" si="45"/>
        <v>0</v>
      </c>
      <c r="AE157" s="120"/>
      <c r="AF157" s="50"/>
    </row>
    <row r="158" spans="2:32" x14ac:dyDescent="0.2">
      <c r="B158" s="50"/>
      <c r="C158" s="69"/>
      <c r="D158" s="75"/>
      <c r="E158" s="75"/>
      <c r="F158" s="99"/>
      <c r="G158" s="88"/>
      <c r="H158" s="165"/>
      <c r="I158" s="88"/>
      <c r="J158" s="88"/>
      <c r="K158" s="71"/>
      <c r="L158" s="74">
        <f t="shared" si="47"/>
        <v>0</v>
      </c>
      <c r="M158" s="686">
        <f t="shared" si="48"/>
        <v>0</v>
      </c>
      <c r="N158" s="686">
        <f t="shared" si="49"/>
        <v>0</v>
      </c>
      <c r="O158" s="697" t="str">
        <f t="shared" si="50"/>
        <v>-</v>
      </c>
      <c r="P158" s="686">
        <f t="shared" si="51"/>
        <v>0</v>
      </c>
      <c r="Q158" s="71"/>
      <c r="R158" s="686">
        <f t="shared" si="21"/>
        <v>0</v>
      </c>
      <c r="S158" s="686">
        <f t="shared" si="22"/>
        <v>0</v>
      </c>
      <c r="T158" s="686">
        <f t="shared" si="23"/>
        <v>0</v>
      </c>
      <c r="U158" s="686">
        <f t="shared" si="40"/>
        <v>0</v>
      </c>
      <c r="V158" s="686">
        <f t="shared" si="40"/>
        <v>0</v>
      </c>
      <c r="W158" s="686">
        <f t="shared" si="46"/>
        <v>0</v>
      </c>
      <c r="X158" s="71"/>
      <c r="Y158" s="686">
        <f t="shared" si="42"/>
        <v>0</v>
      </c>
      <c r="Z158" s="686">
        <f t="shared" si="42"/>
        <v>0</v>
      </c>
      <c r="AA158" s="686">
        <f t="shared" si="42"/>
        <v>0</v>
      </c>
      <c r="AB158" s="686">
        <f t="shared" si="45"/>
        <v>0</v>
      </c>
      <c r="AC158" s="686">
        <f t="shared" si="45"/>
        <v>0</v>
      </c>
      <c r="AD158" s="686">
        <f t="shared" si="45"/>
        <v>0</v>
      </c>
      <c r="AE158" s="120"/>
      <c r="AF158" s="50"/>
    </row>
    <row r="159" spans="2:32" x14ac:dyDescent="0.2">
      <c r="B159" s="50"/>
      <c r="C159" s="69"/>
      <c r="D159" s="75"/>
      <c r="E159" s="75"/>
      <c r="F159" s="99"/>
      <c r="G159" s="88"/>
      <c r="H159" s="165"/>
      <c r="I159" s="88"/>
      <c r="J159" s="88"/>
      <c r="K159" s="71"/>
      <c r="L159" s="74">
        <f t="shared" si="47"/>
        <v>0</v>
      </c>
      <c r="M159" s="686">
        <f t="shared" si="48"/>
        <v>0</v>
      </c>
      <c r="N159" s="686">
        <f t="shared" si="49"/>
        <v>0</v>
      </c>
      <c r="O159" s="697" t="str">
        <f t="shared" si="50"/>
        <v>-</v>
      </c>
      <c r="P159" s="686">
        <f t="shared" si="51"/>
        <v>0</v>
      </c>
      <c r="Q159" s="71"/>
      <c r="R159" s="686">
        <f t="shared" si="21"/>
        <v>0</v>
      </c>
      <c r="S159" s="686">
        <f t="shared" si="22"/>
        <v>0</v>
      </c>
      <c r="T159" s="686">
        <f t="shared" si="23"/>
        <v>0</v>
      </c>
      <c r="U159" s="686">
        <f t="shared" si="40"/>
        <v>0</v>
      </c>
      <c r="V159" s="686">
        <f t="shared" si="40"/>
        <v>0</v>
      </c>
      <c r="W159" s="686">
        <f t="shared" si="46"/>
        <v>0</v>
      </c>
      <c r="X159" s="71"/>
      <c r="Y159" s="686">
        <f t="shared" si="42"/>
        <v>0</v>
      </c>
      <c r="Z159" s="686">
        <f t="shared" si="42"/>
        <v>0</v>
      </c>
      <c r="AA159" s="686">
        <f t="shared" si="42"/>
        <v>0</v>
      </c>
      <c r="AB159" s="686">
        <f t="shared" si="45"/>
        <v>0</v>
      </c>
      <c r="AC159" s="686">
        <f t="shared" si="45"/>
        <v>0</v>
      </c>
      <c r="AD159" s="686">
        <f t="shared" si="45"/>
        <v>0</v>
      </c>
      <c r="AE159" s="120"/>
      <c r="AF159" s="50"/>
    </row>
    <row r="160" spans="2:32" x14ac:dyDescent="0.2">
      <c r="B160" s="50"/>
      <c r="C160" s="69"/>
      <c r="D160" s="75"/>
      <c r="E160" s="75"/>
      <c r="F160" s="99"/>
      <c r="G160" s="88"/>
      <c r="H160" s="165"/>
      <c r="I160" s="88"/>
      <c r="J160" s="88"/>
      <c r="K160" s="71"/>
      <c r="L160" s="74">
        <f t="shared" si="47"/>
        <v>0</v>
      </c>
      <c r="M160" s="686">
        <f t="shared" si="48"/>
        <v>0</v>
      </c>
      <c r="N160" s="686">
        <f t="shared" si="49"/>
        <v>0</v>
      </c>
      <c r="O160" s="697" t="str">
        <f t="shared" si="50"/>
        <v>-</v>
      </c>
      <c r="P160" s="686">
        <f t="shared" si="51"/>
        <v>0</v>
      </c>
      <c r="Q160" s="71"/>
      <c r="R160" s="686">
        <f t="shared" si="21"/>
        <v>0</v>
      </c>
      <c r="S160" s="686">
        <f t="shared" si="22"/>
        <v>0</v>
      </c>
      <c r="T160" s="686">
        <f t="shared" si="23"/>
        <v>0</v>
      </c>
      <c r="U160" s="686">
        <f t="shared" si="40"/>
        <v>0</v>
      </c>
      <c r="V160" s="686">
        <f t="shared" si="40"/>
        <v>0</v>
      </c>
      <c r="W160" s="686">
        <f t="shared" si="46"/>
        <v>0</v>
      </c>
      <c r="X160" s="71"/>
      <c r="Y160" s="686">
        <f t="shared" si="42"/>
        <v>0</v>
      </c>
      <c r="Z160" s="686">
        <f t="shared" si="42"/>
        <v>0</v>
      </c>
      <c r="AA160" s="686">
        <f t="shared" si="42"/>
        <v>0</v>
      </c>
      <c r="AB160" s="686">
        <f t="shared" si="45"/>
        <v>0</v>
      </c>
      <c r="AC160" s="686">
        <f t="shared" si="45"/>
        <v>0</v>
      </c>
      <c r="AD160" s="686">
        <f t="shared" si="45"/>
        <v>0</v>
      </c>
      <c r="AE160" s="120"/>
      <c r="AF160" s="50"/>
    </row>
    <row r="161" spans="2:32" x14ac:dyDescent="0.2">
      <c r="B161" s="50"/>
      <c r="C161" s="69"/>
      <c r="D161" s="75"/>
      <c r="E161" s="75"/>
      <c r="F161" s="99"/>
      <c r="G161" s="88"/>
      <c r="H161" s="165"/>
      <c r="I161" s="88"/>
      <c r="J161" s="88"/>
      <c r="K161" s="71"/>
      <c r="L161" s="74">
        <f t="shared" si="47"/>
        <v>0</v>
      </c>
      <c r="M161" s="686">
        <f t="shared" si="48"/>
        <v>0</v>
      </c>
      <c r="N161" s="686">
        <f t="shared" si="49"/>
        <v>0</v>
      </c>
      <c r="O161" s="697" t="str">
        <f t="shared" si="50"/>
        <v>-</v>
      </c>
      <c r="P161" s="686">
        <f t="shared" si="51"/>
        <v>0</v>
      </c>
      <c r="Q161" s="71"/>
      <c r="R161" s="686">
        <f t="shared" si="21"/>
        <v>0</v>
      </c>
      <c r="S161" s="686">
        <f t="shared" si="22"/>
        <v>0</v>
      </c>
      <c r="T161" s="686">
        <f t="shared" si="23"/>
        <v>0</v>
      </c>
      <c r="U161" s="686">
        <f t="shared" si="40"/>
        <v>0</v>
      </c>
      <c r="V161" s="686">
        <f t="shared" si="40"/>
        <v>0</v>
      </c>
      <c r="W161" s="686">
        <f t="shared" si="46"/>
        <v>0</v>
      </c>
      <c r="X161" s="71"/>
      <c r="Y161" s="686">
        <f t="shared" si="42"/>
        <v>0</v>
      </c>
      <c r="Z161" s="686">
        <f t="shared" si="42"/>
        <v>0</v>
      </c>
      <c r="AA161" s="686">
        <f t="shared" si="42"/>
        <v>0</v>
      </c>
      <c r="AB161" s="686">
        <f t="shared" si="45"/>
        <v>0</v>
      </c>
      <c r="AC161" s="686">
        <f t="shared" si="45"/>
        <v>0</v>
      </c>
      <c r="AD161" s="686">
        <f t="shared" si="45"/>
        <v>0</v>
      </c>
      <c r="AE161" s="120"/>
      <c r="AF161" s="50"/>
    </row>
    <row r="162" spans="2:32" x14ac:dyDescent="0.2">
      <c r="B162" s="50"/>
      <c r="C162" s="69"/>
      <c r="D162" s="75"/>
      <c r="E162" s="75"/>
      <c r="F162" s="99"/>
      <c r="G162" s="88"/>
      <c r="H162" s="165"/>
      <c r="I162" s="88"/>
      <c r="J162" s="88"/>
      <c r="K162" s="71"/>
      <c r="L162" s="74">
        <f t="shared" si="47"/>
        <v>0</v>
      </c>
      <c r="M162" s="686">
        <f t="shared" si="48"/>
        <v>0</v>
      </c>
      <c r="N162" s="686">
        <f t="shared" si="49"/>
        <v>0</v>
      </c>
      <c r="O162" s="697" t="str">
        <f t="shared" si="50"/>
        <v>-</v>
      </c>
      <c r="P162" s="686">
        <f t="shared" si="51"/>
        <v>0</v>
      </c>
      <c r="Q162" s="71"/>
      <c r="R162" s="686">
        <f t="shared" si="21"/>
        <v>0</v>
      </c>
      <c r="S162" s="686">
        <f t="shared" si="22"/>
        <v>0</v>
      </c>
      <c r="T162" s="686">
        <f t="shared" si="23"/>
        <v>0</v>
      </c>
      <c r="U162" s="686">
        <f t="shared" si="40"/>
        <v>0</v>
      </c>
      <c r="V162" s="686">
        <f t="shared" si="40"/>
        <v>0</v>
      </c>
      <c r="W162" s="686">
        <f t="shared" si="46"/>
        <v>0</v>
      </c>
      <c r="X162" s="71"/>
      <c r="Y162" s="686">
        <f t="shared" si="42"/>
        <v>0</v>
      </c>
      <c r="Z162" s="686">
        <f t="shared" si="42"/>
        <v>0</v>
      </c>
      <c r="AA162" s="686">
        <f t="shared" si="42"/>
        <v>0</v>
      </c>
      <c r="AB162" s="686">
        <f t="shared" si="45"/>
        <v>0</v>
      </c>
      <c r="AC162" s="686">
        <f t="shared" si="45"/>
        <v>0</v>
      </c>
      <c r="AD162" s="686">
        <f t="shared" si="45"/>
        <v>0</v>
      </c>
      <c r="AE162" s="120"/>
      <c r="AF162" s="50"/>
    </row>
    <row r="163" spans="2:32" x14ac:dyDescent="0.2">
      <c r="B163" s="50"/>
      <c r="C163" s="69"/>
      <c r="D163" s="75"/>
      <c r="E163" s="75"/>
      <c r="F163" s="99"/>
      <c r="G163" s="88"/>
      <c r="H163" s="165"/>
      <c r="I163" s="88"/>
      <c r="J163" s="88"/>
      <c r="K163" s="71"/>
      <c r="L163" s="74">
        <f t="shared" si="47"/>
        <v>0</v>
      </c>
      <c r="M163" s="686">
        <f t="shared" si="48"/>
        <v>0</v>
      </c>
      <c r="N163" s="686">
        <f t="shared" si="49"/>
        <v>0</v>
      </c>
      <c r="O163" s="697" t="str">
        <f t="shared" si="50"/>
        <v>-</v>
      </c>
      <c r="P163" s="686">
        <f t="shared" si="51"/>
        <v>0</v>
      </c>
      <c r="Q163" s="71"/>
      <c r="R163" s="686">
        <f t="shared" si="21"/>
        <v>0</v>
      </c>
      <c r="S163" s="686">
        <f t="shared" si="22"/>
        <v>0</v>
      </c>
      <c r="T163" s="686">
        <f t="shared" si="23"/>
        <v>0</v>
      </c>
      <c r="U163" s="686">
        <f t="shared" si="40"/>
        <v>0</v>
      </c>
      <c r="V163" s="686">
        <f t="shared" si="40"/>
        <v>0</v>
      </c>
      <c r="W163" s="686">
        <f t="shared" si="46"/>
        <v>0</v>
      </c>
      <c r="X163" s="71"/>
      <c r="Y163" s="686">
        <f t="shared" si="42"/>
        <v>0</v>
      </c>
      <c r="Z163" s="686">
        <f t="shared" si="42"/>
        <v>0</v>
      </c>
      <c r="AA163" s="686">
        <f t="shared" si="42"/>
        <v>0</v>
      </c>
      <c r="AB163" s="686">
        <f t="shared" si="45"/>
        <v>0</v>
      </c>
      <c r="AC163" s="686">
        <f t="shared" si="45"/>
        <v>0</v>
      </c>
      <c r="AD163" s="686">
        <f t="shared" si="45"/>
        <v>0</v>
      </c>
      <c r="AE163" s="120"/>
      <c r="AF163" s="50"/>
    </row>
    <row r="164" spans="2:32" x14ac:dyDescent="0.2">
      <c r="B164" s="50"/>
      <c r="C164" s="69"/>
      <c r="D164" s="75"/>
      <c r="E164" s="75"/>
      <c r="F164" s="99"/>
      <c r="G164" s="88"/>
      <c r="H164" s="165"/>
      <c r="I164" s="88"/>
      <c r="J164" s="88"/>
      <c r="K164" s="71"/>
      <c r="L164" s="74">
        <f t="shared" si="47"/>
        <v>0</v>
      </c>
      <c r="M164" s="686">
        <f t="shared" si="48"/>
        <v>0</v>
      </c>
      <c r="N164" s="686">
        <f t="shared" si="49"/>
        <v>0</v>
      </c>
      <c r="O164" s="697" t="str">
        <f t="shared" si="50"/>
        <v>-</v>
      </c>
      <c r="P164" s="686">
        <f t="shared" si="51"/>
        <v>0</v>
      </c>
      <c r="Q164" s="71"/>
      <c r="R164" s="686">
        <f t="shared" si="21"/>
        <v>0</v>
      </c>
      <c r="S164" s="686">
        <f t="shared" si="22"/>
        <v>0</v>
      </c>
      <c r="T164" s="686">
        <f t="shared" si="23"/>
        <v>0</v>
      </c>
      <c r="U164" s="686">
        <f t="shared" si="40"/>
        <v>0</v>
      </c>
      <c r="V164" s="686">
        <f t="shared" si="40"/>
        <v>0</v>
      </c>
      <c r="W164" s="686">
        <f t="shared" si="46"/>
        <v>0</v>
      </c>
      <c r="X164" s="71"/>
      <c r="Y164" s="686">
        <f t="shared" si="42"/>
        <v>0</v>
      </c>
      <c r="Z164" s="686">
        <f t="shared" si="42"/>
        <v>0</v>
      </c>
      <c r="AA164" s="686">
        <f t="shared" si="42"/>
        <v>0</v>
      </c>
      <c r="AB164" s="686">
        <f t="shared" si="45"/>
        <v>0</v>
      </c>
      <c r="AC164" s="686">
        <f t="shared" si="45"/>
        <v>0</v>
      </c>
      <c r="AD164" s="686">
        <f t="shared" si="45"/>
        <v>0</v>
      </c>
      <c r="AE164" s="120"/>
      <c r="AF164" s="50"/>
    </row>
    <row r="165" spans="2:32" x14ac:dyDescent="0.2">
      <c r="B165" s="50"/>
      <c r="C165" s="69"/>
      <c r="D165" s="75"/>
      <c r="E165" s="75"/>
      <c r="F165" s="99"/>
      <c r="G165" s="88"/>
      <c r="H165" s="165"/>
      <c r="I165" s="88"/>
      <c r="J165" s="88"/>
      <c r="K165" s="71"/>
      <c r="L165" s="74">
        <f t="shared" si="47"/>
        <v>0</v>
      </c>
      <c r="M165" s="686">
        <f t="shared" si="48"/>
        <v>0</v>
      </c>
      <c r="N165" s="686">
        <f t="shared" si="49"/>
        <v>0</v>
      </c>
      <c r="O165" s="697" t="str">
        <f t="shared" si="50"/>
        <v>-</v>
      </c>
      <c r="P165" s="686">
        <f t="shared" si="51"/>
        <v>0</v>
      </c>
      <c r="Q165" s="71"/>
      <c r="R165" s="686">
        <f t="shared" si="21"/>
        <v>0</v>
      </c>
      <c r="S165" s="686">
        <f t="shared" si="22"/>
        <v>0</v>
      </c>
      <c r="T165" s="686">
        <f t="shared" si="23"/>
        <v>0</v>
      </c>
      <c r="U165" s="686">
        <f t="shared" si="40"/>
        <v>0</v>
      </c>
      <c r="V165" s="686">
        <f t="shared" si="40"/>
        <v>0</v>
      </c>
      <c r="W165" s="686">
        <f t="shared" si="46"/>
        <v>0</v>
      </c>
      <c r="X165" s="71"/>
      <c r="Y165" s="686">
        <f t="shared" si="42"/>
        <v>0</v>
      </c>
      <c r="Z165" s="686">
        <f t="shared" si="42"/>
        <v>0</v>
      </c>
      <c r="AA165" s="686">
        <f t="shared" si="42"/>
        <v>0</v>
      </c>
      <c r="AB165" s="686">
        <f t="shared" si="45"/>
        <v>0</v>
      </c>
      <c r="AC165" s="686">
        <f t="shared" si="45"/>
        <v>0</v>
      </c>
      <c r="AD165" s="686">
        <f t="shared" si="45"/>
        <v>0</v>
      </c>
      <c r="AE165" s="120"/>
      <c r="AF165" s="50"/>
    </row>
    <row r="166" spans="2:32" x14ac:dyDescent="0.2">
      <c r="B166" s="50"/>
      <c r="C166" s="69"/>
      <c r="D166" s="75"/>
      <c r="E166" s="75"/>
      <c r="F166" s="99"/>
      <c r="G166" s="88"/>
      <c r="H166" s="165"/>
      <c r="I166" s="88"/>
      <c r="J166" s="88"/>
      <c r="K166" s="71"/>
      <c r="L166" s="74">
        <f t="shared" si="47"/>
        <v>0</v>
      </c>
      <c r="M166" s="686">
        <f t="shared" si="48"/>
        <v>0</v>
      </c>
      <c r="N166" s="686">
        <f t="shared" si="49"/>
        <v>0</v>
      </c>
      <c r="O166" s="697" t="str">
        <f t="shared" si="50"/>
        <v>-</v>
      </c>
      <c r="P166" s="686">
        <f t="shared" si="51"/>
        <v>0</v>
      </c>
      <c r="Q166" s="71"/>
      <c r="R166" s="686">
        <f t="shared" si="21"/>
        <v>0</v>
      </c>
      <c r="S166" s="686">
        <f t="shared" si="22"/>
        <v>0</v>
      </c>
      <c r="T166" s="686">
        <f t="shared" si="23"/>
        <v>0</v>
      </c>
      <c r="U166" s="686">
        <f t="shared" si="40"/>
        <v>0</v>
      </c>
      <c r="V166" s="686">
        <f t="shared" si="40"/>
        <v>0</v>
      </c>
      <c r="W166" s="686">
        <f t="shared" si="46"/>
        <v>0</v>
      </c>
      <c r="X166" s="71"/>
      <c r="Y166" s="686">
        <f t="shared" si="42"/>
        <v>0</v>
      </c>
      <c r="Z166" s="686">
        <f t="shared" si="42"/>
        <v>0</v>
      </c>
      <c r="AA166" s="686">
        <f t="shared" si="42"/>
        <v>0</v>
      </c>
      <c r="AB166" s="686">
        <f t="shared" si="45"/>
        <v>0</v>
      </c>
      <c r="AC166" s="686">
        <f t="shared" si="45"/>
        <v>0</v>
      </c>
      <c r="AD166" s="686">
        <f t="shared" si="45"/>
        <v>0</v>
      </c>
      <c r="AE166" s="120"/>
      <c r="AF166" s="50"/>
    </row>
    <row r="167" spans="2:32" x14ac:dyDescent="0.2">
      <c r="B167" s="50"/>
      <c r="C167" s="69"/>
      <c r="D167" s="75"/>
      <c r="E167" s="75"/>
      <c r="F167" s="99"/>
      <c r="G167" s="88"/>
      <c r="H167" s="165"/>
      <c r="I167" s="88"/>
      <c r="J167" s="88"/>
      <c r="K167" s="71"/>
      <c r="L167" s="74">
        <f t="shared" si="47"/>
        <v>0</v>
      </c>
      <c r="M167" s="686">
        <f t="shared" si="48"/>
        <v>0</v>
      </c>
      <c r="N167" s="686">
        <f t="shared" si="49"/>
        <v>0</v>
      </c>
      <c r="O167" s="697" t="str">
        <f t="shared" si="50"/>
        <v>-</v>
      </c>
      <c r="P167" s="686">
        <f t="shared" si="51"/>
        <v>0</v>
      </c>
      <c r="Q167" s="71"/>
      <c r="R167" s="686">
        <f t="shared" si="21"/>
        <v>0</v>
      </c>
      <c r="S167" s="686">
        <f t="shared" si="22"/>
        <v>0</v>
      </c>
      <c r="T167" s="686">
        <f t="shared" si="23"/>
        <v>0</v>
      </c>
      <c r="U167" s="686">
        <f t="shared" si="40"/>
        <v>0</v>
      </c>
      <c r="V167" s="686">
        <f t="shared" si="40"/>
        <v>0</v>
      </c>
      <c r="W167" s="686">
        <f t="shared" si="46"/>
        <v>0</v>
      </c>
      <c r="X167" s="71"/>
      <c r="Y167" s="686">
        <f t="shared" si="42"/>
        <v>0</v>
      </c>
      <c r="Z167" s="686">
        <f t="shared" si="42"/>
        <v>0</v>
      </c>
      <c r="AA167" s="686">
        <f t="shared" si="42"/>
        <v>0</v>
      </c>
      <c r="AB167" s="686">
        <f t="shared" si="45"/>
        <v>0</v>
      </c>
      <c r="AC167" s="686">
        <f t="shared" si="45"/>
        <v>0</v>
      </c>
      <c r="AD167" s="686">
        <f t="shared" si="45"/>
        <v>0</v>
      </c>
      <c r="AE167" s="120"/>
      <c r="AF167" s="50"/>
    </row>
    <row r="168" spans="2:32" x14ac:dyDescent="0.2">
      <c r="B168" s="50"/>
      <c r="C168" s="69"/>
      <c r="D168" s="75"/>
      <c r="E168" s="75"/>
      <c r="F168" s="99"/>
      <c r="G168" s="88"/>
      <c r="H168" s="165"/>
      <c r="I168" s="88"/>
      <c r="J168" s="88"/>
      <c r="K168" s="71"/>
      <c r="L168" s="74">
        <f t="shared" si="47"/>
        <v>0</v>
      </c>
      <c r="M168" s="686">
        <f t="shared" si="48"/>
        <v>0</v>
      </c>
      <c r="N168" s="686">
        <f t="shared" si="49"/>
        <v>0</v>
      </c>
      <c r="O168" s="697" t="str">
        <f t="shared" si="50"/>
        <v>-</v>
      </c>
      <c r="P168" s="686">
        <f t="shared" si="51"/>
        <v>0</v>
      </c>
      <c r="Q168" s="71"/>
      <c r="R168" s="686">
        <f t="shared" si="21"/>
        <v>0</v>
      </c>
      <c r="S168" s="686">
        <f t="shared" si="22"/>
        <v>0</v>
      </c>
      <c r="T168" s="686">
        <f t="shared" si="23"/>
        <v>0</v>
      </c>
      <c r="U168" s="686">
        <f t="shared" si="40"/>
        <v>0</v>
      </c>
      <c r="V168" s="686">
        <f t="shared" si="40"/>
        <v>0</v>
      </c>
      <c r="W168" s="686">
        <f t="shared" si="46"/>
        <v>0</v>
      </c>
      <c r="X168" s="71"/>
      <c r="Y168" s="686">
        <f t="shared" si="42"/>
        <v>0</v>
      </c>
      <c r="Z168" s="686">
        <f t="shared" si="42"/>
        <v>0</v>
      </c>
      <c r="AA168" s="686">
        <f t="shared" si="42"/>
        <v>0</v>
      </c>
      <c r="AB168" s="686">
        <f t="shared" si="45"/>
        <v>0</v>
      </c>
      <c r="AC168" s="686">
        <f t="shared" si="45"/>
        <v>0</v>
      </c>
      <c r="AD168" s="686">
        <f t="shared" si="45"/>
        <v>0</v>
      </c>
      <c r="AE168" s="120"/>
      <c r="AF168" s="50"/>
    </row>
    <row r="169" spans="2:32" x14ac:dyDescent="0.2">
      <c r="B169" s="50"/>
      <c r="C169" s="69"/>
      <c r="D169" s="75"/>
      <c r="E169" s="75"/>
      <c r="F169" s="99"/>
      <c r="G169" s="88"/>
      <c r="H169" s="165"/>
      <c r="I169" s="88"/>
      <c r="J169" s="88"/>
      <c r="K169" s="71"/>
      <c r="L169" s="74">
        <f t="shared" si="47"/>
        <v>0</v>
      </c>
      <c r="M169" s="686">
        <f t="shared" si="48"/>
        <v>0</v>
      </c>
      <c r="N169" s="686">
        <f t="shared" si="49"/>
        <v>0</v>
      </c>
      <c r="O169" s="697" t="str">
        <f t="shared" si="50"/>
        <v>-</v>
      </c>
      <c r="P169" s="686">
        <f t="shared" si="51"/>
        <v>0</v>
      </c>
      <c r="Q169" s="71"/>
      <c r="R169" s="686">
        <f t="shared" si="21"/>
        <v>0</v>
      </c>
      <c r="S169" s="686">
        <f t="shared" si="22"/>
        <v>0</v>
      </c>
      <c r="T169" s="686">
        <f t="shared" si="23"/>
        <v>0</v>
      </c>
      <c r="U169" s="686">
        <f t="shared" si="40"/>
        <v>0</v>
      </c>
      <c r="V169" s="686">
        <f t="shared" si="40"/>
        <v>0</v>
      </c>
      <c r="W169" s="686">
        <f t="shared" si="46"/>
        <v>0</v>
      </c>
      <c r="X169" s="71"/>
      <c r="Y169" s="686">
        <f t="shared" si="42"/>
        <v>0</v>
      </c>
      <c r="Z169" s="686">
        <f t="shared" si="42"/>
        <v>0</v>
      </c>
      <c r="AA169" s="686">
        <f t="shared" si="42"/>
        <v>0</v>
      </c>
      <c r="AB169" s="686">
        <f t="shared" si="45"/>
        <v>0</v>
      </c>
      <c r="AC169" s="686">
        <f t="shared" si="45"/>
        <v>0</v>
      </c>
      <c r="AD169" s="686">
        <f t="shared" si="45"/>
        <v>0</v>
      </c>
      <c r="AE169" s="120"/>
      <c r="AF169" s="50"/>
    </row>
    <row r="170" spans="2:32" x14ac:dyDescent="0.2">
      <c r="B170" s="50"/>
      <c r="C170" s="69"/>
      <c r="D170" s="75"/>
      <c r="E170" s="75"/>
      <c r="F170" s="99"/>
      <c r="G170" s="88"/>
      <c r="H170" s="165"/>
      <c r="I170" s="88"/>
      <c r="J170" s="88"/>
      <c r="K170" s="71"/>
      <c r="L170" s="74">
        <f t="shared" si="47"/>
        <v>0</v>
      </c>
      <c r="M170" s="686">
        <f t="shared" si="48"/>
        <v>0</v>
      </c>
      <c r="N170" s="686">
        <f t="shared" si="49"/>
        <v>0</v>
      </c>
      <c r="O170" s="697" t="str">
        <f t="shared" si="50"/>
        <v>-</v>
      </c>
      <c r="P170" s="686">
        <f t="shared" si="51"/>
        <v>0</v>
      </c>
      <c r="Q170" s="71"/>
      <c r="R170" s="686">
        <f t="shared" si="21"/>
        <v>0</v>
      </c>
      <c r="S170" s="686">
        <f t="shared" si="22"/>
        <v>0</v>
      </c>
      <c r="T170" s="686">
        <f t="shared" si="23"/>
        <v>0</v>
      </c>
      <c r="U170" s="686">
        <f t="shared" si="40"/>
        <v>0</v>
      </c>
      <c r="V170" s="686">
        <f t="shared" si="40"/>
        <v>0</v>
      </c>
      <c r="W170" s="686">
        <f t="shared" si="46"/>
        <v>0</v>
      </c>
      <c r="X170" s="71"/>
      <c r="Y170" s="686">
        <f t="shared" si="42"/>
        <v>0</v>
      </c>
      <c r="Z170" s="686">
        <f t="shared" si="42"/>
        <v>0</v>
      </c>
      <c r="AA170" s="686">
        <f t="shared" si="42"/>
        <v>0</v>
      </c>
      <c r="AB170" s="686">
        <f t="shared" si="45"/>
        <v>0</v>
      </c>
      <c r="AC170" s="686">
        <f t="shared" si="45"/>
        <v>0</v>
      </c>
      <c r="AD170" s="686">
        <f t="shared" si="45"/>
        <v>0</v>
      </c>
      <c r="AE170" s="120"/>
      <c r="AF170" s="50"/>
    </row>
    <row r="171" spans="2:32" x14ac:dyDescent="0.2">
      <c r="B171" s="50"/>
      <c r="C171" s="69"/>
      <c r="D171" s="75"/>
      <c r="E171" s="75"/>
      <c r="F171" s="99"/>
      <c r="G171" s="88"/>
      <c r="H171" s="165"/>
      <c r="I171" s="88"/>
      <c r="J171" s="88"/>
      <c r="K171" s="71"/>
      <c r="L171" s="74">
        <f t="shared" si="47"/>
        <v>0</v>
      </c>
      <c r="M171" s="686">
        <f t="shared" si="48"/>
        <v>0</v>
      </c>
      <c r="N171" s="686">
        <f t="shared" si="49"/>
        <v>0</v>
      </c>
      <c r="O171" s="697" t="str">
        <f t="shared" si="50"/>
        <v>-</v>
      </c>
      <c r="P171" s="686">
        <f t="shared" si="51"/>
        <v>0</v>
      </c>
      <c r="Q171" s="71"/>
      <c r="R171" s="686">
        <f t="shared" si="21"/>
        <v>0</v>
      </c>
      <c r="S171" s="686">
        <f t="shared" si="22"/>
        <v>0</v>
      </c>
      <c r="T171" s="686">
        <f t="shared" si="23"/>
        <v>0</v>
      </c>
      <c r="U171" s="686">
        <f t="shared" si="40"/>
        <v>0</v>
      </c>
      <c r="V171" s="686">
        <f t="shared" si="40"/>
        <v>0</v>
      </c>
      <c r="W171" s="686">
        <f t="shared" si="46"/>
        <v>0</v>
      </c>
      <c r="X171" s="71"/>
      <c r="Y171" s="686">
        <f t="shared" si="42"/>
        <v>0</v>
      </c>
      <c r="Z171" s="686">
        <f t="shared" si="42"/>
        <v>0</v>
      </c>
      <c r="AA171" s="686">
        <f t="shared" si="42"/>
        <v>0</v>
      </c>
      <c r="AB171" s="686">
        <f t="shared" si="45"/>
        <v>0</v>
      </c>
      <c r="AC171" s="686">
        <f t="shared" si="45"/>
        <v>0</v>
      </c>
      <c r="AD171" s="686">
        <f t="shared" si="45"/>
        <v>0</v>
      </c>
      <c r="AE171" s="120"/>
      <c r="AF171" s="50"/>
    </row>
    <row r="172" spans="2:32" x14ac:dyDescent="0.2">
      <c r="B172" s="50"/>
      <c r="C172" s="69"/>
      <c r="D172" s="75"/>
      <c r="E172" s="75"/>
      <c r="F172" s="99"/>
      <c r="G172" s="88"/>
      <c r="H172" s="165"/>
      <c r="I172" s="88"/>
      <c r="J172" s="88"/>
      <c r="K172" s="71"/>
      <c r="L172" s="74">
        <f t="shared" si="47"/>
        <v>0</v>
      </c>
      <c r="M172" s="686">
        <f t="shared" si="48"/>
        <v>0</v>
      </c>
      <c r="N172" s="686">
        <f t="shared" si="49"/>
        <v>0</v>
      </c>
      <c r="O172" s="697" t="str">
        <f t="shared" si="50"/>
        <v>-</v>
      </c>
      <c r="P172" s="686">
        <f t="shared" si="51"/>
        <v>0</v>
      </c>
      <c r="Q172" s="71"/>
      <c r="R172" s="686">
        <f t="shared" si="21"/>
        <v>0</v>
      </c>
      <c r="S172" s="686">
        <f t="shared" si="22"/>
        <v>0</v>
      </c>
      <c r="T172" s="686">
        <f t="shared" si="23"/>
        <v>0</v>
      </c>
      <c r="U172" s="686">
        <f t="shared" si="40"/>
        <v>0</v>
      </c>
      <c r="V172" s="686">
        <f t="shared" si="40"/>
        <v>0</v>
      </c>
      <c r="W172" s="686">
        <f t="shared" si="46"/>
        <v>0</v>
      </c>
      <c r="X172" s="71"/>
      <c r="Y172" s="686">
        <f t="shared" si="42"/>
        <v>0</v>
      </c>
      <c r="Z172" s="686">
        <f t="shared" si="42"/>
        <v>0</v>
      </c>
      <c r="AA172" s="686">
        <f t="shared" si="42"/>
        <v>0</v>
      </c>
      <c r="AB172" s="686">
        <f t="shared" si="45"/>
        <v>0</v>
      </c>
      <c r="AC172" s="686">
        <f t="shared" si="45"/>
        <v>0</v>
      </c>
      <c r="AD172" s="686">
        <f t="shared" si="45"/>
        <v>0</v>
      </c>
      <c r="AE172" s="120"/>
      <c r="AF172" s="50"/>
    </row>
    <row r="173" spans="2:32" x14ac:dyDescent="0.2">
      <c r="B173" s="50"/>
      <c r="C173" s="69"/>
      <c r="D173" s="75"/>
      <c r="E173" s="75"/>
      <c r="F173" s="99"/>
      <c r="G173" s="88"/>
      <c r="H173" s="165"/>
      <c r="I173" s="88"/>
      <c r="J173" s="88"/>
      <c r="K173" s="71"/>
      <c r="L173" s="74">
        <f t="shared" si="47"/>
        <v>0</v>
      </c>
      <c r="M173" s="686">
        <f t="shared" si="48"/>
        <v>0</v>
      </c>
      <c r="N173" s="686">
        <f t="shared" si="49"/>
        <v>0</v>
      </c>
      <c r="O173" s="697" t="str">
        <f t="shared" si="50"/>
        <v>-</v>
      </c>
      <c r="P173" s="686">
        <f t="shared" si="51"/>
        <v>0</v>
      </c>
      <c r="Q173" s="71"/>
      <c r="R173" s="686">
        <f t="shared" si="21"/>
        <v>0</v>
      </c>
      <c r="S173" s="686">
        <f t="shared" si="22"/>
        <v>0</v>
      </c>
      <c r="T173" s="686">
        <f t="shared" si="23"/>
        <v>0</v>
      </c>
      <c r="U173" s="686">
        <f t="shared" si="40"/>
        <v>0</v>
      </c>
      <c r="V173" s="686">
        <f t="shared" si="40"/>
        <v>0</v>
      </c>
      <c r="W173" s="686">
        <f t="shared" si="46"/>
        <v>0</v>
      </c>
      <c r="X173" s="71"/>
      <c r="Y173" s="686">
        <f t="shared" si="42"/>
        <v>0</v>
      </c>
      <c r="Z173" s="686">
        <f t="shared" si="42"/>
        <v>0</v>
      </c>
      <c r="AA173" s="686">
        <f t="shared" si="42"/>
        <v>0</v>
      </c>
      <c r="AB173" s="686">
        <f t="shared" si="45"/>
        <v>0</v>
      </c>
      <c r="AC173" s="686">
        <f t="shared" si="45"/>
        <v>0</v>
      </c>
      <c r="AD173" s="686">
        <f t="shared" si="45"/>
        <v>0</v>
      </c>
      <c r="AE173" s="120"/>
      <c r="AF173" s="50"/>
    </row>
    <row r="174" spans="2:32" x14ac:dyDescent="0.2">
      <c r="B174" s="50"/>
      <c r="C174" s="69"/>
      <c r="D174" s="75"/>
      <c r="E174" s="75"/>
      <c r="F174" s="99"/>
      <c r="G174" s="88"/>
      <c r="H174" s="165"/>
      <c r="I174" s="88"/>
      <c r="J174" s="88"/>
      <c r="K174" s="71"/>
      <c r="L174" s="74">
        <f t="shared" si="47"/>
        <v>0</v>
      </c>
      <c r="M174" s="686">
        <f t="shared" si="48"/>
        <v>0</v>
      </c>
      <c r="N174" s="686">
        <f t="shared" si="49"/>
        <v>0</v>
      </c>
      <c r="O174" s="697" t="str">
        <f t="shared" si="50"/>
        <v>-</v>
      </c>
      <c r="P174" s="686">
        <f t="shared" si="51"/>
        <v>0</v>
      </c>
      <c r="Q174" s="71"/>
      <c r="R174" s="686">
        <f t="shared" si="21"/>
        <v>0</v>
      </c>
      <c r="S174" s="686">
        <f t="shared" si="22"/>
        <v>0</v>
      </c>
      <c r="T174" s="686">
        <f t="shared" si="23"/>
        <v>0</v>
      </c>
      <c r="U174" s="686">
        <f t="shared" si="40"/>
        <v>0</v>
      </c>
      <c r="V174" s="686">
        <f t="shared" si="40"/>
        <v>0</v>
      </c>
      <c r="W174" s="686">
        <f t="shared" si="46"/>
        <v>0</v>
      </c>
      <c r="X174" s="71"/>
      <c r="Y174" s="686">
        <f t="shared" si="42"/>
        <v>0</v>
      </c>
      <c r="Z174" s="686">
        <f t="shared" si="42"/>
        <v>0</v>
      </c>
      <c r="AA174" s="686">
        <f t="shared" si="42"/>
        <v>0</v>
      </c>
      <c r="AB174" s="686">
        <f t="shared" si="45"/>
        <v>0</v>
      </c>
      <c r="AC174" s="686">
        <f t="shared" si="45"/>
        <v>0</v>
      </c>
      <c r="AD174" s="686">
        <f t="shared" si="45"/>
        <v>0</v>
      </c>
      <c r="AE174" s="120"/>
      <c r="AF174" s="50"/>
    </row>
    <row r="175" spans="2:32" x14ac:dyDescent="0.2">
      <c r="B175" s="50"/>
      <c r="C175" s="69"/>
      <c r="D175" s="75"/>
      <c r="E175" s="75"/>
      <c r="F175" s="99"/>
      <c r="G175" s="88"/>
      <c r="H175" s="165"/>
      <c r="I175" s="88"/>
      <c r="J175" s="88"/>
      <c r="K175" s="71"/>
      <c r="L175" s="74">
        <f t="shared" si="47"/>
        <v>0</v>
      </c>
      <c r="M175" s="686">
        <f t="shared" si="48"/>
        <v>0</v>
      </c>
      <c r="N175" s="686">
        <f t="shared" si="49"/>
        <v>0</v>
      </c>
      <c r="O175" s="697" t="str">
        <f t="shared" si="50"/>
        <v>-</v>
      </c>
      <c r="P175" s="686">
        <f t="shared" si="51"/>
        <v>0</v>
      </c>
      <c r="Q175" s="71"/>
      <c r="R175" s="686">
        <f t="shared" si="21"/>
        <v>0</v>
      </c>
      <c r="S175" s="686">
        <f t="shared" si="22"/>
        <v>0</v>
      </c>
      <c r="T175" s="686">
        <f t="shared" si="23"/>
        <v>0</v>
      </c>
      <c r="U175" s="686">
        <f t="shared" si="40"/>
        <v>0</v>
      </c>
      <c r="V175" s="686">
        <f t="shared" si="40"/>
        <v>0</v>
      </c>
      <c r="W175" s="686">
        <f t="shared" si="46"/>
        <v>0</v>
      </c>
      <c r="X175" s="71"/>
      <c r="Y175" s="686">
        <f t="shared" si="42"/>
        <v>0</v>
      </c>
      <c r="Z175" s="686">
        <f t="shared" si="42"/>
        <v>0</v>
      </c>
      <c r="AA175" s="686">
        <f t="shared" si="42"/>
        <v>0</v>
      </c>
      <c r="AB175" s="686">
        <f t="shared" si="45"/>
        <v>0</v>
      </c>
      <c r="AC175" s="686">
        <f t="shared" si="45"/>
        <v>0</v>
      </c>
      <c r="AD175" s="686">
        <f t="shared" si="45"/>
        <v>0</v>
      </c>
      <c r="AE175" s="120"/>
      <c r="AF175" s="50"/>
    </row>
    <row r="176" spans="2:32" x14ac:dyDescent="0.2">
      <c r="B176" s="50"/>
      <c r="C176" s="69"/>
      <c r="D176" s="75"/>
      <c r="E176" s="75"/>
      <c r="F176" s="99"/>
      <c r="G176" s="88"/>
      <c r="H176" s="165"/>
      <c r="I176" s="88"/>
      <c r="J176" s="88"/>
      <c r="K176" s="71"/>
      <c r="L176" s="74">
        <f t="shared" si="47"/>
        <v>0</v>
      </c>
      <c r="M176" s="686">
        <f t="shared" si="48"/>
        <v>0</v>
      </c>
      <c r="N176" s="686">
        <f t="shared" si="49"/>
        <v>0</v>
      </c>
      <c r="O176" s="697" t="str">
        <f t="shared" si="50"/>
        <v>-</v>
      </c>
      <c r="P176" s="686">
        <f t="shared" si="51"/>
        <v>0</v>
      </c>
      <c r="Q176" s="71"/>
      <c r="R176" s="686">
        <f t="shared" si="21"/>
        <v>0</v>
      </c>
      <c r="S176" s="686">
        <f t="shared" si="22"/>
        <v>0</v>
      </c>
      <c r="T176" s="686">
        <f t="shared" si="23"/>
        <v>0</v>
      </c>
      <c r="U176" s="686">
        <f t="shared" si="40"/>
        <v>0</v>
      </c>
      <c r="V176" s="686">
        <f t="shared" si="40"/>
        <v>0</v>
      </c>
      <c r="W176" s="686">
        <f t="shared" si="46"/>
        <v>0</v>
      </c>
      <c r="X176" s="71"/>
      <c r="Y176" s="686">
        <f t="shared" si="42"/>
        <v>0</v>
      </c>
      <c r="Z176" s="686">
        <f t="shared" si="42"/>
        <v>0</v>
      </c>
      <c r="AA176" s="686">
        <f t="shared" si="42"/>
        <v>0</v>
      </c>
      <c r="AB176" s="686">
        <f t="shared" si="45"/>
        <v>0</v>
      </c>
      <c r="AC176" s="686">
        <f t="shared" si="45"/>
        <v>0</v>
      </c>
      <c r="AD176" s="686">
        <f t="shared" si="45"/>
        <v>0</v>
      </c>
      <c r="AE176" s="120"/>
      <c r="AF176" s="50"/>
    </row>
    <row r="177" spans="2:32" x14ac:dyDescent="0.2">
      <c r="B177" s="50"/>
      <c r="C177" s="69"/>
      <c r="D177" s="75"/>
      <c r="E177" s="75"/>
      <c r="F177" s="99"/>
      <c r="G177" s="88"/>
      <c r="H177" s="165"/>
      <c r="I177" s="88"/>
      <c r="J177" s="88"/>
      <c r="K177" s="71"/>
      <c r="L177" s="74">
        <f t="shared" si="47"/>
        <v>0</v>
      </c>
      <c r="M177" s="686">
        <f t="shared" si="48"/>
        <v>0</v>
      </c>
      <c r="N177" s="686">
        <f t="shared" si="49"/>
        <v>0</v>
      </c>
      <c r="O177" s="697" t="str">
        <f t="shared" si="50"/>
        <v>-</v>
      </c>
      <c r="P177" s="686">
        <f t="shared" si="51"/>
        <v>0</v>
      </c>
      <c r="Q177" s="71"/>
      <c r="R177" s="686">
        <f t="shared" si="21"/>
        <v>0</v>
      </c>
      <c r="S177" s="686">
        <f t="shared" si="22"/>
        <v>0</v>
      </c>
      <c r="T177" s="686">
        <f t="shared" si="23"/>
        <v>0</v>
      </c>
      <c r="U177" s="686">
        <f t="shared" si="40"/>
        <v>0</v>
      </c>
      <c r="V177" s="686">
        <f t="shared" si="40"/>
        <v>0</v>
      </c>
      <c r="W177" s="686">
        <f t="shared" si="46"/>
        <v>0</v>
      </c>
      <c r="X177" s="71"/>
      <c r="Y177" s="686">
        <f t="shared" si="42"/>
        <v>0</v>
      </c>
      <c r="Z177" s="686">
        <f t="shared" si="42"/>
        <v>0</v>
      </c>
      <c r="AA177" s="686">
        <f t="shared" si="42"/>
        <v>0</v>
      </c>
      <c r="AB177" s="686">
        <f t="shared" si="45"/>
        <v>0</v>
      </c>
      <c r="AC177" s="686">
        <f t="shared" si="45"/>
        <v>0</v>
      </c>
      <c r="AD177" s="686">
        <f t="shared" si="45"/>
        <v>0</v>
      </c>
      <c r="AE177" s="120"/>
      <c r="AF177" s="50"/>
    </row>
    <row r="178" spans="2:32" x14ac:dyDescent="0.2">
      <c r="B178" s="50"/>
      <c r="C178" s="69"/>
      <c r="D178" s="75"/>
      <c r="E178" s="75"/>
      <c r="F178" s="99"/>
      <c r="G178" s="88"/>
      <c r="H178" s="165"/>
      <c r="I178" s="88"/>
      <c r="J178" s="88"/>
      <c r="K178" s="71"/>
      <c r="L178" s="74">
        <f t="shared" si="47"/>
        <v>0</v>
      </c>
      <c r="M178" s="686">
        <f t="shared" si="48"/>
        <v>0</v>
      </c>
      <c r="N178" s="686">
        <f t="shared" si="49"/>
        <v>0</v>
      </c>
      <c r="O178" s="697" t="str">
        <f t="shared" si="50"/>
        <v>-</v>
      </c>
      <c r="P178" s="686">
        <f t="shared" si="51"/>
        <v>0</v>
      </c>
      <c r="Q178" s="71"/>
      <c r="R178" s="686">
        <f t="shared" si="21"/>
        <v>0</v>
      </c>
      <c r="S178" s="686">
        <f t="shared" si="22"/>
        <v>0</v>
      </c>
      <c r="T178" s="686">
        <f t="shared" si="23"/>
        <v>0</v>
      </c>
      <c r="U178" s="686">
        <f t="shared" si="40"/>
        <v>0</v>
      </c>
      <c r="V178" s="686">
        <f t="shared" si="40"/>
        <v>0</v>
      </c>
      <c r="W178" s="686">
        <f t="shared" si="46"/>
        <v>0</v>
      </c>
      <c r="X178" s="71"/>
      <c r="Y178" s="686">
        <f t="shared" si="42"/>
        <v>0</v>
      </c>
      <c r="Z178" s="686">
        <f t="shared" si="42"/>
        <v>0</v>
      </c>
      <c r="AA178" s="686">
        <f t="shared" si="42"/>
        <v>0</v>
      </c>
      <c r="AB178" s="686">
        <f t="shared" si="45"/>
        <v>0</v>
      </c>
      <c r="AC178" s="686">
        <f t="shared" si="45"/>
        <v>0</v>
      </c>
      <c r="AD178" s="686">
        <f t="shared" si="45"/>
        <v>0</v>
      </c>
      <c r="AE178" s="120"/>
      <c r="AF178" s="50"/>
    </row>
    <row r="179" spans="2:32" x14ac:dyDescent="0.2">
      <c r="B179" s="50"/>
      <c r="C179" s="69"/>
      <c r="D179" s="75"/>
      <c r="E179" s="75"/>
      <c r="F179" s="99"/>
      <c r="G179" s="88"/>
      <c r="H179" s="165"/>
      <c r="I179" s="88"/>
      <c r="J179" s="88"/>
      <c r="K179" s="71"/>
      <c r="L179" s="74">
        <f t="shared" si="47"/>
        <v>0</v>
      </c>
      <c r="M179" s="686">
        <f t="shared" si="48"/>
        <v>0</v>
      </c>
      <c r="N179" s="686">
        <f t="shared" si="49"/>
        <v>0</v>
      </c>
      <c r="O179" s="697" t="str">
        <f t="shared" si="50"/>
        <v>-</v>
      </c>
      <c r="P179" s="686">
        <f t="shared" si="51"/>
        <v>0</v>
      </c>
      <c r="Q179" s="71"/>
      <c r="R179" s="686">
        <f t="shared" si="21"/>
        <v>0</v>
      </c>
      <c r="S179" s="686">
        <f t="shared" si="22"/>
        <v>0</v>
      </c>
      <c r="T179" s="686">
        <f t="shared" si="23"/>
        <v>0</v>
      </c>
      <c r="U179" s="686">
        <f t="shared" si="40"/>
        <v>0</v>
      </c>
      <c r="V179" s="686">
        <f t="shared" si="40"/>
        <v>0</v>
      </c>
      <c r="W179" s="686">
        <f t="shared" si="46"/>
        <v>0</v>
      </c>
      <c r="X179" s="71"/>
      <c r="Y179" s="686">
        <f t="shared" si="42"/>
        <v>0</v>
      </c>
      <c r="Z179" s="686">
        <f t="shared" si="42"/>
        <v>0</v>
      </c>
      <c r="AA179" s="686">
        <f t="shared" si="42"/>
        <v>0</v>
      </c>
      <c r="AB179" s="686">
        <f t="shared" si="45"/>
        <v>0</v>
      </c>
      <c r="AC179" s="686">
        <f t="shared" si="45"/>
        <v>0</v>
      </c>
      <c r="AD179" s="686">
        <f t="shared" si="45"/>
        <v>0</v>
      </c>
      <c r="AE179" s="120"/>
      <c r="AF179" s="50"/>
    </row>
    <row r="180" spans="2:32" x14ac:dyDescent="0.2">
      <c r="B180" s="50"/>
      <c r="C180" s="69"/>
      <c r="D180" s="75"/>
      <c r="E180" s="75"/>
      <c r="F180" s="99"/>
      <c r="G180" s="88"/>
      <c r="H180" s="165"/>
      <c r="I180" s="88"/>
      <c r="J180" s="88"/>
      <c r="K180" s="71"/>
      <c r="L180" s="74">
        <f t="shared" si="47"/>
        <v>0</v>
      </c>
      <c r="M180" s="686">
        <f t="shared" si="48"/>
        <v>0</v>
      </c>
      <c r="N180" s="686">
        <f t="shared" si="49"/>
        <v>0</v>
      </c>
      <c r="O180" s="697" t="str">
        <f t="shared" si="50"/>
        <v>-</v>
      </c>
      <c r="P180" s="686">
        <f t="shared" si="51"/>
        <v>0</v>
      </c>
      <c r="Q180" s="71"/>
      <c r="R180" s="686">
        <f t="shared" si="21"/>
        <v>0</v>
      </c>
      <c r="S180" s="686">
        <f t="shared" si="22"/>
        <v>0</v>
      </c>
      <c r="T180" s="686">
        <f t="shared" si="23"/>
        <v>0</v>
      </c>
      <c r="U180" s="686">
        <f t="shared" si="40"/>
        <v>0</v>
      </c>
      <c r="V180" s="686">
        <f t="shared" si="40"/>
        <v>0</v>
      </c>
      <c r="W180" s="686">
        <f t="shared" si="46"/>
        <v>0</v>
      </c>
      <c r="X180" s="71"/>
      <c r="Y180" s="686">
        <f t="shared" si="42"/>
        <v>0</v>
      </c>
      <c r="Z180" s="686">
        <f t="shared" si="42"/>
        <v>0</v>
      </c>
      <c r="AA180" s="686">
        <f t="shared" si="42"/>
        <v>0</v>
      </c>
      <c r="AB180" s="686">
        <f t="shared" si="45"/>
        <v>0</v>
      </c>
      <c r="AC180" s="686">
        <f t="shared" si="45"/>
        <v>0</v>
      </c>
      <c r="AD180" s="686">
        <f t="shared" si="45"/>
        <v>0</v>
      </c>
      <c r="AE180" s="120"/>
      <c r="AF180" s="50"/>
    </row>
    <row r="181" spans="2:32" x14ac:dyDescent="0.2">
      <c r="B181" s="50"/>
      <c r="C181" s="69"/>
      <c r="D181" s="75"/>
      <c r="E181" s="75"/>
      <c r="F181" s="99"/>
      <c r="G181" s="88"/>
      <c r="H181" s="165"/>
      <c r="I181" s="88"/>
      <c r="J181" s="88"/>
      <c r="K181" s="71"/>
      <c r="L181" s="74">
        <f t="shared" si="47"/>
        <v>0</v>
      </c>
      <c r="M181" s="686">
        <f t="shared" si="48"/>
        <v>0</v>
      </c>
      <c r="N181" s="686">
        <f t="shared" si="49"/>
        <v>0</v>
      </c>
      <c r="O181" s="697" t="str">
        <f t="shared" si="50"/>
        <v>-</v>
      </c>
      <c r="P181" s="686">
        <f t="shared" si="51"/>
        <v>0</v>
      </c>
      <c r="Q181" s="71"/>
      <c r="R181" s="686">
        <f t="shared" si="21"/>
        <v>0</v>
      </c>
      <c r="S181" s="686">
        <f t="shared" si="22"/>
        <v>0</v>
      </c>
      <c r="T181" s="686">
        <f t="shared" si="23"/>
        <v>0</v>
      </c>
      <c r="U181" s="686">
        <f t="shared" si="40"/>
        <v>0</v>
      </c>
      <c r="V181" s="686">
        <f t="shared" si="40"/>
        <v>0</v>
      </c>
      <c r="W181" s="686">
        <f t="shared" si="46"/>
        <v>0</v>
      </c>
      <c r="X181" s="71"/>
      <c r="Y181" s="686">
        <f t="shared" si="42"/>
        <v>0</v>
      </c>
      <c r="Z181" s="686">
        <f t="shared" si="42"/>
        <v>0</v>
      </c>
      <c r="AA181" s="686">
        <f t="shared" si="42"/>
        <v>0</v>
      </c>
      <c r="AB181" s="686">
        <f t="shared" si="45"/>
        <v>0</v>
      </c>
      <c r="AC181" s="686">
        <f t="shared" si="45"/>
        <v>0</v>
      </c>
      <c r="AD181" s="686">
        <f t="shared" si="45"/>
        <v>0</v>
      </c>
      <c r="AE181" s="120"/>
      <c r="AF181" s="50"/>
    </row>
    <row r="182" spans="2:32" x14ac:dyDescent="0.2">
      <c r="B182" s="50"/>
      <c r="C182" s="69"/>
      <c r="D182" s="75"/>
      <c r="E182" s="75"/>
      <c r="F182" s="99"/>
      <c r="G182" s="88"/>
      <c r="H182" s="165"/>
      <c r="I182" s="88"/>
      <c r="J182" s="88"/>
      <c r="K182" s="71"/>
      <c r="L182" s="74">
        <f t="shared" si="47"/>
        <v>0</v>
      </c>
      <c r="M182" s="686">
        <f t="shared" si="48"/>
        <v>0</v>
      </c>
      <c r="N182" s="686">
        <f t="shared" si="49"/>
        <v>0</v>
      </c>
      <c r="O182" s="697" t="str">
        <f t="shared" si="50"/>
        <v>-</v>
      </c>
      <c r="P182" s="686">
        <f t="shared" si="51"/>
        <v>0</v>
      </c>
      <c r="Q182" s="71"/>
      <c r="R182" s="686">
        <f t="shared" si="21"/>
        <v>0</v>
      </c>
      <c r="S182" s="686">
        <f t="shared" si="22"/>
        <v>0</v>
      </c>
      <c r="T182" s="686">
        <f t="shared" si="23"/>
        <v>0</v>
      </c>
      <c r="U182" s="686">
        <f t="shared" si="40"/>
        <v>0</v>
      </c>
      <c r="V182" s="686">
        <f t="shared" si="40"/>
        <v>0</v>
      </c>
      <c r="W182" s="686">
        <f t="shared" si="46"/>
        <v>0</v>
      </c>
      <c r="X182" s="71"/>
      <c r="Y182" s="686">
        <f t="shared" si="42"/>
        <v>0</v>
      </c>
      <c r="Z182" s="686">
        <f t="shared" si="42"/>
        <v>0</v>
      </c>
      <c r="AA182" s="686">
        <f t="shared" si="42"/>
        <v>0</v>
      </c>
      <c r="AB182" s="686">
        <f t="shared" si="45"/>
        <v>0</v>
      </c>
      <c r="AC182" s="686">
        <f t="shared" si="45"/>
        <v>0</v>
      </c>
      <c r="AD182" s="686">
        <f t="shared" si="45"/>
        <v>0</v>
      </c>
      <c r="AE182" s="120"/>
      <c r="AF182" s="50"/>
    </row>
    <row r="183" spans="2:32" x14ac:dyDescent="0.2">
      <c r="B183" s="50"/>
      <c r="C183" s="69"/>
      <c r="D183" s="75"/>
      <c r="E183" s="75"/>
      <c r="F183" s="99"/>
      <c r="G183" s="88"/>
      <c r="H183" s="165"/>
      <c r="I183" s="88"/>
      <c r="J183" s="88"/>
      <c r="K183" s="71"/>
      <c r="L183" s="74">
        <f t="shared" si="47"/>
        <v>0</v>
      </c>
      <c r="M183" s="686">
        <f t="shared" si="48"/>
        <v>0</v>
      </c>
      <c r="N183" s="686">
        <f t="shared" si="49"/>
        <v>0</v>
      </c>
      <c r="O183" s="697" t="str">
        <f t="shared" si="50"/>
        <v>-</v>
      </c>
      <c r="P183" s="686">
        <f t="shared" si="51"/>
        <v>0</v>
      </c>
      <c r="Q183" s="71"/>
      <c r="R183" s="686">
        <f t="shared" si="21"/>
        <v>0</v>
      </c>
      <c r="S183" s="686">
        <f t="shared" si="22"/>
        <v>0</v>
      </c>
      <c r="T183" s="686">
        <f t="shared" si="23"/>
        <v>0</v>
      </c>
      <c r="U183" s="686">
        <f t="shared" si="40"/>
        <v>0</v>
      </c>
      <c r="V183" s="686">
        <f t="shared" si="40"/>
        <v>0</v>
      </c>
      <c r="W183" s="686">
        <f t="shared" si="46"/>
        <v>0</v>
      </c>
      <c r="X183" s="71"/>
      <c r="Y183" s="686">
        <f t="shared" si="42"/>
        <v>0</v>
      </c>
      <c r="Z183" s="686">
        <f t="shared" si="42"/>
        <v>0</v>
      </c>
      <c r="AA183" s="686">
        <f t="shared" si="42"/>
        <v>0</v>
      </c>
      <c r="AB183" s="686">
        <f t="shared" si="45"/>
        <v>0</v>
      </c>
      <c r="AC183" s="686">
        <f t="shared" si="45"/>
        <v>0</v>
      </c>
      <c r="AD183" s="686">
        <f t="shared" si="45"/>
        <v>0</v>
      </c>
      <c r="AE183" s="120"/>
      <c r="AF183" s="50"/>
    </row>
    <row r="184" spans="2:32" x14ac:dyDescent="0.2">
      <c r="B184" s="50"/>
      <c r="C184" s="69"/>
      <c r="D184" s="75"/>
      <c r="E184" s="75"/>
      <c r="F184" s="99"/>
      <c r="G184" s="88"/>
      <c r="H184" s="165"/>
      <c r="I184" s="88"/>
      <c r="J184" s="88"/>
      <c r="K184" s="71"/>
      <c r="L184" s="74">
        <f t="shared" si="47"/>
        <v>0</v>
      </c>
      <c r="M184" s="686">
        <f t="shared" si="48"/>
        <v>0</v>
      </c>
      <c r="N184" s="686">
        <f t="shared" si="49"/>
        <v>0</v>
      </c>
      <c r="O184" s="697" t="str">
        <f t="shared" si="50"/>
        <v>-</v>
      </c>
      <c r="P184" s="686">
        <f t="shared" si="51"/>
        <v>0</v>
      </c>
      <c r="Q184" s="71"/>
      <c r="R184" s="686">
        <f t="shared" si="21"/>
        <v>0</v>
      </c>
      <c r="S184" s="686">
        <f t="shared" si="22"/>
        <v>0</v>
      </c>
      <c r="T184" s="686">
        <f t="shared" si="23"/>
        <v>0</v>
      </c>
      <c r="U184" s="686">
        <f t="shared" si="40"/>
        <v>0</v>
      </c>
      <c r="V184" s="686">
        <f t="shared" si="40"/>
        <v>0</v>
      </c>
      <c r="W184" s="686">
        <f t="shared" si="46"/>
        <v>0</v>
      </c>
      <c r="X184" s="71"/>
      <c r="Y184" s="686">
        <f t="shared" si="42"/>
        <v>0</v>
      </c>
      <c r="Z184" s="686">
        <f t="shared" si="42"/>
        <v>0</v>
      </c>
      <c r="AA184" s="686">
        <f t="shared" si="42"/>
        <v>0</v>
      </c>
      <c r="AB184" s="686">
        <f t="shared" si="45"/>
        <v>0</v>
      </c>
      <c r="AC184" s="686">
        <f t="shared" si="45"/>
        <v>0</v>
      </c>
      <c r="AD184" s="686">
        <f t="shared" si="45"/>
        <v>0</v>
      </c>
      <c r="AE184" s="120"/>
      <c r="AF184" s="50"/>
    </row>
    <row r="185" spans="2:32" x14ac:dyDescent="0.2">
      <c r="B185" s="50"/>
      <c r="C185" s="69"/>
      <c r="D185" s="75"/>
      <c r="E185" s="75"/>
      <c r="F185" s="99"/>
      <c r="G185" s="88"/>
      <c r="H185" s="165"/>
      <c r="I185" s="88"/>
      <c r="J185" s="88"/>
      <c r="K185" s="71"/>
      <c r="L185" s="74">
        <f t="shared" si="47"/>
        <v>0</v>
      </c>
      <c r="M185" s="686">
        <f t="shared" si="48"/>
        <v>0</v>
      </c>
      <c r="N185" s="686">
        <f t="shared" si="49"/>
        <v>0</v>
      </c>
      <c r="O185" s="697" t="str">
        <f t="shared" si="50"/>
        <v>-</v>
      </c>
      <c r="P185" s="686">
        <f t="shared" si="51"/>
        <v>0</v>
      </c>
      <c r="Q185" s="71"/>
      <c r="R185" s="686">
        <f t="shared" si="21"/>
        <v>0</v>
      </c>
      <c r="S185" s="686">
        <f t="shared" si="22"/>
        <v>0</v>
      </c>
      <c r="T185" s="686">
        <f t="shared" si="23"/>
        <v>0</v>
      </c>
      <c r="U185" s="686">
        <f t="shared" si="40"/>
        <v>0</v>
      </c>
      <c r="V185" s="686">
        <f t="shared" si="40"/>
        <v>0</v>
      </c>
      <c r="W185" s="686">
        <f t="shared" si="46"/>
        <v>0</v>
      </c>
      <c r="X185" s="71"/>
      <c r="Y185" s="686">
        <f t="shared" si="42"/>
        <v>0</v>
      </c>
      <c r="Z185" s="686">
        <f t="shared" si="42"/>
        <v>0</v>
      </c>
      <c r="AA185" s="686">
        <f t="shared" si="42"/>
        <v>0</v>
      </c>
      <c r="AB185" s="686">
        <f t="shared" si="45"/>
        <v>0</v>
      </c>
      <c r="AC185" s="686">
        <f t="shared" si="45"/>
        <v>0</v>
      </c>
      <c r="AD185" s="686">
        <f t="shared" si="45"/>
        <v>0</v>
      </c>
      <c r="AE185" s="120"/>
      <c r="AF185" s="50"/>
    </row>
    <row r="186" spans="2:32" x14ac:dyDescent="0.2">
      <c r="B186" s="50"/>
      <c r="C186" s="69"/>
      <c r="D186" s="75"/>
      <c r="E186" s="75"/>
      <c r="F186" s="99"/>
      <c r="G186" s="88"/>
      <c r="H186" s="165"/>
      <c r="I186" s="88"/>
      <c r="J186" s="88"/>
      <c r="K186" s="71"/>
      <c r="L186" s="74">
        <f t="shared" si="47"/>
        <v>0</v>
      </c>
      <c r="M186" s="686">
        <f t="shared" si="48"/>
        <v>0</v>
      </c>
      <c r="N186" s="686">
        <f t="shared" si="49"/>
        <v>0</v>
      </c>
      <c r="O186" s="697" t="str">
        <f t="shared" si="50"/>
        <v>-</v>
      </c>
      <c r="P186" s="686">
        <f t="shared" si="51"/>
        <v>0</v>
      </c>
      <c r="Q186" s="71"/>
      <c r="R186" s="686">
        <f t="shared" si="21"/>
        <v>0</v>
      </c>
      <c r="S186" s="686">
        <f t="shared" si="22"/>
        <v>0</v>
      </c>
      <c r="T186" s="686">
        <f t="shared" si="23"/>
        <v>0</v>
      </c>
      <c r="U186" s="686">
        <f t="shared" si="40"/>
        <v>0</v>
      </c>
      <c r="V186" s="686">
        <f t="shared" si="40"/>
        <v>0</v>
      </c>
      <c r="W186" s="686">
        <f t="shared" si="46"/>
        <v>0</v>
      </c>
      <c r="X186" s="71"/>
      <c r="Y186" s="686">
        <f t="shared" si="42"/>
        <v>0</v>
      </c>
      <c r="Z186" s="686">
        <f t="shared" si="42"/>
        <v>0</v>
      </c>
      <c r="AA186" s="686">
        <f t="shared" si="42"/>
        <v>0</v>
      </c>
      <c r="AB186" s="686">
        <f t="shared" si="45"/>
        <v>0</v>
      </c>
      <c r="AC186" s="686">
        <f t="shared" si="45"/>
        <v>0</v>
      </c>
      <c r="AD186" s="686">
        <f t="shared" si="45"/>
        <v>0</v>
      </c>
      <c r="AE186" s="120"/>
      <c r="AF186" s="50"/>
    </row>
    <row r="187" spans="2:32" x14ac:dyDescent="0.2">
      <c r="B187" s="50"/>
      <c r="C187" s="69"/>
      <c r="D187" s="75"/>
      <c r="E187" s="75"/>
      <c r="F187" s="99"/>
      <c r="G187" s="88"/>
      <c r="H187" s="165"/>
      <c r="I187" s="88"/>
      <c r="J187" s="88"/>
      <c r="K187" s="71"/>
      <c r="L187" s="74">
        <f t="shared" si="47"/>
        <v>0</v>
      </c>
      <c r="M187" s="686">
        <f t="shared" si="48"/>
        <v>0</v>
      </c>
      <c r="N187" s="686">
        <f t="shared" si="49"/>
        <v>0</v>
      </c>
      <c r="O187" s="697" t="str">
        <f t="shared" si="50"/>
        <v>-</v>
      </c>
      <c r="P187" s="686">
        <f t="shared" si="51"/>
        <v>0</v>
      </c>
      <c r="Q187" s="71"/>
      <c r="R187" s="686">
        <f t="shared" si="21"/>
        <v>0</v>
      </c>
      <c r="S187" s="686">
        <f t="shared" si="22"/>
        <v>0</v>
      </c>
      <c r="T187" s="686">
        <f t="shared" si="23"/>
        <v>0</v>
      </c>
      <c r="U187" s="686">
        <f t="shared" si="40"/>
        <v>0</v>
      </c>
      <c r="V187" s="686">
        <f t="shared" si="40"/>
        <v>0</v>
      </c>
      <c r="W187" s="686">
        <f t="shared" si="46"/>
        <v>0</v>
      </c>
      <c r="X187" s="71"/>
      <c r="Y187" s="686">
        <f t="shared" si="42"/>
        <v>0</v>
      </c>
      <c r="Z187" s="686">
        <f t="shared" si="42"/>
        <v>0</v>
      </c>
      <c r="AA187" s="686">
        <f t="shared" si="42"/>
        <v>0</v>
      </c>
      <c r="AB187" s="686">
        <f t="shared" si="45"/>
        <v>0</v>
      </c>
      <c r="AC187" s="686">
        <f t="shared" si="45"/>
        <v>0</v>
      </c>
      <c r="AD187" s="686">
        <f t="shared" si="45"/>
        <v>0</v>
      </c>
      <c r="AE187" s="120"/>
      <c r="AF187" s="50"/>
    </row>
    <row r="188" spans="2:32" x14ac:dyDescent="0.2">
      <c r="B188" s="50"/>
      <c r="C188" s="69"/>
      <c r="D188" s="75"/>
      <c r="E188" s="75"/>
      <c r="F188" s="99"/>
      <c r="G188" s="88"/>
      <c r="H188" s="165"/>
      <c r="I188" s="88"/>
      <c r="J188" s="88"/>
      <c r="K188" s="71"/>
      <c r="L188" s="74">
        <f t="shared" si="47"/>
        <v>0</v>
      </c>
      <c r="M188" s="686">
        <f t="shared" si="48"/>
        <v>0</v>
      </c>
      <c r="N188" s="686">
        <f t="shared" si="49"/>
        <v>0</v>
      </c>
      <c r="O188" s="697" t="str">
        <f t="shared" si="50"/>
        <v>-</v>
      </c>
      <c r="P188" s="686">
        <f t="shared" si="51"/>
        <v>0</v>
      </c>
      <c r="Q188" s="71"/>
      <c r="R188" s="686">
        <f t="shared" si="21"/>
        <v>0</v>
      </c>
      <c r="S188" s="686">
        <f t="shared" si="22"/>
        <v>0</v>
      </c>
      <c r="T188" s="686">
        <f t="shared" si="23"/>
        <v>0</v>
      </c>
      <c r="U188" s="686">
        <f t="shared" si="40"/>
        <v>0</v>
      </c>
      <c r="V188" s="686">
        <f t="shared" si="40"/>
        <v>0</v>
      </c>
      <c r="W188" s="686">
        <f t="shared" si="46"/>
        <v>0</v>
      </c>
      <c r="X188" s="71"/>
      <c r="Y188" s="686">
        <f t="shared" si="42"/>
        <v>0</v>
      </c>
      <c r="Z188" s="686">
        <f t="shared" si="42"/>
        <v>0</v>
      </c>
      <c r="AA188" s="686">
        <f t="shared" si="42"/>
        <v>0</v>
      </c>
      <c r="AB188" s="686">
        <f t="shared" si="45"/>
        <v>0</v>
      </c>
      <c r="AC188" s="686">
        <f t="shared" si="45"/>
        <v>0</v>
      </c>
      <c r="AD188" s="686">
        <f t="shared" si="45"/>
        <v>0</v>
      </c>
      <c r="AE188" s="120"/>
      <c r="AF188" s="50"/>
    </row>
    <row r="189" spans="2:32" x14ac:dyDescent="0.2">
      <c r="B189" s="50"/>
      <c r="C189" s="69"/>
      <c r="D189" s="75"/>
      <c r="E189" s="75"/>
      <c r="F189" s="99"/>
      <c r="G189" s="88"/>
      <c r="H189" s="165"/>
      <c r="I189" s="88"/>
      <c r="J189" s="88"/>
      <c r="K189" s="71"/>
      <c r="L189" s="74">
        <f t="shared" si="47"/>
        <v>0</v>
      </c>
      <c r="M189" s="686">
        <f t="shared" si="48"/>
        <v>0</v>
      </c>
      <c r="N189" s="686">
        <f t="shared" si="49"/>
        <v>0</v>
      </c>
      <c r="O189" s="697" t="str">
        <f t="shared" si="50"/>
        <v>-</v>
      </c>
      <c r="P189" s="686">
        <f t="shared" si="51"/>
        <v>0</v>
      </c>
      <c r="Q189" s="71"/>
      <c r="R189" s="686">
        <f t="shared" si="21"/>
        <v>0</v>
      </c>
      <c r="S189" s="686">
        <f t="shared" si="22"/>
        <v>0</v>
      </c>
      <c r="T189" s="686">
        <f t="shared" si="23"/>
        <v>0</v>
      </c>
      <c r="U189" s="686">
        <f t="shared" si="40"/>
        <v>0</v>
      </c>
      <c r="V189" s="686">
        <f t="shared" si="40"/>
        <v>0</v>
      </c>
      <c r="W189" s="686">
        <f t="shared" si="46"/>
        <v>0</v>
      </c>
      <c r="X189" s="71"/>
      <c r="Y189" s="686">
        <f t="shared" si="42"/>
        <v>0</v>
      </c>
      <c r="Z189" s="686">
        <f t="shared" si="42"/>
        <v>0</v>
      </c>
      <c r="AA189" s="686">
        <f t="shared" si="42"/>
        <v>0</v>
      </c>
      <c r="AB189" s="686">
        <f t="shared" si="45"/>
        <v>0</v>
      </c>
      <c r="AC189" s="686">
        <f t="shared" si="45"/>
        <v>0</v>
      </c>
      <c r="AD189" s="686">
        <f t="shared" si="45"/>
        <v>0</v>
      </c>
      <c r="AE189" s="120"/>
      <c r="AF189" s="50"/>
    </row>
    <row r="190" spans="2:32" x14ac:dyDescent="0.2">
      <c r="B190" s="50"/>
      <c r="C190" s="69"/>
      <c r="D190" s="75"/>
      <c r="E190" s="75"/>
      <c r="F190" s="99"/>
      <c r="G190" s="88"/>
      <c r="H190" s="165"/>
      <c r="I190" s="88"/>
      <c r="J190" s="88"/>
      <c r="K190" s="71"/>
      <c r="L190" s="74">
        <f t="shared" si="47"/>
        <v>0</v>
      </c>
      <c r="M190" s="686">
        <f t="shared" si="48"/>
        <v>0</v>
      </c>
      <c r="N190" s="686">
        <f t="shared" si="49"/>
        <v>0</v>
      </c>
      <c r="O190" s="697" t="str">
        <f t="shared" si="50"/>
        <v>-</v>
      </c>
      <c r="P190" s="686">
        <f t="shared" si="51"/>
        <v>0</v>
      </c>
      <c r="Q190" s="71"/>
      <c r="R190" s="686">
        <f t="shared" si="21"/>
        <v>0</v>
      </c>
      <c r="S190" s="686">
        <f t="shared" si="22"/>
        <v>0</v>
      </c>
      <c r="T190" s="686">
        <f t="shared" si="23"/>
        <v>0</v>
      </c>
      <c r="U190" s="686">
        <f t="shared" si="40"/>
        <v>0</v>
      </c>
      <c r="V190" s="686">
        <f t="shared" si="40"/>
        <v>0</v>
      </c>
      <c r="W190" s="686">
        <f t="shared" si="46"/>
        <v>0</v>
      </c>
      <c r="X190" s="71"/>
      <c r="Y190" s="686">
        <f t="shared" si="42"/>
        <v>0</v>
      </c>
      <c r="Z190" s="686">
        <f t="shared" si="42"/>
        <v>0</v>
      </c>
      <c r="AA190" s="686">
        <f t="shared" si="42"/>
        <v>0</v>
      </c>
      <c r="AB190" s="686">
        <f t="shared" si="45"/>
        <v>0</v>
      </c>
      <c r="AC190" s="686">
        <f t="shared" si="45"/>
        <v>0</v>
      </c>
      <c r="AD190" s="686">
        <f t="shared" si="45"/>
        <v>0</v>
      </c>
      <c r="AE190" s="120"/>
      <c r="AF190" s="50"/>
    </row>
    <row r="191" spans="2:32" x14ac:dyDescent="0.2">
      <c r="B191" s="50"/>
      <c r="C191" s="69"/>
      <c r="D191" s="75"/>
      <c r="E191" s="75"/>
      <c r="F191" s="99"/>
      <c r="G191" s="88"/>
      <c r="H191" s="165"/>
      <c r="I191" s="88"/>
      <c r="J191" s="88"/>
      <c r="K191" s="71"/>
      <c r="L191" s="74">
        <f t="shared" ref="L191:L198" si="52">IF(J191="geen",9999999999,J191)</f>
        <v>0</v>
      </c>
      <c r="M191" s="686">
        <f t="shared" ref="M191:M198" si="53">G191*H191</f>
        <v>0</v>
      </c>
      <c r="N191" s="686">
        <f t="shared" ref="N191:N198" si="54">IF(G191=0,0,(G191*H191)/L191)</f>
        <v>0</v>
      </c>
      <c r="O191" s="697" t="str">
        <f t="shared" ref="O191:O198" si="55">IF(L191=0,"-",(IF(L191&gt;3000,"-",I191+L191-1)))</f>
        <v>-</v>
      </c>
      <c r="P191" s="686">
        <f t="shared" ref="P191:P198" si="56">IF(J191="geen",IF(I191&lt;$R$8,G191*H191,0),IF(I191&gt;=$R$8,0,IF((H191*G191-(R$8-I191)*N191)&lt;0,0,H191*G191-(R$8-I191)*N191)))</f>
        <v>0</v>
      </c>
      <c r="Q191" s="71"/>
      <c r="R191" s="686">
        <f t="shared" si="21"/>
        <v>0</v>
      </c>
      <c r="S191" s="686">
        <f t="shared" si="22"/>
        <v>0</v>
      </c>
      <c r="T191" s="686">
        <f t="shared" si="23"/>
        <v>0</v>
      </c>
      <c r="U191" s="686">
        <f t="shared" si="40"/>
        <v>0</v>
      </c>
      <c r="V191" s="686">
        <f t="shared" si="40"/>
        <v>0</v>
      </c>
      <c r="W191" s="686">
        <f t="shared" si="46"/>
        <v>0</v>
      </c>
      <c r="X191" s="71"/>
      <c r="Y191" s="686">
        <f t="shared" si="42"/>
        <v>0</v>
      </c>
      <c r="Z191" s="686">
        <f t="shared" si="42"/>
        <v>0</v>
      </c>
      <c r="AA191" s="686">
        <f t="shared" si="42"/>
        <v>0</v>
      </c>
      <c r="AB191" s="686">
        <f t="shared" si="45"/>
        <v>0</v>
      </c>
      <c r="AC191" s="686">
        <f t="shared" si="45"/>
        <v>0</v>
      </c>
      <c r="AD191" s="686">
        <f t="shared" si="45"/>
        <v>0</v>
      </c>
      <c r="AE191" s="120"/>
      <c r="AF191" s="50"/>
    </row>
    <row r="192" spans="2:32" x14ac:dyDescent="0.2">
      <c r="B192" s="50"/>
      <c r="C192" s="69"/>
      <c r="D192" s="75"/>
      <c r="E192" s="75"/>
      <c r="F192" s="99"/>
      <c r="G192" s="88"/>
      <c r="H192" s="165"/>
      <c r="I192" s="88"/>
      <c r="J192" s="88"/>
      <c r="K192" s="71"/>
      <c r="L192" s="74">
        <f t="shared" si="52"/>
        <v>0</v>
      </c>
      <c r="M192" s="686">
        <f t="shared" si="53"/>
        <v>0</v>
      </c>
      <c r="N192" s="686">
        <f t="shared" si="54"/>
        <v>0</v>
      </c>
      <c r="O192" s="697" t="str">
        <f t="shared" si="55"/>
        <v>-</v>
      </c>
      <c r="P192" s="686">
        <f t="shared" si="56"/>
        <v>0</v>
      </c>
      <c r="Q192" s="71"/>
      <c r="R192" s="686">
        <f t="shared" si="21"/>
        <v>0</v>
      </c>
      <c r="S192" s="686">
        <f t="shared" si="22"/>
        <v>0</v>
      </c>
      <c r="T192" s="686">
        <f t="shared" si="23"/>
        <v>0</v>
      </c>
      <c r="U192" s="686">
        <f t="shared" si="40"/>
        <v>0</v>
      </c>
      <c r="V192" s="686">
        <f t="shared" si="40"/>
        <v>0</v>
      </c>
      <c r="W192" s="686">
        <f t="shared" si="46"/>
        <v>0</v>
      </c>
      <c r="X192" s="71"/>
      <c r="Y192" s="686">
        <f t="shared" ref="Y192:AA198" si="57">IF(Y$8=$I192,($G192*$H192),0)</f>
        <v>0</v>
      </c>
      <c r="Z192" s="686">
        <f t="shared" si="57"/>
        <v>0</v>
      </c>
      <c r="AA192" s="686">
        <f t="shared" si="57"/>
        <v>0</v>
      </c>
      <c r="AB192" s="686">
        <f t="shared" si="45"/>
        <v>0</v>
      </c>
      <c r="AC192" s="686">
        <f t="shared" si="45"/>
        <v>0</v>
      </c>
      <c r="AD192" s="686">
        <f t="shared" si="45"/>
        <v>0</v>
      </c>
      <c r="AE192" s="120"/>
      <c r="AF192" s="50"/>
    </row>
    <row r="193" spans="2:32" x14ac:dyDescent="0.2">
      <c r="B193" s="50"/>
      <c r="C193" s="69"/>
      <c r="D193" s="75"/>
      <c r="E193" s="75"/>
      <c r="F193" s="99"/>
      <c r="G193" s="88"/>
      <c r="H193" s="165"/>
      <c r="I193" s="88"/>
      <c r="J193" s="88"/>
      <c r="K193" s="71"/>
      <c r="L193" s="74">
        <f t="shared" si="52"/>
        <v>0</v>
      </c>
      <c r="M193" s="686">
        <f t="shared" si="53"/>
        <v>0</v>
      </c>
      <c r="N193" s="686">
        <f t="shared" si="54"/>
        <v>0</v>
      </c>
      <c r="O193" s="697" t="str">
        <f t="shared" si="55"/>
        <v>-</v>
      </c>
      <c r="P193" s="686">
        <f t="shared" si="56"/>
        <v>0</v>
      </c>
      <c r="Q193" s="71"/>
      <c r="R193" s="686">
        <f t="shared" si="21"/>
        <v>0</v>
      </c>
      <c r="S193" s="686">
        <f t="shared" si="22"/>
        <v>0</v>
      </c>
      <c r="T193" s="686">
        <f t="shared" si="23"/>
        <v>0</v>
      </c>
      <c r="U193" s="686">
        <f t="shared" si="40"/>
        <v>0</v>
      </c>
      <c r="V193" s="686">
        <f t="shared" si="40"/>
        <v>0</v>
      </c>
      <c r="W193" s="686">
        <f t="shared" si="46"/>
        <v>0</v>
      </c>
      <c r="X193" s="71"/>
      <c r="Y193" s="686">
        <f t="shared" si="57"/>
        <v>0</v>
      </c>
      <c r="Z193" s="686">
        <f t="shared" si="57"/>
        <v>0</v>
      </c>
      <c r="AA193" s="686">
        <f t="shared" si="57"/>
        <v>0</v>
      </c>
      <c r="AB193" s="686">
        <f t="shared" si="45"/>
        <v>0</v>
      </c>
      <c r="AC193" s="686">
        <f t="shared" si="45"/>
        <v>0</v>
      </c>
      <c r="AD193" s="686">
        <f t="shared" si="45"/>
        <v>0</v>
      </c>
      <c r="AE193" s="120"/>
      <c r="AF193" s="50"/>
    </row>
    <row r="194" spans="2:32" x14ac:dyDescent="0.2">
      <c r="B194" s="50"/>
      <c r="C194" s="69"/>
      <c r="D194" s="75"/>
      <c r="E194" s="75"/>
      <c r="F194" s="99"/>
      <c r="G194" s="88"/>
      <c r="H194" s="165"/>
      <c r="I194" s="88"/>
      <c r="J194" s="88"/>
      <c r="K194" s="71"/>
      <c r="L194" s="74">
        <f t="shared" si="52"/>
        <v>0</v>
      </c>
      <c r="M194" s="686">
        <f t="shared" si="53"/>
        <v>0</v>
      </c>
      <c r="N194" s="686">
        <f t="shared" si="54"/>
        <v>0</v>
      </c>
      <c r="O194" s="697" t="str">
        <f t="shared" si="55"/>
        <v>-</v>
      </c>
      <c r="P194" s="686">
        <f t="shared" si="56"/>
        <v>0</v>
      </c>
      <c r="Q194" s="71"/>
      <c r="R194" s="686">
        <f t="shared" si="21"/>
        <v>0</v>
      </c>
      <c r="S194" s="686">
        <f t="shared" si="22"/>
        <v>0</v>
      </c>
      <c r="T194" s="686">
        <f t="shared" si="23"/>
        <v>0</v>
      </c>
      <c r="U194" s="686">
        <f t="shared" si="40"/>
        <v>0</v>
      </c>
      <c r="V194" s="686">
        <f t="shared" si="40"/>
        <v>0</v>
      </c>
      <c r="W194" s="686">
        <f t="shared" si="46"/>
        <v>0</v>
      </c>
      <c r="X194" s="71"/>
      <c r="Y194" s="686">
        <f t="shared" si="57"/>
        <v>0</v>
      </c>
      <c r="Z194" s="686">
        <f t="shared" si="57"/>
        <v>0</v>
      </c>
      <c r="AA194" s="686">
        <f t="shared" si="57"/>
        <v>0</v>
      </c>
      <c r="AB194" s="686">
        <f t="shared" si="45"/>
        <v>0</v>
      </c>
      <c r="AC194" s="686">
        <f t="shared" si="45"/>
        <v>0</v>
      </c>
      <c r="AD194" s="686">
        <f t="shared" si="45"/>
        <v>0</v>
      </c>
      <c r="AE194" s="120"/>
      <c r="AF194" s="50"/>
    </row>
    <row r="195" spans="2:32" x14ac:dyDescent="0.2">
      <c r="B195" s="50"/>
      <c r="C195" s="69"/>
      <c r="D195" s="75"/>
      <c r="E195" s="75"/>
      <c r="F195" s="99"/>
      <c r="G195" s="88"/>
      <c r="H195" s="165"/>
      <c r="I195" s="88"/>
      <c r="J195" s="88"/>
      <c r="K195" s="71"/>
      <c r="L195" s="74">
        <f t="shared" si="52"/>
        <v>0</v>
      </c>
      <c r="M195" s="686">
        <f t="shared" si="53"/>
        <v>0</v>
      </c>
      <c r="N195" s="686">
        <f t="shared" si="54"/>
        <v>0</v>
      </c>
      <c r="O195" s="697" t="str">
        <f t="shared" si="55"/>
        <v>-</v>
      </c>
      <c r="P195" s="686">
        <f t="shared" si="56"/>
        <v>0</v>
      </c>
      <c r="Q195" s="71"/>
      <c r="R195" s="686">
        <f t="shared" si="21"/>
        <v>0</v>
      </c>
      <c r="S195" s="686">
        <f t="shared" si="22"/>
        <v>0</v>
      </c>
      <c r="T195" s="686">
        <f t="shared" si="23"/>
        <v>0</v>
      </c>
      <c r="U195" s="686">
        <f t="shared" si="40"/>
        <v>0</v>
      </c>
      <c r="V195" s="686">
        <f t="shared" si="40"/>
        <v>0</v>
      </c>
      <c r="W195" s="686">
        <f t="shared" si="46"/>
        <v>0</v>
      </c>
      <c r="X195" s="71"/>
      <c r="Y195" s="686">
        <f t="shared" si="57"/>
        <v>0</v>
      </c>
      <c r="Z195" s="686">
        <f t="shared" si="57"/>
        <v>0</v>
      </c>
      <c r="AA195" s="686">
        <f t="shared" si="57"/>
        <v>0</v>
      </c>
      <c r="AB195" s="686">
        <f t="shared" si="45"/>
        <v>0</v>
      </c>
      <c r="AC195" s="686">
        <f t="shared" si="45"/>
        <v>0</v>
      </c>
      <c r="AD195" s="686">
        <f t="shared" si="45"/>
        <v>0</v>
      </c>
      <c r="AE195" s="120"/>
      <c r="AF195" s="50"/>
    </row>
    <row r="196" spans="2:32" x14ac:dyDescent="0.2">
      <c r="B196" s="50"/>
      <c r="C196" s="69"/>
      <c r="D196" s="75"/>
      <c r="E196" s="75"/>
      <c r="F196" s="99"/>
      <c r="G196" s="88"/>
      <c r="H196" s="165"/>
      <c r="I196" s="88"/>
      <c r="J196" s="88"/>
      <c r="K196" s="71"/>
      <c r="L196" s="74">
        <f t="shared" si="52"/>
        <v>0</v>
      </c>
      <c r="M196" s="686">
        <f t="shared" si="53"/>
        <v>0</v>
      </c>
      <c r="N196" s="686">
        <f t="shared" si="54"/>
        <v>0</v>
      </c>
      <c r="O196" s="697" t="str">
        <f t="shared" si="55"/>
        <v>-</v>
      </c>
      <c r="P196" s="686">
        <f t="shared" si="56"/>
        <v>0</v>
      </c>
      <c r="Q196" s="71"/>
      <c r="R196" s="686">
        <f t="shared" si="21"/>
        <v>0</v>
      </c>
      <c r="S196" s="686">
        <f t="shared" si="22"/>
        <v>0</v>
      </c>
      <c r="T196" s="686">
        <f t="shared" si="23"/>
        <v>0</v>
      </c>
      <c r="U196" s="686">
        <f t="shared" si="40"/>
        <v>0</v>
      </c>
      <c r="V196" s="686">
        <f t="shared" si="40"/>
        <v>0</v>
      </c>
      <c r="W196" s="686">
        <f t="shared" si="46"/>
        <v>0</v>
      </c>
      <c r="X196" s="71"/>
      <c r="Y196" s="686">
        <f t="shared" si="57"/>
        <v>0</v>
      </c>
      <c r="Z196" s="686">
        <f t="shared" si="57"/>
        <v>0</v>
      </c>
      <c r="AA196" s="686">
        <f t="shared" si="57"/>
        <v>0</v>
      </c>
      <c r="AB196" s="686">
        <f t="shared" si="45"/>
        <v>0</v>
      </c>
      <c r="AC196" s="686">
        <f t="shared" si="45"/>
        <v>0</v>
      </c>
      <c r="AD196" s="686">
        <f t="shared" si="45"/>
        <v>0</v>
      </c>
      <c r="AE196" s="120"/>
      <c r="AF196" s="50"/>
    </row>
    <row r="197" spans="2:32" x14ac:dyDescent="0.2">
      <c r="B197" s="50"/>
      <c r="C197" s="69"/>
      <c r="D197" s="75"/>
      <c r="E197" s="75"/>
      <c r="F197" s="99"/>
      <c r="G197" s="88"/>
      <c r="H197" s="165"/>
      <c r="I197" s="88"/>
      <c r="J197" s="88"/>
      <c r="K197" s="71"/>
      <c r="L197" s="74">
        <f t="shared" si="52"/>
        <v>0</v>
      </c>
      <c r="M197" s="686">
        <f t="shared" si="53"/>
        <v>0</v>
      </c>
      <c r="N197" s="686">
        <f t="shared" si="54"/>
        <v>0</v>
      </c>
      <c r="O197" s="697" t="str">
        <f t="shared" si="55"/>
        <v>-</v>
      </c>
      <c r="P197" s="686">
        <f t="shared" si="56"/>
        <v>0</v>
      </c>
      <c r="Q197" s="71"/>
      <c r="R197" s="686">
        <f t="shared" si="21"/>
        <v>0</v>
      </c>
      <c r="S197" s="686">
        <f t="shared" si="22"/>
        <v>0</v>
      </c>
      <c r="T197" s="686">
        <f t="shared" si="23"/>
        <v>0</v>
      </c>
      <c r="U197" s="686">
        <f t="shared" si="40"/>
        <v>0</v>
      </c>
      <c r="V197" s="686">
        <f t="shared" si="40"/>
        <v>0</v>
      </c>
      <c r="W197" s="686">
        <f t="shared" si="46"/>
        <v>0</v>
      </c>
      <c r="X197" s="71"/>
      <c r="Y197" s="686">
        <f t="shared" si="57"/>
        <v>0</v>
      </c>
      <c r="Z197" s="686">
        <f t="shared" si="57"/>
        <v>0</v>
      </c>
      <c r="AA197" s="686">
        <f t="shared" si="57"/>
        <v>0</v>
      </c>
      <c r="AB197" s="686">
        <f t="shared" si="45"/>
        <v>0</v>
      </c>
      <c r="AC197" s="686">
        <f t="shared" si="45"/>
        <v>0</v>
      </c>
      <c r="AD197" s="686">
        <f t="shared" si="45"/>
        <v>0</v>
      </c>
      <c r="AE197" s="120"/>
      <c r="AF197" s="50"/>
    </row>
    <row r="198" spans="2:32" x14ac:dyDescent="0.2">
      <c r="B198" s="50"/>
      <c r="C198" s="69"/>
      <c r="D198" s="75"/>
      <c r="E198" s="75"/>
      <c r="F198" s="99"/>
      <c r="G198" s="88"/>
      <c r="H198" s="165"/>
      <c r="I198" s="88"/>
      <c r="J198" s="88"/>
      <c r="K198" s="71"/>
      <c r="L198" s="74">
        <f t="shared" si="52"/>
        <v>0</v>
      </c>
      <c r="M198" s="686">
        <f t="shared" si="53"/>
        <v>0</v>
      </c>
      <c r="N198" s="686">
        <f t="shared" si="54"/>
        <v>0</v>
      </c>
      <c r="O198" s="697" t="str">
        <f t="shared" si="55"/>
        <v>-</v>
      </c>
      <c r="P198" s="686">
        <f t="shared" si="56"/>
        <v>0</v>
      </c>
      <c r="Q198" s="71"/>
      <c r="R198" s="686">
        <f t="shared" si="21"/>
        <v>0</v>
      </c>
      <c r="S198" s="686">
        <f t="shared" si="22"/>
        <v>0</v>
      </c>
      <c r="T198" s="686">
        <f t="shared" si="23"/>
        <v>0</v>
      </c>
      <c r="U198" s="686">
        <f t="shared" si="40"/>
        <v>0</v>
      </c>
      <c r="V198" s="686">
        <f t="shared" si="40"/>
        <v>0</v>
      </c>
      <c r="W198" s="686">
        <f t="shared" si="46"/>
        <v>0</v>
      </c>
      <c r="X198" s="71"/>
      <c r="Y198" s="686">
        <f t="shared" si="57"/>
        <v>0</v>
      </c>
      <c r="Z198" s="686">
        <f t="shared" si="57"/>
        <v>0</v>
      </c>
      <c r="AA198" s="686">
        <f t="shared" si="57"/>
        <v>0</v>
      </c>
      <c r="AB198" s="686">
        <f t="shared" si="45"/>
        <v>0</v>
      </c>
      <c r="AC198" s="686">
        <f t="shared" si="45"/>
        <v>0</v>
      </c>
      <c r="AD198" s="686">
        <f t="shared" si="45"/>
        <v>0</v>
      </c>
      <c r="AE198" s="120"/>
      <c r="AF198" s="50"/>
    </row>
    <row r="199" spans="2:32" x14ac:dyDescent="0.2">
      <c r="B199" s="50"/>
      <c r="C199" s="69"/>
      <c r="D199" s="75"/>
      <c r="E199" s="75"/>
      <c r="F199" s="99"/>
      <c r="G199" s="88"/>
      <c r="H199" s="165"/>
      <c r="I199" s="88"/>
      <c r="J199" s="88"/>
      <c r="K199" s="71"/>
      <c r="L199" s="74">
        <f t="shared" ref="L199:L213" si="58">IF(J199="geen",9999999999,J199)</f>
        <v>0</v>
      </c>
      <c r="M199" s="686">
        <f t="shared" ref="M199:M213" si="59">G199*H199</f>
        <v>0</v>
      </c>
      <c r="N199" s="686">
        <f t="shared" ref="N199:N213" si="60">IF(G199=0,0,(G199*H199)/L199)</f>
        <v>0</v>
      </c>
      <c r="O199" s="697" t="str">
        <f t="shared" ref="O199:O213" si="61">IF(L199=0,"-",(IF(L199&gt;3000,"-",I199+L199-1)))</f>
        <v>-</v>
      </c>
      <c r="P199" s="686">
        <f t="shared" ref="P199:P213" si="62">IF(J199="geen",IF(I199&lt;$R$8,G199*H199,0),IF(I199&gt;=$R$8,0,IF((H199*G199-(R$8-I199)*N199)&lt;0,0,H199*G199-(R$8-I199)*N199)))</f>
        <v>0</v>
      </c>
      <c r="Q199" s="71"/>
      <c r="R199" s="686">
        <f t="shared" si="21"/>
        <v>0</v>
      </c>
      <c r="S199" s="686">
        <f t="shared" si="22"/>
        <v>0</v>
      </c>
      <c r="T199" s="686">
        <f t="shared" si="23"/>
        <v>0</v>
      </c>
      <c r="U199" s="686">
        <f t="shared" si="40"/>
        <v>0</v>
      </c>
      <c r="V199" s="686">
        <f t="shared" si="40"/>
        <v>0</v>
      </c>
      <c r="W199" s="686">
        <f t="shared" si="46"/>
        <v>0</v>
      </c>
      <c r="X199" s="71"/>
      <c r="Y199" s="686">
        <f t="shared" si="42"/>
        <v>0</v>
      </c>
      <c r="Z199" s="686">
        <f t="shared" si="42"/>
        <v>0</v>
      </c>
      <c r="AA199" s="686">
        <f t="shared" si="42"/>
        <v>0</v>
      </c>
      <c r="AB199" s="686">
        <f t="shared" si="45"/>
        <v>0</v>
      </c>
      <c r="AC199" s="686">
        <f t="shared" si="45"/>
        <v>0</v>
      </c>
      <c r="AD199" s="686">
        <f t="shared" si="45"/>
        <v>0</v>
      </c>
      <c r="AE199" s="120"/>
      <c r="AF199" s="50"/>
    </row>
    <row r="200" spans="2:32" x14ac:dyDescent="0.2">
      <c r="B200" s="50"/>
      <c r="C200" s="69"/>
      <c r="D200" s="75"/>
      <c r="E200" s="75"/>
      <c r="F200" s="99"/>
      <c r="G200" s="88"/>
      <c r="H200" s="165"/>
      <c r="I200" s="88"/>
      <c r="J200" s="88"/>
      <c r="K200" s="71"/>
      <c r="L200" s="74">
        <f t="shared" si="58"/>
        <v>0</v>
      </c>
      <c r="M200" s="686">
        <f t="shared" si="59"/>
        <v>0</v>
      </c>
      <c r="N200" s="686">
        <f t="shared" si="60"/>
        <v>0</v>
      </c>
      <c r="O200" s="697" t="str">
        <f t="shared" si="61"/>
        <v>-</v>
      </c>
      <c r="P200" s="686">
        <f t="shared" si="62"/>
        <v>0</v>
      </c>
      <c r="Q200" s="71"/>
      <c r="R200" s="686">
        <f t="shared" si="21"/>
        <v>0</v>
      </c>
      <c r="S200" s="686">
        <f t="shared" si="22"/>
        <v>0</v>
      </c>
      <c r="T200" s="686">
        <f t="shared" si="23"/>
        <v>0</v>
      </c>
      <c r="U200" s="686">
        <f t="shared" si="40"/>
        <v>0</v>
      </c>
      <c r="V200" s="686">
        <f t="shared" si="40"/>
        <v>0</v>
      </c>
      <c r="W200" s="686">
        <f t="shared" si="46"/>
        <v>0</v>
      </c>
      <c r="X200" s="71"/>
      <c r="Y200" s="686">
        <f t="shared" si="42"/>
        <v>0</v>
      </c>
      <c r="Z200" s="686">
        <f t="shared" si="42"/>
        <v>0</v>
      </c>
      <c r="AA200" s="686">
        <f t="shared" si="42"/>
        <v>0</v>
      </c>
      <c r="AB200" s="686">
        <f t="shared" si="45"/>
        <v>0</v>
      </c>
      <c r="AC200" s="686">
        <f t="shared" si="45"/>
        <v>0</v>
      </c>
      <c r="AD200" s="686">
        <f t="shared" si="45"/>
        <v>0</v>
      </c>
      <c r="AE200" s="120"/>
      <c r="AF200" s="50"/>
    </row>
    <row r="201" spans="2:32" x14ac:dyDescent="0.2">
      <c r="B201" s="50"/>
      <c r="C201" s="69"/>
      <c r="D201" s="75"/>
      <c r="E201" s="75"/>
      <c r="F201" s="99"/>
      <c r="G201" s="88"/>
      <c r="H201" s="165"/>
      <c r="I201" s="88"/>
      <c r="J201" s="88"/>
      <c r="K201" s="71"/>
      <c r="L201" s="74">
        <f t="shared" si="58"/>
        <v>0</v>
      </c>
      <c r="M201" s="686">
        <f t="shared" si="59"/>
        <v>0</v>
      </c>
      <c r="N201" s="686">
        <f t="shared" si="60"/>
        <v>0</v>
      </c>
      <c r="O201" s="697" t="str">
        <f t="shared" si="61"/>
        <v>-</v>
      </c>
      <c r="P201" s="686">
        <f t="shared" si="62"/>
        <v>0</v>
      </c>
      <c r="Q201" s="71"/>
      <c r="R201" s="686">
        <f t="shared" si="21"/>
        <v>0</v>
      </c>
      <c r="S201" s="686">
        <f t="shared" si="22"/>
        <v>0</v>
      </c>
      <c r="T201" s="686">
        <f t="shared" si="23"/>
        <v>0</v>
      </c>
      <c r="U201" s="686">
        <f t="shared" si="40"/>
        <v>0</v>
      </c>
      <c r="V201" s="686">
        <f t="shared" si="40"/>
        <v>0</v>
      </c>
      <c r="W201" s="686">
        <f t="shared" si="46"/>
        <v>0</v>
      </c>
      <c r="X201" s="71"/>
      <c r="Y201" s="686">
        <f t="shared" ref="Y201:AA209" si="63">IF(Y$8=$I201,($G201*$H201),0)</f>
        <v>0</v>
      </c>
      <c r="Z201" s="686">
        <f t="shared" si="63"/>
        <v>0</v>
      </c>
      <c r="AA201" s="686">
        <f t="shared" si="63"/>
        <v>0</v>
      </c>
      <c r="AB201" s="686">
        <f t="shared" si="45"/>
        <v>0</v>
      </c>
      <c r="AC201" s="686">
        <f t="shared" si="45"/>
        <v>0</v>
      </c>
      <c r="AD201" s="686">
        <f t="shared" si="45"/>
        <v>0</v>
      </c>
      <c r="AE201" s="120"/>
      <c r="AF201" s="50"/>
    </row>
    <row r="202" spans="2:32" x14ac:dyDescent="0.2">
      <c r="B202" s="50"/>
      <c r="C202" s="69"/>
      <c r="D202" s="75"/>
      <c r="E202" s="75"/>
      <c r="F202" s="99"/>
      <c r="G202" s="88"/>
      <c r="H202" s="165"/>
      <c r="I202" s="88"/>
      <c r="J202" s="88"/>
      <c r="K202" s="71"/>
      <c r="L202" s="74">
        <f t="shared" si="58"/>
        <v>0</v>
      </c>
      <c r="M202" s="686">
        <f t="shared" si="59"/>
        <v>0</v>
      </c>
      <c r="N202" s="686">
        <f t="shared" si="60"/>
        <v>0</v>
      </c>
      <c r="O202" s="697" t="str">
        <f t="shared" si="61"/>
        <v>-</v>
      </c>
      <c r="P202" s="686">
        <f t="shared" si="62"/>
        <v>0</v>
      </c>
      <c r="Q202" s="71"/>
      <c r="R202" s="686">
        <f t="shared" si="21"/>
        <v>0</v>
      </c>
      <c r="S202" s="686">
        <f t="shared" si="22"/>
        <v>0</v>
      </c>
      <c r="T202" s="686">
        <f t="shared" si="23"/>
        <v>0</v>
      </c>
      <c r="U202" s="686">
        <f t="shared" si="40"/>
        <v>0</v>
      </c>
      <c r="V202" s="686">
        <f t="shared" si="40"/>
        <v>0</v>
      </c>
      <c r="W202" s="686">
        <f t="shared" si="46"/>
        <v>0</v>
      </c>
      <c r="X202" s="71"/>
      <c r="Y202" s="686">
        <f t="shared" si="63"/>
        <v>0</v>
      </c>
      <c r="Z202" s="686">
        <f t="shared" si="63"/>
        <v>0</v>
      </c>
      <c r="AA202" s="686">
        <f t="shared" si="63"/>
        <v>0</v>
      </c>
      <c r="AB202" s="686">
        <f t="shared" ref="AB202:AD207" si="64">IF(AB$8=$I202,($G202*$H202),0)</f>
        <v>0</v>
      </c>
      <c r="AC202" s="686">
        <f t="shared" si="64"/>
        <v>0</v>
      </c>
      <c r="AD202" s="686">
        <f t="shared" si="64"/>
        <v>0</v>
      </c>
      <c r="AE202" s="120"/>
      <c r="AF202" s="50"/>
    </row>
    <row r="203" spans="2:32" x14ac:dyDescent="0.2">
      <c r="B203" s="50"/>
      <c r="C203" s="69"/>
      <c r="D203" s="75"/>
      <c r="E203" s="75"/>
      <c r="F203" s="99"/>
      <c r="G203" s="88"/>
      <c r="H203" s="165"/>
      <c r="I203" s="88"/>
      <c r="J203" s="88"/>
      <c r="K203" s="71"/>
      <c r="L203" s="74">
        <f t="shared" si="58"/>
        <v>0</v>
      </c>
      <c r="M203" s="686">
        <f t="shared" si="59"/>
        <v>0</v>
      </c>
      <c r="N203" s="686">
        <f t="shared" si="60"/>
        <v>0</v>
      </c>
      <c r="O203" s="697" t="str">
        <f t="shared" si="61"/>
        <v>-</v>
      </c>
      <c r="P203" s="686">
        <f t="shared" si="62"/>
        <v>0</v>
      </c>
      <c r="Q203" s="71"/>
      <c r="R203" s="686">
        <f t="shared" si="21"/>
        <v>0</v>
      </c>
      <c r="S203" s="686">
        <f t="shared" si="22"/>
        <v>0</v>
      </c>
      <c r="T203" s="686">
        <f t="shared" si="23"/>
        <v>0</v>
      </c>
      <c r="U203" s="686">
        <f t="shared" si="40"/>
        <v>0</v>
      </c>
      <c r="V203" s="686">
        <f t="shared" si="40"/>
        <v>0</v>
      </c>
      <c r="W203" s="686">
        <f t="shared" si="46"/>
        <v>0</v>
      </c>
      <c r="X203" s="71"/>
      <c r="Y203" s="686">
        <f t="shared" si="63"/>
        <v>0</v>
      </c>
      <c r="Z203" s="686">
        <f t="shared" si="63"/>
        <v>0</v>
      </c>
      <c r="AA203" s="686">
        <f t="shared" si="63"/>
        <v>0</v>
      </c>
      <c r="AB203" s="686">
        <f t="shared" si="64"/>
        <v>0</v>
      </c>
      <c r="AC203" s="686">
        <f t="shared" si="64"/>
        <v>0</v>
      </c>
      <c r="AD203" s="686">
        <f t="shared" si="64"/>
        <v>0</v>
      </c>
      <c r="AE203" s="120"/>
      <c r="AF203" s="50"/>
    </row>
    <row r="204" spans="2:32" x14ac:dyDescent="0.2">
      <c r="B204" s="50"/>
      <c r="C204" s="69"/>
      <c r="D204" s="75"/>
      <c r="E204" s="75"/>
      <c r="F204" s="99"/>
      <c r="G204" s="88"/>
      <c r="H204" s="165"/>
      <c r="I204" s="88"/>
      <c r="J204" s="88"/>
      <c r="K204" s="71"/>
      <c r="L204" s="74">
        <f t="shared" si="58"/>
        <v>0</v>
      </c>
      <c r="M204" s="686">
        <f t="shared" si="59"/>
        <v>0</v>
      </c>
      <c r="N204" s="686">
        <f t="shared" si="60"/>
        <v>0</v>
      </c>
      <c r="O204" s="697" t="str">
        <f t="shared" si="61"/>
        <v>-</v>
      </c>
      <c r="P204" s="686">
        <f t="shared" si="62"/>
        <v>0</v>
      </c>
      <c r="Q204" s="71"/>
      <c r="R204" s="686">
        <f t="shared" si="21"/>
        <v>0</v>
      </c>
      <c r="S204" s="686">
        <f t="shared" si="22"/>
        <v>0</v>
      </c>
      <c r="T204" s="686">
        <f t="shared" si="23"/>
        <v>0</v>
      </c>
      <c r="U204" s="686">
        <f t="shared" si="40"/>
        <v>0</v>
      </c>
      <c r="V204" s="686">
        <f t="shared" si="40"/>
        <v>0</v>
      </c>
      <c r="W204" s="686">
        <f t="shared" si="46"/>
        <v>0</v>
      </c>
      <c r="X204" s="71"/>
      <c r="Y204" s="686">
        <f t="shared" si="63"/>
        <v>0</v>
      </c>
      <c r="Z204" s="686">
        <f t="shared" si="63"/>
        <v>0</v>
      </c>
      <c r="AA204" s="686">
        <f t="shared" si="63"/>
        <v>0</v>
      </c>
      <c r="AB204" s="686">
        <f t="shared" si="64"/>
        <v>0</v>
      </c>
      <c r="AC204" s="686">
        <f t="shared" si="64"/>
        <v>0</v>
      </c>
      <c r="AD204" s="686">
        <f t="shared" si="64"/>
        <v>0</v>
      </c>
      <c r="AE204" s="120"/>
      <c r="AF204" s="50"/>
    </row>
    <row r="205" spans="2:32" x14ac:dyDescent="0.2">
      <c r="B205" s="50"/>
      <c r="C205" s="69"/>
      <c r="D205" s="75"/>
      <c r="E205" s="75"/>
      <c r="F205" s="99"/>
      <c r="G205" s="88"/>
      <c r="H205" s="165"/>
      <c r="I205" s="88"/>
      <c r="J205" s="88"/>
      <c r="K205" s="71"/>
      <c r="L205" s="74">
        <f t="shared" si="58"/>
        <v>0</v>
      </c>
      <c r="M205" s="686">
        <f t="shared" si="59"/>
        <v>0</v>
      </c>
      <c r="N205" s="686">
        <f t="shared" si="60"/>
        <v>0</v>
      </c>
      <c r="O205" s="697" t="str">
        <f t="shared" si="61"/>
        <v>-</v>
      </c>
      <c r="P205" s="686">
        <f t="shared" si="62"/>
        <v>0</v>
      </c>
      <c r="Q205" s="71"/>
      <c r="R205" s="686">
        <f t="shared" si="21"/>
        <v>0</v>
      </c>
      <c r="S205" s="686">
        <f t="shared" si="22"/>
        <v>0</v>
      </c>
      <c r="T205" s="686">
        <f t="shared" si="23"/>
        <v>0</v>
      </c>
      <c r="U205" s="686">
        <f t="shared" si="40"/>
        <v>0</v>
      </c>
      <c r="V205" s="686">
        <f t="shared" si="40"/>
        <v>0</v>
      </c>
      <c r="W205" s="686">
        <f t="shared" si="46"/>
        <v>0</v>
      </c>
      <c r="X205" s="71"/>
      <c r="Y205" s="686">
        <f t="shared" si="63"/>
        <v>0</v>
      </c>
      <c r="Z205" s="686">
        <f t="shared" si="63"/>
        <v>0</v>
      </c>
      <c r="AA205" s="686">
        <f t="shared" si="63"/>
        <v>0</v>
      </c>
      <c r="AB205" s="686">
        <f t="shared" si="64"/>
        <v>0</v>
      </c>
      <c r="AC205" s="686">
        <f t="shared" si="64"/>
        <v>0</v>
      </c>
      <c r="AD205" s="686">
        <f t="shared" si="64"/>
        <v>0</v>
      </c>
      <c r="AE205" s="120"/>
      <c r="AF205" s="50"/>
    </row>
    <row r="206" spans="2:32" x14ac:dyDescent="0.2">
      <c r="B206" s="50"/>
      <c r="C206" s="69"/>
      <c r="D206" s="75"/>
      <c r="E206" s="75"/>
      <c r="F206" s="99"/>
      <c r="G206" s="88"/>
      <c r="H206" s="165"/>
      <c r="I206" s="88"/>
      <c r="J206" s="88"/>
      <c r="K206" s="71"/>
      <c r="L206" s="74">
        <f t="shared" si="58"/>
        <v>0</v>
      </c>
      <c r="M206" s="686">
        <f t="shared" si="59"/>
        <v>0</v>
      </c>
      <c r="N206" s="686">
        <f t="shared" si="60"/>
        <v>0</v>
      </c>
      <c r="O206" s="697" t="str">
        <f t="shared" si="61"/>
        <v>-</v>
      </c>
      <c r="P206" s="686">
        <f t="shared" si="62"/>
        <v>0</v>
      </c>
      <c r="Q206" s="71"/>
      <c r="R206" s="686">
        <f t="shared" si="21"/>
        <v>0</v>
      </c>
      <c r="S206" s="686">
        <f t="shared" si="22"/>
        <v>0</v>
      </c>
      <c r="T206" s="686">
        <f t="shared" si="23"/>
        <v>0</v>
      </c>
      <c r="U206" s="686">
        <f t="shared" si="40"/>
        <v>0</v>
      </c>
      <c r="V206" s="686">
        <f t="shared" si="40"/>
        <v>0</v>
      </c>
      <c r="W206" s="686">
        <f t="shared" si="46"/>
        <v>0</v>
      </c>
      <c r="X206" s="71"/>
      <c r="Y206" s="686">
        <f t="shared" si="63"/>
        <v>0</v>
      </c>
      <c r="Z206" s="686">
        <f t="shared" si="63"/>
        <v>0</v>
      </c>
      <c r="AA206" s="686">
        <f t="shared" si="63"/>
        <v>0</v>
      </c>
      <c r="AB206" s="686">
        <f t="shared" si="64"/>
        <v>0</v>
      </c>
      <c r="AC206" s="686">
        <f t="shared" si="64"/>
        <v>0</v>
      </c>
      <c r="AD206" s="686">
        <f t="shared" si="64"/>
        <v>0</v>
      </c>
      <c r="AE206" s="120"/>
      <c r="AF206" s="50"/>
    </row>
    <row r="207" spans="2:32" x14ac:dyDescent="0.2">
      <c r="B207" s="50"/>
      <c r="C207" s="69"/>
      <c r="D207" s="75"/>
      <c r="E207" s="75"/>
      <c r="F207" s="99"/>
      <c r="G207" s="88"/>
      <c r="H207" s="165"/>
      <c r="I207" s="88"/>
      <c r="J207" s="88"/>
      <c r="K207" s="71"/>
      <c r="L207" s="74">
        <f t="shared" si="58"/>
        <v>0</v>
      </c>
      <c r="M207" s="686">
        <f t="shared" si="59"/>
        <v>0</v>
      </c>
      <c r="N207" s="686">
        <f t="shared" si="60"/>
        <v>0</v>
      </c>
      <c r="O207" s="697" t="str">
        <f t="shared" si="61"/>
        <v>-</v>
      </c>
      <c r="P207" s="686">
        <f t="shared" si="62"/>
        <v>0</v>
      </c>
      <c r="Q207" s="71"/>
      <c r="R207" s="686">
        <f t="shared" si="21"/>
        <v>0</v>
      </c>
      <c r="S207" s="686">
        <f t="shared" si="22"/>
        <v>0</v>
      </c>
      <c r="T207" s="686">
        <f t="shared" si="23"/>
        <v>0</v>
      </c>
      <c r="U207" s="686">
        <f t="shared" si="40"/>
        <v>0</v>
      </c>
      <c r="V207" s="686">
        <f t="shared" si="40"/>
        <v>0</v>
      </c>
      <c r="W207" s="686">
        <f t="shared" si="46"/>
        <v>0</v>
      </c>
      <c r="X207" s="71"/>
      <c r="Y207" s="686">
        <f t="shared" si="63"/>
        <v>0</v>
      </c>
      <c r="Z207" s="686">
        <f t="shared" si="63"/>
        <v>0</v>
      </c>
      <c r="AA207" s="686">
        <f t="shared" si="63"/>
        <v>0</v>
      </c>
      <c r="AB207" s="686">
        <f t="shared" si="64"/>
        <v>0</v>
      </c>
      <c r="AC207" s="686">
        <f t="shared" si="64"/>
        <v>0</v>
      </c>
      <c r="AD207" s="686">
        <f t="shared" si="64"/>
        <v>0</v>
      </c>
      <c r="AE207" s="120"/>
      <c r="AF207" s="50"/>
    </row>
    <row r="208" spans="2:32" x14ac:dyDescent="0.2">
      <c r="B208" s="50"/>
      <c r="C208" s="69"/>
      <c r="D208" s="75"/>
      <c r="E208" s="75"/>
      <c r="F208" s="99"/>
      <c r="G208" s="88"/>
      <c r="H208" s="165"/>
      <c r="I208" s="88"/>
      <c r="J208" s="88"/>
      <c r="K208" s="71"/>
      <c r="L208" s="74">
        <f t="shared" si="58"/>
        <v>0</v>
      </c>
      <c r="M208" s="686">
        <f t="shared" si="59"/>
        <v>0</v>
      </c>
      <c r="N208" s="686">
        <f t="shared" si="60"/>
        <v>0</v>
      </c>
      <c r="O208" s="697" t="str">
        <f t="shared" si="61"/>
        <v>-</v>
      </c>
      <c r="P208" s="686">
        <f t="shared" si="62"/>
        <v>0</v>
      </c>
      <c r="Q208" s="71"/>
      <c r="R208" s="686">
        <f t="shared" si="21"/>
        <v>0</v>
      </c>
      <c r="S208" s="686">
        <f t="shared" si="22"/>
        <v>0</v>
      </c>
      <c r="T208" s="686">
        <f t="shared" si="23"/>
        <v>0</v>
      </c>
      <c r="U208" s="686">
        <f t="shared" si="40"/>
        <v>0</v>
      </c>
      <c r="V208" s="686">
        <f t="shared" si="40"/>
        <v>0</v>
      </c>
      <c r="W208" s="686">
        <f t="shared" si="46"/>
        <v>0</v>
      </c>
      <c r="X208" s="71"/>
      <c r="Y208" s="686">
        <f t="shared" si="63"/>
        <v>0</v>
      </c>
      <c r="Z208" s="686">
        <f t="shared" si="63"/>
        <v>0</v>
      </c>
      <c r="AA208" s="686">
        <f t="shared" si="63"/>
        <v>0</v>
      </c>
      <c r="AB208" s="686">
        <f t="shared" ref="AB208:AD209" si="65">IF(AB$8=$I208,($G208*$H208),0)</f>
        <v>0</v>
      </c>
      <c r="AC208" s="686">
        <f t="shared" si="65"/>
        <v>0</v>
      </c>
      <c r="AD208" s="686">
        <f t="shared" si="65"/>
        <v>0</v>
      </c>
      <c r="AE208" s="120"/>
      <c r="AF208" s="50"/>
    </row>
    <row r="209" spans="2:32" x14ac:dyDescent="0.2">
      <c r="B209" s="50"/>
      <c r="C209" s="69"/>
      <c r="D209" s="75"/>
      <c r="E209" s="75"/>
      <c r="F209" s="99"/>
      <c r="G209" s="88"/>
      <c r="H209" s="165"/>
      <c r="I209" s="88"/>
      <c r="J209" s="88"/>
      <c r="K209" s="71"/>
      <c r="L209" s="74">
        <f t="shared" si="58"/>
        <v>0</v>
      </c>
      <c r="M209" s="686">
        <f t="shared" si="59"/>
        <v>0</v>
      </c>
      <c r="N209" s="686">
        <f t="shared" si="60"/>
        <v>0</v>
      </c>
      <c r="O209" s="697" t="str">
        <f t="shared" si="61"/>
        <v>-</v>
      </c>
      <c r="P209" s="686">
        <f t="shared" si="62"/>
        <v>0</v>
      </c>
      <c r="Q209" s="71"/>
      <c r="R209" s="686">
        <f t="shared" si="21"/>
        <v>0</v>
      </c>
      <c r="S209" s="686">
        <f t="shared" si="22"/>
        <v>0</v>
      </c>
      <c r="T209" s="686">
        <f t="shared" si="23"/>
        <v>0</v>
      </c>
      <c r="U209" s="686">
        <f t="shared" si="40"/>
        <v>0</v>
      </c>
      <c r="V209" s="686">
        <f t="shared" si="40"/>
        <v>0</v>
      </c>
      <c r="W209" s="686">
        <f t="shared" si="46"/>
        <v>0</v>
      </c>
      <c r="X209" s="71"/>
      <c r="Y209" s="686">
        <f t="shared" si="63"/>
        <v>0</v>
      </c>
      <c r="Z209" s="686">
        <f t="shared" si="63"/>
        <v>0</v>
      </c>
      <c r="AA209" s="686">
        <f t="shared" si="63"/>
        <v>0</v>
      </c>
      <c r="AB209" s="686">
        <f t="shared" si="65"/>
        <v>0</v>
      </c>
      <c r="AC209" s="686">
        <f t="shared" si="65"/>
        <v>0</v>
      </c>
      <c r="AD209" s="686">
        <f t="shared" si="65"/>
        <v>0</v>
      </c>
      <c r="AE209" s="120"/>
      <c r="AF209" s="50"/>
    </row>
    <row r="210" spans="2:32" x14ac:dyDescent="0.2">
      <c r="B210" s="50"/>
      <c r="C210" s="69"/>
      <c r="D210" s="75"/>
      <c r="E210" s="75"/>
      <c r="F210" s="99"/>
      <c r="G210" s="88"/>
      <c r="H210" s="165"/>
      <c r="I210" s="88"/>
      <c r="J210" s="88"/>
      <c r="K210" s="71"/>
      <c r="L210" s="74">
        <f t="shared" si="58"/>
        <v>0</v>
      </c>
      <c r="M210" s="686">
        <f t="shared" si="59"/>
        <v>0</v>
      </c>
      <c r="N210" s="686">
        <f t="shared" si="60"/>
        <v>0</v>
      </c>
      <c r="O210" s="697" t="str">
        <f t="shared" si="61"/>
        <v>-</v>
      </c>
      <c r="P210" s="686">
        <f t="shared" si="62"/>
        <v>0</v>
      </c>
      <c r="Q210" s="71"/>
      <c r="R210" s="686">
        <f t="shared" ref="R210:T213" si="66">(IF(R$8&lt;$I210,0,IF($O210&lt;=R$8-1,0,$N210)))</f>
        <v>0</v>
      </c>
      <c r="S210" s="686">
        <f t="shared" si="66"/>
        <v>0</v>
      </c>
      <c r="T210" s="686">
        <f t="shared" si="66"/>
        <v>0</v>
      </c>
      <c r="U210" s="686">
        <f t="shared" ref="U210:W213" si="67">(IF(U$8&lt;$I210,0,IF($O210&lt;=U$8-1,0,$N210)))</f>
        <v>0</v>
      </c>
      <c r="V210" s="686">
        <f t="shared" si="67"/>
        <v>0</v>
      </c>
      <c r="W210" s="686">
        <f t="shared" si="67"/>
        <v>0</v>
      </c>
      <c r="X210" s="71"/>
      <c r="Y210" s="686">
        <f t="shared" ref="Y210:AA213" si="68">IF(Y$8=$I210,($G210*$H210),0)</f>
        <v>0</v>
      </c>
      <c r="Z210" s="686">
        <f t="shared" si="68"/>
        <v>0</v>
      </c>
      <c r="AA210" s="686">
        <f t="shared" si="68"/>
        <v>0</v>
      </c>
      <c r="AB210" s="686">
        <f t="shared" ref="AB210:AD213" si="69">IF(AB$8=$I210,($G210*$H210),0)</f>
        <v>0</v>
      </c>
      <c r="AC210" s="686">
        <f t="shared" si="69"/>
        <v>0</v>
      </c>
      <c r="AD210" s="686">
        <f t="shared" si="69"/>
        <v>0</v>
      </c>
      <c r="AE210" s="120"/>
      <c r="AF210" s="50"/>
    </row>
    <row r="211" spans="2:32" x14ac:dyDescent="0.2">
      <c r="B211" s="50"/>
      <c r="C211" s="69"/>
      <c r="D211" s="75"/>
      <c r="E211" s="75"/>
      <c r="F211" s="99"/>
      <c r="G211" s="88"/>
      <c r="H211" s="165"/>
      <c r="I211" s="88"/>
      <c r="J211" s="88"/>
      <c r="K211" s="71"/>
      <c r="L211" s="74">
        <f t="shared" si="58"/>
        <v>0</v>
      </c>
      <c r="M211" s="686">
        <f t="shared" si="59"/>
        <v>0</v>
      </c>
      <c r="N211" s="686">
        <f t="shared" si="60"/>
        <v>0</v>
      </c>
      <c r="O211" s="697" t="str">
        <f t="shared" si="61"/>
        <v>-</v>
      </c>
      <c r="P211" s="686">
        <f t="shared" si="62"/>
        <v>0</v>
      </c>
      <c r="Q211" s="71"/>
      <c r="R211" s="686">
        <f t="shared" si="66"/>
        <v>0</v>
      </c>
      <c r="S211" s="686">
        <f t="shared" si="66"/>
        <v>0</v>
      </c>
      <c r="T211" s="686">
        <f t="shared" si="66"/>
        <v>0</v>
      </c>
      <c r="U211" s="686">
        <f t="shared" si="67"/>
        <v>0</v>
      </c>
      <c r="V211" s="686">
        <f t="shared" si="67"/>
        <v>0</v>
      </c>
      <c r="W211" s="686">
        <f t="shared" si="67"/>
        <v>0</v>
      </c>
      <c r="X211" s="71"/>
      <c r="Y211" s="686">
        <f t="shared" si="68"/>
        <v>0</v>
      </c>
      <c r="Z211" s="686">
        <f t="shared" si="68"/>
        <v>0</v>
      </c>
      <c r="AA211" s="686">
        <f t="shared" si="68"/>
        <v>0</v>
      </c>
      <c r="AB211" s="686">
        <f t="shared" si="69"/>
        <v>0</v>
      </c>
      <c r="AC211" s="686">
        <f t="shared" si="69"/>
        <v>0</v>
      </c>
      <c r="AD211" s="686">
        <f t="shared" si="69"/>
        <v>0</v>
      </c>
      <c r="AE211" s="120"/>
      <c r="AF211" s="50"/>
    </row>
    <row r="212" spans="2:32" x14ac:dyDescent="0.2">
      <c r="B212" s="50"/>
      <c r="C212" s="69"/>
      <c r="D212" s="75"/>
      <c r="E212" s="75"/>
      <c r="F212" s="99"/>
      <c r="G212" s="88"/>
      <c r="H212" s="165"/>
      <c r="I212" s="88"/>
      <c r="J212" s="88"/>
      <c r="K212" s="71"/>
      <c r="L212" s="74">
        <f t="shared" si="58"/>
        <v>0</v>
      </c>
      <c r="M212" s="686">
        <f t="shared" si="59"/>
        <v>0</v>
      </c>
      <c r="N212" s="686">
        <f t="shared" si="60"/>
        <v>0</v>
      </c>
      <c r="O212" s="697" t="str">
        <f t="shared" si="61"/>
        <v>-</v>
      </c>
      <c r="P212" s="686">
        <f t="shared" si="62"/>
        <v>0</v>
      </c>
      <c r="Q212" s="71"/>
      <c r="R212" s="686">
        <f t="shared" si="66"/>
        <v>0</v>
      </c>
      <c r="S212" s="686">
        <f t="shared" si="66"/>
        <v>0</v>
      </c>
      <c r="T212" s="686">
        <f t="shared" si="66"/>
        <v>0</v>
      </c>
      <c r="U212" s="686">
        <f t="shared" si="67"/>
        <v>0</v>
      </c>
      <c r="V212" s="686">
        <f t="shared" si="67"/>
        <v>0</v>
      </c>
      <c r="W212" s="686">
        <f t="shared" si="67"/>
        <v>0</v>
      </c>
      <c r="X212" s="71"/>
      <c r="Y212" s="686">
        <f t="shared" si="68"/>
        <v>0</v>
      </c>
      <c r="Z212" s="686">
        <f t="shared" si="68"/>
        <v>0</v>
      </c>
      <c r="AA212" s="686">
        <f t="shared" si="68"/>
        <v>0</v>
      </c>
      <c r="AB212" s="686">
        <f t="shared" si="69"/>
        <v>0</v>
      </c>
      <c r="AC212" s="686">
        <f t="shared" si="69"/>
        <v>0</v>
      </c>
      <c r="AD212" s="686">
        <f t="shared" si="69"/>
        <v>0</v>
      </c>
      <c r="AE212" s="120"/>
      <c r="AF212" s="50"/>
    </row>
    <row r="213" spans="2:32" x14ac:dyDescent="0.2">
      <c r="B213" s="50"/>
      <c r="C213" s="69"/>
      <c r="D213" s="75"/>
      <c r="E213" s="75"/>
      <c r="F213" s="99"/>
      <c r="G213" s="88"/>
      <c r="H213" s="165"/>
      <c r="I213" s="88"/>
      <c r="J213" s="88"/>
      <c r="K213" s="71"/>
      <c r="L213" s="74">
        <f t="shared" si="58"/>
        <v>0</v>
      </c>
      <c r="M213" s="686">
        <f t="shared" si="59"/>
        <v>0</v>
      </c>
      <c r="N213" s="686">
        <f t="shared" si="60"/>
        <v>0</v>
      </c>
      <c r="O213" s="697" t="str">
        <f t="shared" si="61"/>
        <v>-</v>
      </c>
      <c r="P213" s="686">
        <f t="shared" si="62"/>
        <v>0</v>
      </c>
      <c r="Q213" s="71"/>
      <c r="R213" s="686">
        <f t="shared" si="66"/>
        <v>0</v>
      </c>
      <c r="S213" s="686">
        <f t="shared" si="66"/>
        <v>0</v>
      </c>
      <c r="T213" s="686">
        <f t="shared" si="66"/>
        <v>0</v>
      </c>
      <c r="U213" s="686">
        <f t="shared" si="67"/>
        <v>0</v>
      </c>
      <c r="V213" s="686">
        <f t="shared" si="67"/>
        <v>0</v>
      </c>
      <c r="W213" s="686">
        <f t="shared" si="67"/>
        <v>0</v>
      </c>
      <c r="X213" s="71"/>
      <c r="Y213" s="686">
        <f t="shared" si="68"/>
        <v>0</v>
      </c>
      <c r="Z213" s="686">
        <f t="shared" si="68"/>
        <v>0</v>
      </c>
      <c r="AA213" s="686">
        <f t="shared" si="68"/>
        <v>0</v>
      </c>
      <c r="AB213" s="686">
        <f t="shared" si="69"/>
        <v>0</v>
      </c>
      <c r="AC213" s="686">
        <f t="shared" si="69"/>
        <v>0</v>
      </c>
      <c r="AD213" s="686">
        <f t="shared" si="69"/>
        <v>0</v>
      </c>
      <c r="AE213" s="120"/>
      <c r="AF213" s="50"/>
    </row>
    <row r="214" spans="2:32" x14ac:dyDescent="0.2">
      <c r="B214" s="50"/>
      <c r="C214" s="76"/>
      <c r="D214" s="107"/>
      <c r="E214" s="107"/>
      <c r="F214" s="143"/>
      <c r="G214" s="143"/>
      <c r="H214" s="143"/>
      <c r="I214" s="143"/>
      <c r="J214" s="143"/>
      <c r="K214" s="77"/>
      <c r="L214" s="77"/>
      <c r="M214" s="77"/>
      <c r="N214" s="77"/>
      <c r="O214" s="77"/>
      <c r="P214" s="77"/>
      <c r="Q214" s="77"/>
      <c r="R214" s="77"/>
      <c r="S214" s="77"/>
      <c r="T214" s="77"/>
      <c r="U214" s="77"/>
      <c r="V214" s="77"/>
      <c r="W214" s="77"/>
      <c r="X214" s="77"/>
      <c r="Y214" s="77"/>
      <c r="Z214" s="77"/>
      <c r="AA214" s="77"/>
      <c r="AB214" s="77"/>
      <c r="AC214" s="77"/>
      <c r="AD214" s="77"/>
      <c r="AE214" s="100"/>
      <c r="AF214" s="50"/>
    </row>
    <row r="215" spans="2:32" x14ac:dyDescent="0.2">
      <c r="B215" s="50"/>
      <c r="C215" s="50"/>
      <c r="D215" s="176"/>
      <c r="E215" s="176"/>
      <c r="F215" s="129"/>
      <c r="G215" s="129"/>
      <c r="H215" s="129"/>
      <c r="I215" s="129"/>
      <c r="J215" s="129"/>
      <c r="K215" s="50"/>
      <c r="L215" s="50"/>
      <c r="M215" s="50"/>
      <c r="N215" s="50"/>
      <c r="O215" s="50"/>
      <c r="P215" s="50"/>
      <c r="Q215" s="50"/>
      <c r="R215" s="50"/>
      <c r="S215" s="50"/>
      <c r="T215" s="50"/>
      <c r="U215" s="50"/>
      <c r="V215" s="50"/>
      <c r="W215" s="50"/>
      <c r="X215" s="50"/>
      <c r="Y215" s="50"/>
      <c r="Z215" s="50"/>
      <c r="AA215" s="50"/>
      <c r="AB215" s="50"/>
      <c r="AC215" s="50"/>
      <c r="AD215" s="50"/>
      <c r="AE215" s="50"/>
      <c r="AF215" s="50"/>
    </row>
    <row r="216" spans="2:32" x14ac:dyDescent="0.2">
      <c r="B216" s="50"/>
      <c r="C216" s="50"/>
      <c r="D216" s="176"/>
      <c r="E216" s="176"/>
      <c r="F216" s="129"/>
      <c r="G216" s="129"/>
      <c r="H216" s="129"/>
      <c r="I216" s="129"/>
      <c r="J216" s="129"/>
      <c r="K216" s="50"/>
      <c r="L216" s="50"/>
      <c r="M216" s="50"/>
      <c r="N216" s="50"/>
      <c r="O216" s="50"/>
      <c r="P216" s="50"/>
      <c r="Q216" s="50"/>
      <c r="R216" s="50"/>
      <c r="S216" s="50"/>
      <c r="T216" s="50"/>
      <c r="U216" s="50"/>
      <c r="V216" s="50"/>
      <c r="W216" s="50"/>
      <c r="X216" s="50"/>
      <c r="Y216" s="50"/>
      <c r="Z216" s="50"/>
      <c r="AA216" s="50"/>
      <c r="AB216" s="50"/>
      <c r="AC216" s="50"/>
      <c r="AD216" s="50"/>
      <c r="AE216" s="50"/>
      <c r="AF216" s="50"/>
    </row>
  </sheetData>
  <sheetProtection algorithmName="SHA-512" hashValue="OSsVWfPZq3oMJkV7OmmCTTjI6rbq5qAJK0Xd1tlTbz5jp93MreOLeGDnCzohopi8Ep08KD4py22gfyLh1jNStw==" saltValue="kV0vOo0H+UuHbIgBSGNNUg==" spinCount="100000" sheet="1" objects="1" scenarios="1"/>
  <phoneticPr fontId="0" type="noConversion"/>
  <dataValidations count="2">
    <dataValidation type="list" allowBlank="1" showInputMessage="1" showErrorMessage="1" sqref="J14:J213">
      <formula1>"geen,1,2,3,4,5,6,7,8,9,10,11,12,13,14,15,16,17,18,19,20,21,22,23,24,25,26,27,28,29,30,31,32,33,34,35,36,37,38,39,40,41,42,43,44,45,46,47,48,49,50"</formula1>
    </dataValidation>
    <dataValidation type="list" allowBlank="1" showInputMessage="1" showErrorMessage="1" sqref="D14:D213">
      <formula1>"gebouwen en terreinen, inventaris en apparatuur, leermiddelen PO, overige materiële vaste activa,meubilair, ICT"</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oddHeader>&amp;L&amp;"Arial,Vet"&amp;F&amp;R&amp;"Arial,Vet"&amp;A</oddHeader>
    <oddFooter>&amp;L&amp;"Arial,Vet"PO-Raad&amp;C&amp;"Arial,Vet"&amp;D&amp;R&amp;"Arial,Vet"pagina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20</vt:i4>
      </vt:variant>
      <vt:variant>
        <vt:lpstr>Benoemde bereiken</vt:lpstr>
      </vt:variant>
      <vt:variant>
        <vt:i4>30</vt:i4>
      </vt:variant>
    </vt:vector>
  </HeadingPairs>
  <TitlesOfParts>
    <vt:vector size="50" baseType="lpstr">
      <vt:lpstr>toel</vt:lpstr>
      <vt:lpstr>geg</vt:lpstr>
      <vt:lpstr>pers</vt:lpstr>
      <vt:lpstr>dir</vt:lpstr>
      <vt:lpstr>op</vt:lpstr>
      <vt:lpstr>obp</vt:lpstr>
      <vt:lpstr>mat</vt:lpstr>
      <vt:lpstr>mop</vt:lpstr>
      <vt:lpstr>mip</vt:lpstr>
      <vt:lpstr>act</vt:lpstr>
      <vt:lpstr>beleid</vt:lpstr>
      <vt:lpstr>begr</vt:lpstr>
      <vt:lpstr>bal</vt:lpstr>
      <vt:lpstr>liq</vt:lpstr>
      <vt:lpstr>ken</vt:lpstr>
      <vt:lpstr>graf</vt:lpstr>
      <vt:lpstr>som</vt:lpstr>
      <vt:lpstr>tab</vt:lpstr>
      <vt:lpstr>saltab</vt:lpstr>
      <vt:lpstr> score</vt:lpstr>
      <vt:lpstr>Achterstandsscore</vt:lpstr>
      <vt:lpstr>act!Afdrukbereik</vt:lpstr>
      <vt:lpstr>bal!Afdrukbereik</vt:lpstr>
      <vt:lpstr>begr!Afdrukbereik</vt:lpstr>
      <vt:lpstr>beleid!Afdrukbereik</vt:lpstr>
      <vt:lpstr>dir!Afdrukbereik</vt:lpstr>
      <vt:lpstr>geg!Afdrukbereik</vt:lpstr>
      <vt:lpstr>graf!Afdrukbereik</vt:lpstr>
      <vt:lpstr>ken!Afdrukbereik</vt:lpstr>
      <vt:lpstr>liq!Afdrukbereik</vt:lpstr>
      <vt:lpstr>mat!Afdrukbereik</vt:lpstr>
      <vt:lpstr>mip!Afdrukbereik</vt:lpstr>
      <vt:lpstr>mop!Afdrukbereik</vt:lpstr>
      <vt:lpstr>obp!Afdrukbereik</vt:lpstr>
      <vt:lpstr>op!Afdrukbereik</vt:lpstr>
      <vt:lpstr>pers!Afdrukbereik</vt:lpstr>
      <vt:lpstr>saltab!Afdrukbereik</vt:lpstr>
      <vt:lpstr>som!Afdrukbereik</vt:lpstr>
      <vt:lpstr>tab!Afdrukbereik</vt:lpstr>
      <vt:lpstr>toel!Afdrukbereik</vt:lpstr>
      <vt:lpstr>groepenleerlingennu</vt:lpstr>
      <vt:lpstr>IGB</vt:lpstr>
      <vt:lpstr>MI2019groep</vt:lpstr>
      <vt:lpstr>Postcode_gebieden</vt:lpstr>
      <vt:lpstr>regels2019</vt:lpstr>
      <vt:lpstr>salaris2018sept</vt:lpstr>
      <vt:lpstr>salaris2019</vt:lpstr>
      <vt:lpstr>salaris2020</vt:lpstr>
      <vt:lpstr>schaal2019</vt:lpstr>
      <vt:lpstr>vloeroppervlaknu</vt:lpstr>
    </vt:vector>
  </TitlesOfParts>
  <Company>VOS/ABB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drs. R.M. Goedhart / Bé Keizer</dc:creator>
  <cp:lastModifiedBy>B Keizer</cp:lastModifiedBy>
  <cp:lastPrinted>2019-06-13T12:34:49Z</cp:lastPrinted>
  <dcterms:created xsi:type="dcterms:W3CDTF">2002-03-02T17:48:17Z</dcterms:created>
  <dcterms:modified xsi:type="dcterms:W3CDTF">2019-06-16T11:21:33Z</dcterms:modified>
</cp:coreProperties>
</file>