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ubbe\Documents\Instrumenten\toolbox 2019\po\"/>
    </mc:Choice>
  </mc:AlternateContent>
  <bookViews>
    <workbookView xWindow="0" yWindow="0" windowWidth="19200" windowHeight="11205" tabRatio="762" activeTab="4"/>
  </bookViews>
  <sheets>
    <sheet name="toel" sheetId="10" r:id="rId1"/>
    <sheet name="wgl" sheetId="1" r:id="rId2"/>
    <sheet name="Blad1" sheetId="13" state="hidden" r:id="rId3"/>
    <sheet name="wgl tot" sheetId="12" r:id="rId4"/>
    <sheet name="tabellen" sheetId="3" r:id="rId5"/>
    <sheet name="Blad2" sheetId="14" state="hidden" r:id="rId6"/>
  </sheets>
  <definedNames>
    <definedName name="_xlnm._FilterDatabase" localSheetId="1" hidden="1">wgl!$D$54:$E$57</definedName>
    <definedName name="_ftn1" localSheetId="5">Blad2!#REF!</definedName>
    <definedName name="_ftnref1" localSheetId="5">Blad2!$B$6</definedName>
    <definedName name="_xlnm.Print_Area" localSheetId="4">tabellen!$A$1:$M$78</definedName>
    <definedName name="_xlnm.Print_Area" localSheetId="0">toel!$B$2:$N$112</definedName>
    <definedName name="_xlnm.Print_Area" localSheetId="1">wgl!$B$2:$S$77</definedName>
    <definedName name="_xlnm.Print_Area" localSheetId="3">'wgl tot'!$B$2:$AW$88</definedName>
    <definedName name="_xlnm.Print_Area">'wgl tot'!$AZ$8:$BU$24</definedName>
    <definedName name="arbeidskorting">tabellen!$B$75:$D$78</definedName>
    <definedName name="bindingstoelage">tabellen!#REF!</definedName>
    <definedName name="d17e101" localSheetId="0">toel!$R$58</definedName>
    <definedName name="d17e107" localSheetId="0">toel!#REF!</definedName>
    <definedName name="eindejaarsuitkering_OOP">tabellen!$C$52:$D$55</definedName>
    <definedName name="premie_Vervaningsfonds__Vf">wgl!$E$55</definedName>
    <definedName name="premies">tabellen!$B$6:$G$17</definedName>
    <definedName name="saltab2018sept">tabellen!$A$82:$U$123</definedName>
    <definedName name="saltab2019">tabellen!$A$127:$U$168</definedName>
    <definedName name="saltab2020">tabellen!$A$172:$V$213</definedName>
    <definedName name="uitlooptoeslag">tabellen!$B$31:$C$35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3" i="1" l="1"/>
  <c r="T13" i="12" l="1"/>
  <c r="U13" i="12"/>
  <c r="V13" i="12"/>
  <c r="T14" i="12"/>
  <c r="U14" i="12"/>
  <c r="V14" i="12"/>
  <c r="T15" i="12"/>
  <c r="U15" i="12"/>
  <c r="V15" i="12"/>
  <c r="T16" i="12"/>
  <c r="U16" i="12"/>
  <c r="V16" i="12"/>
  <c r="T17" i="12"/>
  <c r="U17" i="12"/>
  <c r="V17" i="12"/>
  <c r="T18" i="12"/>
  <c r="U18" i="12"/>
  <c r="V18" i="12"/>
  <c r="T19" i="12"/>
  <c r="U19" i="12"/>
  <c r="V19" i="12"/>
  <c r="T20" i="12"/>
  <c r="U20" i="12"/>
  <c r="V20" i="12"/>
  <c r="T21" i="12"/>
  <c r="U21" i="12"/>
  <c r="V21" i="12"/>
  <c r="T22" i="12"/>
  <c r="U22" i="12"/>
  <c r="V22" i="12"/>
  <c r="T23" i="12"/>
  <c r="U23" i="12"/>
  <c r="V23" i="12"/>
  <c r="T24" i="12"/>
  <c r="U24" i="12"/>
  <c r="V24" i="12"/>
  <c r="T25" i="12"/>
  <c r="U25" i="12"/>
  <c r="V25" i="12"/>
  <c r="T26" i="12"/>
  <c r="U26" i="12"/>
  <c r="V26" i="12"/>
  <c r="T27" i="12"/>
  <c r="U27" i="12"/>
  <c r="V27" i="12"/>
  <c r="T28" i="12"/>
  <c r="U28" i="12"/>
  <c r="V28" i="12"/>
  <c r="T29" i="12"/>
  <c r="U29" i="12"/>
  <c r="V29" i="12"/>
  <c r="T30" i="12"/>
  <c r="U30" i="12"/>
  <c r="V30" i="12"/>
  <c r="T31" i="12"/>
  <c r="U31" i="12"/>
  <c r="V31" i="12"/>
  <c r="T32" i="12"/>
  <c r="U32" i="12"/>
  <c r="V32" i="12"/>
  <c r="T33" i="12"/>
  <c r="U33" i="12"/>
  <c r="V33" i="12"/>
  <c r="T34" i="12"/>
  <c r="U34" i="12"/>
  <c r="V34" i="12"/>
  <c r="T35" i="12"/>
  <c r="U35" i="12"/>
  <c r="V35" i="12"/>
  <c r="T36" i="12"/>
  <c r="U36" i="12"/>
  <c r="V36" i="12"/>
  <c r="T37" i="12"/>
  <c r="U37" i="12"/>
  <c r="V37" i="12"/>
  <c r="T38" i="12"/>
  <c r="U38" i="12"/>
  <c r="V38" i="12"/>
  <c r="T39" i="12"/>
  <c r="U39" i="12"/>
  <c r="V39" i="12"/>
  <c r="T40" i="12"/>
  <c r="U40" i="12"/>
  <c r="V40" i="12"/>
  <c r="T41" i="12"/>
  <c r="U41" i="12"/>
  <c r="V41" i="12"/>
  <c r="T42" i="12"/>
  <c r="U42" i="12"/>
  <c r="V42" i="12"/>
  <c r="T43" i="12"/>
  <c r="U43" i="12"/>
  <c r="V43" i="12"/>
  <c r="T44" i="12"/>
  <c r="U44" i="12"/>
  <c r="V44" i="12"/>
  <c r="T45" i="12"/>
  <c r="U45" i="12"/>
  <c r="V45" i="12"/>
  <c r="T46" i="12"/>
  <c r="U46" i="12"/>
  <c r="V46" i="12"/>
  <c r="T47" i="12"/>
  <c r="U47" i="12"/>
  <c r="V47" i="12"/>
  <c r="T48" i="12"/>
  <c r="U48" i="12"/>
  <c r="V48" i="12"/>
  <c r="T49" i="12"/>
  <c r="U49" i="12"/>
  <c r="V49" i="12"/>
  <c r="T50" i="12"/>
  <c r="U50" i="12"/>
  <c r="V50" i="12"/>
  <c r="T51" i="12"/>
  <c r="U51" i="12"/>
  <c r="V51" i="12"/>
  <c r="T52" i="12"/>
  <c r="U52" i="12"/>
  <c r="V52" i="12"/>
  <c r="T53" i="12"/>
  <c r="U53" i="12"/>
  <c r="V53" i="12"/>
  <c r="T54" i="12"/>
  <c r="U54" i="12"/>
  <c r="V54" i="12"/>
  <c r="T55" i="12"/>
  <c r="U55" i="12"/>
  <c r="V55" i="12"/>
  <c r="T56" i="12"/>
  <c r="U56" i="12"/>
  <c r="V56" i="12"/>
  <c r="T57" i="12"/>
  <c r="U57" i="12"/>
  <c r="V57" i="12"/>
  <c r="T58" i="12"/>
  <c r="U58" i="12"/>
  <c r="V58" i="12"/>
  <c r="T59" i="12"/>
  <c r="U59" i="12"/>
  <c r="V59" i="12"/>
  <c r="T60" i="12"/>
  <c r="U60" i="12"/>
  <c r="V60" i="12"/>
  <c r="T61" i="12"/>
  <c r="U61" i="12"/>
  <c r="V61" i="12"/>
  <c r="T62" i="12"/>
  <c r="U62" i="12"/>
  <c r="V62" i="12"/>
  <c r="T63" i="12"/>
  <c r="U63" i="12"/>
  <c r="V63" i="12"/>
  <c r="T64" i="12"/>
  <c r="U64" i="12"/>
  <c r="V64" i="12"/>
  <c r="T65" i="12"/>
  <c r="U65" i="12"/>
  <c r="V65" i="12"/>
  <c r="T66" i="12"/>
  <c r="U66" i="12"/>
  <c r="V66" i="12"/>
  <c r="T67" i="12"/>
  <c r="U67" i="12"/>
  <c r="V67" i="12"/>
  <c r="T68" i="12"/>
  <c r="U68" i="12"/>
  <c r="V68" i="12"/>
  <c r="T69" i="12"/>
  <c r="U69" i="12"/>
  <c r="V69" i="12"/>
  <c r="T70" i="12"/>
  <c r="U70" i="12"/>
  <c r="V70" i="12"/>
  <c r="T71" i="12"/>
  <c r="U71" i="12"/>
  <c r="V71" i="12"/>
  <c r="T72" i="12"/>
  <c r="U72" i="12"/>
  <c r="V72" i="12"/>
  <c r="T73" i="12"/>
  <c r="U73" i="12"/>
  <c r="V73" i="12"/>
  <c r="T74" i="12"/>
  <c r="U74" i="12"/>
  <c r="V74" i="12"/>
  <c r="T75" i="12"/>
  <c r="U75" i="12"/>
  <c r="V75" i="12"/>
  <c r="T76" i="12"/>
  <c r="U76" i="12"/>
  <c r="V76" i="12"/>
  <c r="T77" i="12"/>
  <c r="U77" i="12"/>
  <c r="V77" i="12"/>
  <c r="T78" i="12"/>
  <c r="U78" i="12"/>
  <c r="V78" i="12"/>
  <c r="T79" i="12"/>
  <c r="U79" i="12"/>
  <c r="V79" i="12"/>
  <c r="T80" i="12"/>
  <c r="U80" i="12"/>
  <c r="V80" i="12"/>
  <c r="T81" i="12"/>
  <c r="U81" i="12"/>
  <c r="V81" i="12"/>
  <c r="T82" i="12"/>
  <c r="U82" i="12"/>
  <c r="V82" i="12"/>
  <c r="T83" i="12"/>
  <c r="U83" i="12"/>
  <c r="V83" i="12"/>
  <c r="T84" i="12"/>
  <c r="U84" i="12"/>
  <c r="V84" i="12"/>
  <c r="T85" i="12"/>
  <c r="U85" i="12"/>
  <c r="V85" i="12"/>
  <c r="T86" i="12"/>
  <c r="U86" i="12"/>
  <c r="V86" i="12"/>
  <c r="U12" i="12"/>
  <c r="V12" i="12"/>
  <c r="M49" i="3"/>
  <c r="M46" i="3"/>
  <c r="M47" i="3"/>
  <c r="M48" i="3"/>
  <c r="M45" i="3"/>
  <c r="H35" i="1"/>
  <c r="V5" i="12"/>
  <c r="AK19" i="12" l="1"/>
  <c r="AK20" i="12"/>
  <c r="AK21" i="12"/>
  <c r="AK22" i="12"/>
  <c r="AK23" i="12"/>
  <c r="AK24" i="12"/>
  <c r="AK25" i="12"/>
  <c r="AK26" i="12"/>
  <c r="AK27" i="12"/>
  <c r="AK28" i="12"/>
  <c r="AK29" i="12"/>
  <c r="AK30" i="12"/>
  <c r="AK31" i="12"/>
  <c r="AK32" i="12"/>
  <c r="AK33" i="12"/>
  <c r="AK34" i="12"/>
  <c r="AK35" i="12"/>
  <c r="AK36" i="12"/>
  <c r="AK37" i="12"/>
  <c r="AK38" i="12"/>
  <c r="AK39" i="12"/>
  <c r="AK40" i="12"/>
  <c r="AK41" i="12"/>
  <c r="AK42" i="12"/>
  <c r="AK43" i="12"/>
  <c r="AK44" i="12"/>
  <c r="AK45" i="12"/>
  <c r="AK46" i="12"/>
  <c r="AK47" i="12"/>
  <c r="AK48" i="12"/>
  <c r="AK49" i="12"/>
  <c r="AK50" i="12"/>
  <c r="AK51" i="12"/>
  <c r="AK52" i="12"/>
  <c r="AK53" i="12"/>
  <c r="AK54" i="12"/>
  <c r="AK55" i="12"/>
  <c r="AK56" i="12"/>
  <c r="AK57" i="12"/>
  <c r="AK58" i="12"/>
  <c r="AK59" i="12"/>
  <c r="AK60" i="12"/>
  <c r="AK61" i="12"/>
  <c r="AK62" i="12"/>
  <c r="AK63" i="12"/>
  <c r="AK64" i="12"/>
  <c r="AK65" i="12"/>
  <c r="AK66" i="12"/>
  <c r="AK67" i="12"/>
  <c r="AK68" i="12"/>
  <c r="AK69" i="12"/>
  <c r="AK70" i="12"/>
  <c r="AK71" i="12"/>
  <c r="AK72" i="12"/>
  <c r="AK73" i="12"/>
  <c r="AK74" i="12"/>
  <c r="AK75" i="12"/>
  <c r="AK76" i="12"/>
  <c r="AK77" i="12"/>
  <c r="AK78" i="12"/>
  <c r="AK79" i="12"/>
  <c r="AK80" i="12"/>
  <c r="AK81" i="12"/>
  <c r="AK82" i="12"/>
  <c r="AK83" i="12"/>
  <c r="AK84" i="12"/>
  <c r="AK85" i="12"/>
  <c r="AK86" i="12"/>
  <c r="K13" i="12" l="1"/>
  <c r="L13" i="12" s="1"/>
  <c r="R13" i="12"/>
  <c r="K14" i="12"/>
  <c r="L14" i="12" s="1"/>
  <c r="R14" i="12"/>
  <c r="K15" i="12"/>
  <c r="L15" i="12" s="1"/>
  <c r="R15" i="12"/>
  <c r="K16" i="12"/>
  <c r="L16" i="12" s="1"/>
  <c r="R16" i="12"/>
  <c r="K17" i="12"/>
  <c r="L17" i="12" s="1"/>
  <c r="R17" i="12"/>
  <c r="K18" i="12"/>
  <c r="L18" i="12" s="1"/>
  <c r="P18" i="12"/>
  <c r="R18" i="12"/>
  <c r="K19" i="12"/>
  <c r="L19" i="12" s="1"/>
  <c r="P19" i="12"/>
  <c r="R19" i="12"/>
  <c r="AD19" i="12"/>
  <c r="AE19" i="12"/>
  <c r="AG19" i="12"/>
  <c r="AH19" i="12"/>
  <c r="AI19" i="12"/>
  <c r="AL19" i="12"/>
  <c r="K20" i="12"/>
  <c r="L20" i="12" s="1"/>
  <c r="P20" i="12"/>
  <c r="R20" i="12"/>
  <c r="AD20" i="12"/>
  <c r="AE20" i="12"/>
  <c r="AG20" i="12"/>
  <c r="AH20" i="12"/>
  <c r="AI20" i="12"/>
  <c r="AL20" i="12"/>
  <c r="K21" i="12"/>
  <c r="L21" i="12" s="1"/>
  <c r="P21" i="12"/>
  <c r="R21" i="12"/>
  <c r="AD21" i="12"/>
  <c r="AE21" i="12"/>
  <c r="AG21" i="12"/>
  <c r="AH21" i="12"/>
  <c r="AI21" i="12"/>
  <c r="AL21" i="12"/>
  <c r="K22" i="12"/>
  <c r="L22" i="12" s="1"/>
  <c r="P22" i="12"/>
  <c r="R22" i="12"/>
  <c r="AD22" i="12"/>
  <c r="AE22" i="12"/>
  <c r="AG22" i="12"/>
  <c r="AH22" i="12"/>
  <c r="AI22" i="12"/>
  <c r="AL22" i="12"/>
  <c r="K23" i="12"/>
  <c r="L23" i="12" s="1"/>
  <c r="P23" i="12"/>
  <c r="R23" i="12"/>
  <c r="AD23" i="12"/>
  <c r="AE23" i="12"/>
  <c r="AG23" i="12"/>
  <c r="AH23" i="12"/>
  <c r="AI23" i="12"/>
  <c r="AL23" i="12"/>
  <c r="N22" i="12" l="1"/>
  <c r="X22" i="12"/>
  <c r="X23" i="12"/>
  <c r="X20" i="12"/>
  <c r="AB20" i="12" s="1"/>
  <c r="X16" i="12"/>
  <c r="X21" i="12"/>
  <c r="X18" i="12"/>
  <c r="X14" i="12"/>
  <c r="X19" i="12"/>
  <c r="X17" i="12"/>
  <c r="X15" i="12"/>
  <c r="X13" i="12"/>
  <c r="N20" i="12"/>
  <c r="N18" i="12"/>
  <c r="N23" i="12"/>
  <c r="N19" i="12"/>
  <c r="N21" i="12"/>
  <c r="AB18" i="12"/>
  <c r="G62" i="1"/>
  <c r="AB22" i="12" l="1"/>
  <c r="AB23" i="12"/>
  <c r="AB21" i="12"/>
  <c r="AB19" i="12"/>
  <c r="C4" i="1" l="1"/>
  <c r="C5" i="1"/>
  <c r="H20" i="1"/>
  <c r="E34" i="1" s="1"/>
  <c r="G34" i="1" s="1"/>
  <c r="H34" i="1" s="1"/>
  <c r="G22" i="1"/>
  <c r="G24" i="1" s="1"/>
  <c r="G31" i="1"/>
  <c r="H31" i="1" s="1"/>
  <c r="E32" i="1"/>
  <c r="G32" i="1" s="1"/>
  <c r="H32" i="1" s="1"/>
  <c r="E33" i="1"/>
  <c r="G33" i="1" s="1"/>
  <c r="H33" i="1" s="1"/>
  <c r="G35" i="1"/>
  <c r="G56" i="1"/>
  <c r="G63" i="1"/>
  <c r="G64" i="1"/>
  <c r="G65" i="1"/>
  <c r="G66" i="1"/>
  <c r="H67" i="1"/>
  <c r="G67" i="1" l="1"/>
  <c r="G30" i="1"/>
  <c r="H30" i="1" s="1"/>
  <c r="H24" i="1"/>
  <c r="G36" i="1"/>
  <c r="H36" i="1" s="1"/>
  <c r="G29" i="1"/>
  <c r="H29" i="1" l="1"/>
  <c r="H38" i="1" s="1"/>
  <c r="H40" i="1" s="1"/>
  <c r="H41" i="1" s="1"/>
  <c r="G41" i="1" s="1"/>
  <c r="G38" i="1"/>
  <c r="G40" i="1" s="1"/>
  <c r="Q26" i="1" l="1"/>
  <c r="Q12" i="1"/>
  <c r="P26" i="1"/>
  <c r="H9" i="3" l="1"/>
  <c r="B4" i="3"/>
  <c r="Q23" i="1" l="1"/>
  <c r="G47" i="1" l="1"/>
  <c r="H47" i="1" s="1"/>
  <c r="P21" i="1"/>
  <c r="P23" i="1"/>
  <c r="P22" i="1"/>
  <c r="Q21" i="1"/>
  <c r="G48" i="1"/>
  <c r="H48" i="1" s="1"/>
  <c r="G49" i="1"/>
  <c r="H49" i="1" s="1"/>
  <c r="Q22" i="1"/>
  <c r="F1" i="3"/>
  <c r="Q24" i="1" l="1"/>
  <c r="Q28" i="1" s="1"/>
  <c r="Q30" i="1" s="1"/>
  <c r="P24" i="1"/>
  <c r="P27" i="1" s="1"/>
  <c r="P28" i="1" s="1"/>
  <c r="G55" i="1" s="1"/>
  <c r="H55" i="1" s="1"/>
  <c r="G14" i="1"/>
  <c r="H14" i="1"/>
  <c r="BU70" i="12"/>
  <c r="BS70" i="12"/>
  <c r="BR70" i="12"/>
  <c r="BQ70" i="12"/>
  <c r="BI70" i="12"/>
  <c r="Q70" i="12" s="1"/>
  <c r="BG70" i="12"/>
  <c r="BF70" i="12"/>
  <c r="BD70" i="12"/>
  <c r="BC70" i="12"/>
  <c r="BH70" i="12" s="1"/>
  <c r="S70" i="12" s="1"/>
  <c r="AL70" i="12"/>
  <c r="AI70" i="12"/>
  <c r="AH70" i="12"/>
  <c r="AG70" i="12"/>
  <c r="AE70" i="12"/>
  <c r="AD70" i="12"/>
  <c r="R70" i="12"/>
  <c r="P70" i="12"/>
  <c r="K70" i="12"/>
  <c r="L70" i="12" s="1"/>
  <c r="BU69" i="12"/>
  <c r="BS69" i="12"/>
  <c r="BR69" i="12"/>
  <c r="BQ69" i="12"/>
  <c r="BI69" i="12"/>
  <c r="Q69" i="12" s="1"/>
  <c r="BG69" i="12"/>
  <c r="BF69" i="12"/>
  <c r="BD69" i="12"/>
  <c r="BC69" i="12"/>
  <c r="BH69" i="12" s="1"/>
  <c r="S69" i="12" s="1"/>
  <c r="AL69" i="12"/>
  <c r="AI69" i="12"/>
  <c r="AH69" i="12"/>
  <c r="AG69" i="12"/>
  <c r="AE69" i="12"/>
  <c r="AD69" i="12"/>
  <c r="R69" i="12"/>
  <c r="P69" i="12"/>
  <c r="K69" i="12"/>
  <c r="L69" i="12" s="1"/>
  <c r="BU68" i="12"/>
  <c r="BS68" i="12"/>
  <c r="BR68" i="12"/>
  <c r="BQ68" i="12"/>
  <c r="BI68" i="12"/>
  <c r="Q68" i="12" s="1"/>
  <c r="BG68" i="12"/>
  <c r="BF68" i="12"/>
  <c r="BD68" i="12"/>
  <c r="BC68" i="12"/>
  <c r="BH68" i="12" s="1"/>
  <c r="S68" i="12" s="1"/>
  <c r="AL68" i="12"/>
  <c r="AI68" i="12"/>
  <c r="AH68" i="12"/>
  <c r="AG68" i="12"/>
  <c r="AE68" i="12"/>
  <c r="AD68" i="12"/>
  <c r="R68" i="12"/>
  <c r="P68" i="12"/>
  <c r="K68" i="12"/>
  <c r="L68" i="12" s="1"/>
  <c r="BU67" i="12"/>
  <c r="BS67" i="12"/>
  <c r="BR67" i="12"/>
  <c r="BQ67" i="12"/>
  <c r="BI67" i="12"/>
  <c r="Q67" i="12" s="1"/>
  <c r="BG67" i="12"/>
  <c r="BF67" i="12"/>
  <c r="BD67" i="12"/>
  <c r="BC67" i="12"/>
  <c r="BH67" i="12" s="1"/>
  <c r="S67" i="12" s="1"/>
  <c r="AL67" i="12"/>
  <c r="AI67" i="12"/>
  <c r="AH67" i="12"/>
  <c r="AG67" i="12"/>
  <c r="AE67" i="12"/>
  <c r="AD67" i="12"/>
  <c r="R67" i="12"/>
  <c r="P67" i="12"/>
  <c r="K67" i="12"/>
  <c r="L67" i="12" s="1"/>
  <c r="BU66" i="12"/>
  <c r="BS66" i="12"/>
  <c r="BR66" i="12"/>
  <c r="BQ66" i="12"/>
  <c r="BI66" i="12"/>
  <c r="Q66" i="12" s="1"/>
  <c r="BG66" i="12"/>
  <c r="BF66" i="12"/>
  <c r="BD66" i="12"/>
  <c r="BC66" i="12"/>
  <c r="BH66" i="12" s="1"/>
  <c r="S66" i="12" s="1"/>
  <c r="AL66" i="12"/>
  <c r="AI66" i="12"/>
  <c r="AH66" i="12"/>
  <c r="AG66" i="12"/>
  <c r="AE66" i="12"/>
  <c r="AD66" i="12"/>
  <c r="R66" i="12"/>
  <c r="P66" i="12"/>
  <c r="K66" i="12"/>
  <c r="L66" i="12" s="1"/>
  <c r="BU65" i="12"/>
  <c r="BS65" i="12"/>
  <c r="BR65" i="12"/>
  <c r="BQ65" i="12"/>
  <c r="BI65" i="12"/>
  <c r="Q65" i="12" s="1"/>
  <c r="BG65" i="12"/>
  <c r="BF65" i="12"/>
  <c r="BD65" i="12"/>
  <c r="BC65" i="12"/>
  <c r="BH65" i="12" s="1"/>
  <c r="S65" i="12" s="1"/>
  <c r="AL65" i="12"/>
  <c r="AI65" i="12"/>
  <c r="AH65" i="12"/>
  <c r="AG65" i="12"/>
  <c r="AE65" i="12"/>
  <c r="AD65" i="12"/>
  <c r="R65" i="12"/>
  <c r="P65" i="12"/>
  <c r="K65" i="12"/>
  <c r="L65" i="12" s="1"/>
  <c r="BU64" i="12"/>
  <c r="BS64" i="12"/>
  <c r="BR64" i="12"/>
  <c r="BQ64" i="12"/>
  <c r="BI64" i="12"/>
  <c r="Q64" i="12" s="1"/>
  <c r="BG64" i="12"/>
  <c r="BF64" i="12"/>
  <c r="BD64" i="12"/>
  <c r="BC64" i="12"/>
  <c r="BH64" i="12" s="1"/>
  <c r="S64" i="12" s="1"/>
  <c r="AL64" i="12"/>
  <c r="AI64" i="12"/>
  <c r="AH64" i="12"/>
  <c r="AG64" i="12"/>
  <c r="AE64" i="12"/>
  <c r="AD64" i="12"/>
  <c r="R64" i="12"/>
  <c r="P64" i="12"/>
  <c r="K64" i="12"/>
  <c r="L64" i="12" s="1"/>
  <c r="BU63" i="12"/>
  <c r="BS63" i="12"/>
  <c r="BR63" i="12"/>
  <c r="BQ63" i="12"/>
  <c r="BI63" i="12"/>
  <c r="Q63" i="12" s="1"/>
  <c r="BG63" i="12"/>
  <c r="BF63" i="12"/>
  <c r="BD63" i="12"/>
  <c r="BC63" i="12"/>
  <c r="BH63" i="12" s="1"/>
  <c r="S63" i="12" s="1"/>
  <c r="AL63" i="12"/>
  <c r="AI63" i="12"/>
  <c r="AH63" i="12"/>
  <c r="AG63" i="12"/>
  <c r="AE63" i="12"/>
  <c r="AD63" i="12"/>
  <c r="R63" i="12"/>
  <c r="P63" i="12"/>
  <c r="K63" i="12"/>
  <c r="L63" i="12" s="1"/>
  <c r="BU62" i="12"/>
  <c r="BS62" i="12"/>
  <c r="BR62" i="12"/>
  <c r="BQ62" i="12"/>
  <c r="BI62" i="12"/>
  <c r="Q62" i="12" s="1"/>
  <c r="BG62" i="12"/>
  <c r="BF62" i="12"/>
  <c r="BD62" i="12"/>
  <c r="BC62" i="12"/>
  <c r="BH62" i="12" s="1"/>
  <c r="S62" i="12" s="1"/>
  <c r="AL62" i="12"/>
  <c r="AI62" i="12"/>
  <c r="AH62" i="12"/>
  <c r="AG62" i="12"/>
  <c r="AE62" i="12"/>
  <c r="AD62" i="12"/>
  <c r="R62" i="12"/>
  <c r="P62" i="12"/>
  <c r="K62" i="12"/>
  <c r="L62" i="12" s="1"/>
  <c r="BU61" i="12"/>
  <c r="BS61" i="12"/>
  <c r="BR61" i="12"/>
  <c r="BQ61" i="12"/>
  <c r="BI61" i="12"/>
  <c r="Q61" i="12" s="1"/>
  <c r="BG61" i="12"/>
  <c r="BF61" i="12"/>
  <c r="BD61" i="12"/>
  <c r="BC61" i="12"/>
  <c r="BH61" i="12" s="1"/>
  <c r="S61" i="12" s="1"/>
  <c r="AL61" i="12"/>
  <c r="AI61" i="12"/>
  <c r="AH61" i="12"/>
  <c r="AG61" i="12"/>
  <c r="AE61" i="12"/>
  <c r="AD61" i="12"/>
  <c r="R61" i="12"/>
  <c r="P61" i="12"/>
  <c r="K61" i="12"/>
  <c r="L61" i="12" s="1"/>
  <c r="BU60" i="12"/>
  <c r="BS60" i="12"/>
  <c r="BR60" i="12"/>
  <c r="BQ60" i="12"/>
  <c r="BI60" i="12"/>
  <c r="Q60" i="12" s="1"/>
  <c r="BG60" i="12"/>
  <c r="BF60" i="12"/>
  <c r="BD60" i="12"/>
  <c r="BC60" i="12"/>
  <c r="BH60" i="12" s="1"/>
  <c r="S60" i="12" s="1"/>
  <c r="AL60" i="12"/>
  <c r="AI60" i="12"/>
  <c r="AH60" i="12"/>
  <c r="AG60" i="12"/>
  <c r="AE60" i="12"/>
  <c r="AD60" i="12"/>
  <c r="R60" i="12"/>
  <c r="P60" i="12"/>
  <c r="K60" i="12"/>
  <c r="L60" i="12" s="1"/>
  <c r="BU59" i="12"/>
  <c r="BS59" i="12"/>
  <c r="BR59" i="12"/>
  <c r="BQ59" i="12"/>
  <c r="BI59" i="12"/>
  <c r="Q59" i="12" s="1"/>
  <c r="BG59" i="12"/>
  <c r="BF59" i="12"/>
  <c r="BD59" i="12"/>
  <c r="BC59" i="12"/>
  <c r="BH59" i="12" s="1"/>
  <c r="S59" i="12" s="1"/>
  <c r="AL59" i="12"/>
  <c r="AI59" i="12"/>
  <c r="AH59" i="12"/>
  <c r="AG59" i="12"/>
  <c r="AE59" i="12"/>
  <c r="AD59" i="12"/>
  <c r="R59" i="12"/>
  <c r="P59" i="12"/>
  <c r="K59" i="12"/>
  <c r="L59" i="12" s="1"/>
  <c r="BU58" i="12"/>
  <c r="BS58" i="12"/>
  <c r="BR58" i="12"/>
  <c r="BQ58" i="12"/>
  <c r="BI58" i="12"/>
  <c r="Q58" i="12" s="1"/>
  <c r="BG58" i="12"/>
  <c r="BF58" i="12"/>
  <c r="BD58" i="12"/>
  <c r="BC58" i="12"/>
  <c r="BH58" i="12" s="1"/>
  <c r="S58" i="12" s="1"/>
  <c r="AL58" i="12"/>
  <c r="AI58" i="12"/>
  <c r="AH58" i="12"/>
  <c r="AG58" i="12"/>
  <c r="AE58" i="12"/>
  <c r="AD58" i="12"/>
  <c r="R58" i="12"/>
  <c r="P58" i="12"/>
  <c r="K58" i="12"/>
  <c r="L58" i="12" s="1"/>
  <c r="BU57" i="12"/>
  <c r="BS57" i="12"/>
  <c r="BR57" i="12"/>
  <c r="BQ57" i="12"/>
  <c r="BI57" i="12"/>
  <c r="Q57" i="12" s="1"/>
  <c r="BG57" i="12"/>
  <c r="BF57" i="12"/>
  <c r="BD57" i="12"/>
  <c r="BC57" i="12"/>
  <c r="BH57" i="12" s="1"/>
  <c r="S57" i="12" s="1"/>
  <c r="AL57" i="12"/>
  <c r="AI57" i="12"/>
  <c r="AH57" i="12"/>
  <c r="AG57" i="12"/>
  <c r="AE57" i="12"/>
  <c r="AD57" i="12"/>
  <c r="R57" i="12"/>
  <c r="P57" i="12"/>
  <c r="K57" i="12"/>
  <c r="L57" i="12" s="1"/>
  <c r="BU56" i="12"/>
  <c r="BS56" i="12"/>
  <c r="BR56" i="12"/>
  <c r="BQ56" i="12"/>
  <c r="BI56" i="12"/>
  <c r="Q56" i="12" s="1"/>
  <c r="BG56" i="12"/>
  <c r="BF56" i="12"/>
  <c r="BD56" i="12"/>
  <c r="BC56" i="12"/>
  <c r="BH56" i="12" s="1"/>
  <c r="S56" i="12" s="1"/>
  <c r="AL56" i="12"/>
  <c r="AI56" i="12"/>
  <c r="AH56" i="12"/>
  <c r="AG56" i="12"/>
  <c r="AE56" i="12"/>
  <c r="AD56" i="12"/>
  <c r="R56" i="12"/>
  <c r="P56" i="12"/>
  <c r="K56" i="12"/>
  <c r="L56" i="12" s="1"/>
  <c r="BU55" i="12"/>
  <c r="BS55" i="12"/>
  <c r="BR55" i="12"/>
  <c r="BQ55" i="12"/>
  <c r="BI55" i="12"/>
  <c r="Q55" i="12" s="1"/>
  <c r="BG55" i="12"/>
  <c r="BF55" i="12"/>
  <c r="BD55" i="12"/>
  <c r="BC55" i="12"/>
  <c r="BH55" i="12" s="1"/>
  <c r="S55" i="12" s="1"/>
  <c r="AL55" i="12"/>
  <c r="AI55" i="12"/>
  <c r="AH55" i="12"/>
  <c r="AG55" i="12"/>
  <c r="AE55" i="12"/>
  <c r="AD55" i="12"/>
  <c r="R55" i="12"/>
  <c r="P55" i="12"/>
  <c r="K55" i="12"/>
  <c r="L55" i="12" s="1"/>
  <c r="BU54" i="12"/>
  <c r="BS54" i="12"/>
  <c r="BR54" i="12"/>
  <c r="BQ54" i="12"/>
  <c r="BI54" i="12"/>
  <c r="Q54" i="12" s="1"/>
  <c r="BG54" i="12"/>
  <c r="BF54" i="12"/>
  <c r="BD54" i="12"/>
  <c r="BC54" i="12"/>
  <c r="BH54" i="12" s="1"/>
  <c r="S54" i="12" s="1"/>
  <c r="AL54" i="12"/>
  <c r="AI54" i="12"/>
  <c r="AH54" i="12"/>
  <c r="AG54" i="12"/>
  <c r="AE54" i="12"/>
  <c r="AD54" i="12"/>
  <c r="R54" i="12"/>
  <c r="P54" i="12"/>
  <c r="K54" i="12"/>
  <c r="L54" i="12" s="1"/>
  <c r="BU53" i="12"/>
  <c r="BS53" i="12"/>
  <c r="BR53" i="12"/>
  <c r="BQ53" i="12"/>
  <c r="BI53" i="12"/>
  <c r="Q53" i="12" s="1"/>
  <c r="BG53" i="12"/>
  <c r="BF53" i="12"/>
  <c r="BD53" i="12"/>
  <c r="BC53" i="12"/>
  <c r="BH53" i="12" s="1"/>
  <c r="S53" i="12" s="1"/>
  <c r="AL53" i="12"/>
  <c r="AI53" i="12"/>
  <c r="AH53" i="12"/>
  <c r="AG53" i="12"/>
  <c r="AE53" i="12"/>
  <c r="AD53" i="12"/>
  <c r="R53" i="12"/>
  <c r="P53" i="12"/>
  <c r="K53" i="12"/>
  <c r="L53" i="12" s="1"/>
  <c r="BU52" i="12"/>
  <c r="BS52" i="12"/>
  <c r="BR52" i="12"/>
  <c r="BQ52" i="12"/>
  <c r="BI52" i="12"/>
  <c r="Q52" i="12" s="1"/>
  <c r="BG52" i="12"/>
  <c r="BF52" i="12"/>
  <c r="BD52" i="12"/>
  <c r="BC52" i="12"/>
  <c r="BH52" i="12" s="1"/>
  <c r="S52" i="12" s="1"/>
  <c r="AL52" i="12"/>
  <c r="AI52" i="12"/>
  <c r="AH52" i="12"/>
  <c r="AG52" i="12"/>
  <c r="AE52" i="12"/>
  <c r="AD52" i="12"/>
  <c r="R52" i="12"/>
  <c r="P52" i="12"/>
  <c r="K52" i="12"/>
  <c r="L52" i="12" s="1"/>
  <c r="BU51" i="12"/>
  <c r="BS51" i="12"/>
  <c r="BR51" i="12"/>
  <c r="BQ51" i="12"/>
  <c r="BI51" i="12"/>
  <c r="Q51" i="12" s="1"/>
  <c r="BG51" i="12"/>
  <c r="BF51" i="12"/>
  <c r="BD51" i="12"/>
  <c r="BC51" i="12"/>
  <c r="BH51" i="12" s="1"/>
  <c r="S51" i="12" s="1"/>
  <c r="AL51" i="12"/>
  <c r="AI51" i="12"/>
  <c r="AH51" i="12"/>
  <c r="AG51" i="12"/>
  <c r="AE51" i="12"/>
  <c r="AD51" i="12"/>
  <c r="R51" i="12"/>
  <c r="P51" i="12"/>
  <c r="K51" i="12"/>
  <c r="L51" i="12" s="1"/>
  <c r="T12" i="12"/>
  <c r="AZ9" i="12"/>
  <c r="AL144" i="3"/>
  <c r="AK144" i="3"/>
  <c r="AJ144" i="3"/>
  <c r="AI144" i="3"/>
  <c r="AH144" i="3"/>
  <c r="AG144" i="3"/>
  <c r="AF144" i="3"/>
  <c r="AE144" i="3"/>
  <c r="AD144" i="3"/>
  <c r="AC144" i="3"/>
  <c r="AB144" i="3"/>
  <c r="AA144" i="3"/>
  <c r="Z144" i="3"/>
  <c r="Y144" i="3"/>
  <c r="X144" i="3"/>
  <c r="AL143" i="3"/>
  <c r="AK143" i="3"/>
  <c r="AJ143" i="3"/>
  <c r="AI143" i="3"/>
  <c r="AH143" i="3"/>
  <c r="AG143" i="3"/>
  <c r="AF143" i="3"/>
  <c r="AE143" i="3"/>
  <c r="AD143" i="3"/>
  <c r="AC143" i="3"/>
  <c r="AB143" i="3"/>
  <c r="AA143" i="3"/>
  <c r="Z143" i="3"/>
  <c r="Y143" i="3"/>
  <c r="X143" i="3"/>
  <c r="AL142" i="3"/>
  <c r="AK142" i="3"/>
  <c r="AJ142" i="3"/>
  <c r="AI142" i="3"/>
  <c r="AH142" i="3"/>
  <c r="AG142" i="3"/>
  <c r="AF142" i="3"/>
  <c r="AE142" i="3"/>
  <c r="AD142" i="3"/>
  <c r="AC142" i="3"/>
  <c r="AB142" i="3"/>
  <c r="AA142" i="3"/>
  <c r="Z142" i="3"/>
  <c r="Y142" i="3"/>
  <c r="X142" i="3"/>
  <c r="AL141" i="3"/>
  <c r="AK141" i="3"/>
  <c r="AJ141" i="3"/>
  <c r="AI141" i="3"/>
  <c r="AH141" i="3"/>
  <c r="AG141" i="3"/>
  <c r="AF141" i="3"/>
  <c r="AE141" i="3"/>
  <c r="AD141" i="3"/>
  <c r="AC141" i="3"/>
  <c r="AB141" i="3"/>
  <c r="AA141" i="3"/>
  <c r="Z141" i="3"/>
  <c r="Y141" i="3"/>
  <c r="X141" i="3"/>
  <c r="AL189" i="3"/>
  <c r="AL188" i="3"/>
  <c r="AL187" i="3"/>
  <c r="AL186" i="3"/>
  <c r="AK186" i="3"/>
  <c r="AJ186" i="3"/>
  <c r="AI186" i="3"/>
  <c r="AH186" i="3"/>
  <c r="AG186" i="3"/>
  <c r="AF186" i="3"/>
  <c r="AE186" i="3"/>
  <c r="AD186" i="3"/>
  <c r="AC186" i="3"/>
  <c r="AB186" i="3"/>
  <c r="AA186" i="3"/>
  <c r="Z186" i="3"/>
  <c r="Y186" i="3"/>
  <c r="X186" i="3"/>
  <c r="AK187" i="3"/>
  <c r="AJ187" i="3"/>
  <c r="AI187" i="3"/>
  <c r="AH187" i="3"/>
  <c r="AG187" i="3"/>
  <c r="AF187" i="3"/>
  <c r="AE187" i="3"/>
  <c r="AD187" i="3"/>
  <c r="AC187" i="3"/>
  <c r="AB187" i="3"/>
  <c r="AA187" i="3"/>
  <c r="Z187" i="3"/>
  <c r="Y187" i="3"/>
  <c r="X187" i="3"/>
  <c r="AK188" i="3"/>
  <c r="AJ188" i="3"/>
  <c r="AI188" i="3"/>
  <c r="AH188" i="3"/>
  <c r="AG188" i="3"/>
  <c r="AF188" i="3"/>
  <c r="AE188" i="3"/>
  <c r="AD188" i="3"/>
  <c r="AC188" i="3"/>
  <c r="AB188" i="3"/>
  <c r="AA188" i="3"/>
  <c r="Z188" i="3"/>
  <c r="Y188" i="3"/>
  <c r="X188" i="3"/>
  <c r="AK189" i="3"/>
  <c r="AJ189" i="3"/>
  <c r="AI189" i="3"/>
  <c r="AH189" i="3"/>
  <c r="AG189" i="3"/>
  <c r="AF189" i="3"/>
  <c r="AE189" i="3"/>
  <c r="AD189" i="3"/>
  <c r="AC189" i="3"/>
  <c r="AB189" i="3"/>
  <c r="AA189" i="3"/>
  <c r="Z189" i="3"/>
  <c r="Y189" i="3"/>
  <c r="X189" i="3"/>
  <c r="X67" i="12" l="1"/>
  <c r="X51" i="12"/>
  <c r="X55" i="12"/>
  <c r="X57" i="12"/>
  <c r="X63" i="12"/>
  <c r="X65" i="12"/>
  <c r="X69" i="12"/>
  <c r="AB69" i="12" s="1"/>
  <c r="X52" i="12"/>
  <c r="X54" i="12"/>
  <c r="AB54" i="12" s="1"/>
  <c r="X56" i="12"/>
  <c r="X58" i="12"/>
  <c r="X60" i="12"/>
  <c r="X62" i="12"/>
  <c r="X64" i="12"/>
  <c r="W64" i="12"/>
  <c r="X66" i="12"/>
  <c r="X68" i="12"/>
  <c r="X70" i="12"/>
  <c r="X53" i="12"/>
  <c r="AB53" i="12" s="1"/>
  <c r="X59" i="12"/>
  <c r="X61" i="12"/>
  <c r="AB61" i="12" s="1"/>
  <c r="G57" i="1"/>
  <c r="H57" i="1" s="1"/>
  <c r="P30" i="1"/>
  <c r="Q27" i="1"/>
  <c r="G50" i="1"/>
  <c r="H50" i="1" s="1"/>
  <c r="H58" i="1"/>
  <c r="AB51" i="12"/>
  <c r="AB55" i="12"/>
  <c r="AB59" i="12"/>
  <c r="AB63" i="12"/>
  <c r="BB61" i="12"/>
  <c r="BB12" i="12"/>
  <c r="AB67" i="12"/>
  <c r="AB57" i="12"/>
  <c r="AB65" i="12"/>
  <c r="AB58" i="12"/>
  <c r="AB62" i="12"/>
  <c r="AB66" i="12"/>
  <c r="AB70" i="12"/>
  <c r="AB52" i="12"/>
  <c r="AB56" i="12"/>
  <c r="AB60" i="12"/>
  <c r="AB64" i="12"/>
  <c r="AB68" i="12"/>
  <c r="N51" i="12"/>
  <c r="W51" i="12" s="1"/>
  <c r="N70" i="12"/>
  <c r="W70" i="12" s="1"/>
  <c r="BT51" i="12"/>
  <c r="N52" i="12"/>
  <c r="BT66" i="12"/>
  <c r="N57" i="12"/>
  <c r="BT59" i="12"/>
  <c r="BT61" i="12"/>
  <c r="O62" i="12"/>
  <c r="BT70" i="12"/>
  <c r="BT57" i="12"/>
  <c r="N58" i="12"/>
  <c r="W58" i="12" s="1"/>
  <c r="N53" i="12"/>
  <c r="W53" i="12" s="1"/>
  <c r="N60" i="12"/>
  <c r="BT53" i="12"/>
  <c r="N54" i="12"/>
  <c r="BT55" i="12"/>
  <c r="N59" i="12"/>
  <c r="BT62" i="12"/>
  <c r="O63" i="12"/>
  <c r="BA51" i="12"/>
  <c r="N66" i="12"/>
  <c r="W66" i="12" s="1"/>
  <c r="O66" i="12"/>
  <c r="BA52" i="12"/>
  <c r="BT52" i="12"/>
  <c r="BT54" i="12"/>
  <c r="BT56" i="12"/>
  <c r="BT58" i="12"/>
  <c r="BT60" i="12"/>
  <c r="O61" i="12"/>
  <c r="O70" i="12"/>
  <c r="BA53" i="12"/>
  <c r="AZ54" i="12"/>
  <c r="O56" i="12"/>
  <c r="O51" i="12"/>
  <c r="BB51" i="12"/>
  <c r="O52" i="12"/>
  <c r="W52" i="12" s="1"/>
  <c r="BB52" i="12"/>
  <c r="O53" i="12"/>
  <c r="BA54" i="12"/>
  <c r="AZ55" i="12"/>
  <c r="BA57" i="12"/>
  <c r="BA59" i="12"/>
  <c r="BB62" i="12"/>
  <c r="N63" i="12"/>
  <c r="W63" i="12" s="1"/>
  <c r="N64" i="12"/>
  <c r="O64" i="12"/>
  <c r="BB67" i="12"/>
  <c r="O55" i="12"/>
  <c r="BB63" i="12"/>
  <c r="N55" i="12"/>
  <c r="BA55" i="12"/>
  <c r="N56" i="12"/>
  <c r="W56" i="12" s="1"/>
  <c r="N62" i="12"/>
  <c r="N65" i="12"/>
  <c r="W65" i="12" s="1"/>
  <c r="O65" i="12"/>
  <c r="N68" i="12"/>
  <c r="W68" i="12" s="1"/>
  <c r="O68" i="12"/>
  <c r="BA70" i="12"/>
  <c r="BA69" i="12"/>
  <c r="BA68" i="12"/>
  <c r="BA67" i="12"/>
  <c r="BA66" i="12"/>
  <c r="BA65" i="12"/>
  <c r="BA64" i="12"/>
  <c r="AZ70" i="12"/>
  <c r="AZ69" i="12"/>
  <c r="AZ68" i="12"/>
  <c r="AZ67" i="12"/>
  <c r="AZ66" i="12"/>
  <c r="AZ65" i="12"/>
  <c r="AZ64" i="12"/>
  <c r="AZ63" i="12"/>
  <c r="AZ62" i="12"/>
  <c r="AZ61" i="12"/>
  <c r="AZ60" i="12"/>
  <c r="BB68" i="12"/>
  <c r="BB64" i="12"/>
  <c r="BA63" i="12"/>
  <c r="BA62" i="12"/>
  <c r="BA61" i="12"/>
  <c r="BA60" i="12"/>
  <c r="AZ59" i="12"/>
  <c r="AZ58" i="12"/>
  <c r="AZ57" i="12"/>
  <c r="AZ56" i="12"/>
  <c r="BB69" i="12"/>
  <c r="BB65" i="12"/>
  <c r="BB70" i="12"/>
  <c r="BB66" i="12"/>
  <c r="BB59" i="12"/>
  <c r="BB58" i="12"/>
  <c r="BB57" i="12"/>
  <c r="BB56" i="12"/>
  <c r="BB55" i="12"/>
  <c r="BB54" i="12"/>
  <c r="BB53" i="12"/>
  <c r="AZ51" i="12"/>
  <c r="AZ52" i="12"/>
  <c r="AZ53" i="12"/>
  <c r="O54" i="12"/>
  <c r="BA56" i="12"/>
  <c r="BA58" i="12"/>
  <c r="BB60" i="12"/>
  <c r="N61" i="12"/>
  <c r="W61" i="12" s="1"/>
  <c r="N67" i="12"/>
  <c r="W67" i="12" s="1"/>
  <c r="O67" i="12"/>
  <c r="N69" i="12"/>
  <c r="O69" i="12"/>
  <c r="O57" i="12"/>
  <c r="W57" i="12" s="1"/>
  <c r="O58" i="12"/>
  <c r="O59" i="12"/>
  <c r="O60" i="12"/>
  <c r="W60" i="12" s="1"/>
  <c r="BT65" i="12"/>
  <c r="BT69" i="12"/>
  <c r="BT64" i="12"/>
  <c r="BT68" i="12"/>
  <c r="BT63" i="12"/>
  <c r="BT67" i="12"/>
  <c r="W54" i="12" l="1"/>
  <c r="W55" i="12"/>
  <c r="W69" i="12"/>
  <c r="W62" i="12"/>
  <c r="W59" i="12"/>
  <c r="Y61" i="12"/>
  <c r="Y53" i="12"/>
  <c r="Y68" i="12"/>
  <c r="AA68" i="12" s="1"/>
  <c r="Y64" i="12"/>
  <c r="AA64" i="12" s="1"/>
  <c r="Y60" i="12"/>
  <c r="Y56" i="12"/>
  <c r="AA56" i="12" s="1"/>
  <c r="Y52" i="12"/>
  <c r="AA52" i="12" s="1"/>
  <c r="Y65" i="12"/>
  <c r="Y57" i="12"/>
  <c r="AA57" i="12" s="1"/>
  <c r="Y51" i="12"/>
  <c r="Y70" i="12"/>
  <c r="AA70" i="12" s="1"/>
  <c r="Y66" i="12"/>
  <c r="AA66" i="12" s="1"/>
  <c r="Y59" i="12"/>
  <c r="Y62" i="12"/>
  <c r="Y58" i="12"/>
  <c r="AA58" i="12" s="1"/>
  <c r="Y54" i="12"/>
  <c r="AA54" i="12" s="1"/>
  <c r="Y69" i="12"/>
  <c r="Y63" i="12"/>
  <c r="AA63" i="12" s="1"/>
  <c r="Y55" i="12"/>
  <c r="Y67" i="12"/>
  <c r="AA67" i="12" s="1"/>
  <c r="G58" i="1"/>
  <c r="AA62" i="12"/>
  <c r="AA59" i="12"/>
  <c r="AA60" i="12"/>
  <c r="AA61" i="12"/>
  <c r="AA53" i="12"/>
  <c r="AA51" i="12"/>
  <c r="AA69" i="12"/>
  <c r="AA65" i="12"/>
  <c r="AA55" i="12"/>
  <c r="BL67" i="12" l="1"/>
  <c r="BJ67" i="12"/>
  <c r="BM67" i="12" s="1"/>
  <c r="BN67" i="12" s="1"/>
  <c r="AF67" i="12"/>
  <c r="AQ67" i="12" s="1"/>
  <c r="BK67" i="12"/>
  <c r="BL68" i="12"/>
  <c r="BK68" i="12"/>
  <c r="AF68" i="12"/>
  <c r="AQ68" i="12" s="1"/>
  <c r="BJ68" i="12"/>
  <c r="BM68" i="12" s="1"/>
  <c r="BN68" i="12" s="1"/>
  <c r="BL69" i="12"/>
  <c r="BK69" i="12"/>
  <c r="AF69" i="12"/>
  <c r="AQ69" i="12" s="1"/>
  <c r="BJ69" i="12"/>
  <c r="BM69" i="12" s="1"/>
  <c r="BN69" i="12" s="1"/>
  <c r="BL52" i="12"/>
  <c r="BK52" i="12"/>
  <c r="BJ52" i="12"/>
  <c r="BM52" i="12" s="1"/>
  <c r="BN52" i="12" s="1"/>
  <c r="AF52" i="12"/>
  <c r="AQ52" i="12" s="1"/>
  <c r="BL51" i="12"/>
  <c r="BK51" i="12"/>
  <c r="BJ51" i="12"/>
  <c r="BM51" i="12" s="1"/>
  <c r="BN51" i="12" s="1"/>
  <c r="AF51" i="12"/>
  <c r="AQ51" i="12" s="1"/>
  <c r="BL62" i="12"/>
  <c r="BJ62" i="12"/>
  <c r="BM62" i="12" s="1"/>
  <c r="BN62" i="12" s="1"/>
  <c r="AF62" i="12"/>
  <c r="AQ62" i="12" s="1"/>
  <c r="BK62" i="12"/>
  <c r="BJ53" i="12"/>
  <c r="BM53" i="12" s="1"/>
  <c r="BN53" i="12" s="1"/>
  <c r="BL53" i="12"/>
  <c r="AF53" i="12"/>
  <c r="AQ53" i="12" s="1"/>
  <c r="BK53" i="12"/>
  <c r="BL61" i="12"/>
  <c r="BJ61" i="12"/>
  <c r="BM61" i="12" s="1"/>
  <c r="BN61" i="12" s="1"/>
  <c r="AF61" i="12"/>
  <c r="AQ61" i="12" s="1"/>
  <c r="BK61" i="12"/>
  <c r="BL58" i="12"/>
  <c r="BK58" i="12"/>
  <c r="BJ58" i="12"/>
  <c r="BM58" i="12" s="1"/>
  <c r="BN58" i="12" s="1"/>
  <c r="AF58" i="12"/>
  <c r="AQ58" i="12" s="1"/>
  <c r="BL57" i="12"/>
  <c r="BK57" i="12"/>
  <c r="BJ57" i="12"/>
  <c r="BM57" i="12" s="1"/>
  <c r="BN57" i="12" s="1"/>
  <c r="AF57" i="12"/>
  <c r="AQ57" i="12" s="1"/>
  <c r="BL63" i="12"/>
  <c r="BJ63" i="12"/>
  <c r="BM63" i="12" s="1"/>
  <c r="BN63" i="12" s="1"/>
  <c r="AF63" i="12"/>
  <c r="AQ63" i="12" s="1"/>
  <c r="BK63" i="12"/>
  <c r="BJ55" i="12"/>
  <c r="BM55" i="12" s="1"/>
  <c r="BN55" i="12" s="1"/>
  <c r="AF55" i="12"/>
  <c r="AQ55" i="12" s="1"/>
  <c r="BL55" i="12"/>
  <c r="BK55" i="12"/>
  <c r="BL59" i="12"/>
  <c r="BK59" i="12"/>
  <c r="BJ59" i="12"/>
  <c r="BM59" i="12" s="1"/>
  <c r="BN59" i="12" s="1"/>
  <c r="AF59" i="12"/>
  <c r="AQ59" i="12" s="1"/>
  <c r="BJ54" i="12"/>
  <c r="BM54" i="12" s="1"/>
  <c r="BN54" i="12" s="1"/>
  <c r="AF54" i="12"/>
  <c r="AQ54" i="12" s="1"/>
  <c r="BL54" i="12"/>
  <c r="BK54" i="12"/>
  <c r="BL56" i="12"/>
  <c r="BK56" i="12"/>
  <c r="BJ56" i="12"/>
  <c r="BM56" i="12" s="1"/>
  <c r="BN56" i="12" s="1"/>
  <c r="AF56" i="12"/>
  <c r="AQ56" i="12" s="1"/>
  <c r="BL60" i="12"/>
  <c r="BJ60" i="12"/>
  <c r="BM60" i="12" s="1"/>
  <c r="BN60" i="12" s="1"/>
  <c r="AF60" i="12"/>
  <c r="AQ60" i="12" s="1"/>
  <c r="BK60" i="12"/>
  <c r="BL66" i="12"/>
  <c r="BK66" i="12"/>
  <c r="AF66" i="12"/>
  <c r="AQ66" i="12" s="1"/>
  <c r="BJ66" i="12"/>
  <c r="BM66" i="12" s="1"/>
  <c r="BN66" i="12" s="1"/>
  <c r="BL70" i="12"/>
  <c r="BK70" i="12"/>
  <c r="AF70" i="12"/>
  <c r="AQ70" i="12" s="1"/>
  <c r="BJ70" i="12"/>
  <c r="BM70" i="12" s="1"/>
  <c r="BN70" i="12" s="1"/>
  <c r="BL65" i="12"/>
  <c r="BK65" i="12"/>
  <c r="AF65" i="12"/>
  <c r="AQ65" i="12" s="1"/>
  <c r="BJ65" i="12"/>
  <c r="BM65" i="12" s="1"/>
  <c r="BN65" i="12" s="1"/>
  <c r="BL64" i="12"/>
  <c r="BK64" i="12"/>
  <c r="AF64" i="12"/>
  <c r="AQ64" i="12" s="1"/>
  <c r="BJ64" i="12"/>
  <c r="BM64" i="12" s="1"/>
  <c r="BN64" i="12" s="1"/>
  <c r="AR64" i="12" l="1"/>
  <c r="AR65" i="12"/>
  <c r="AR55" i="12"/>
  <c r="AR53" i="12"/>
  <c r="AR59" i="12"/>
  <c r="AU70" i="12"/>
  <c r="AT68" i="12" l="1"/>
  <c r="AU68" i="12"/>
  <c r="AT66" i="12"/>
  <c r="AU66" i="12"/>
  <c r="AT63" i="12"/>
  <c r="AU63" i="12"/>
  <c r="AT56" i="12"/>
  <c r="AU56" i="12"/>
  <c r="AT61" i="12"/>
  <c r="AU61" i="12"/>
  <c r="AT51" i="12"/>
  <c r="AU51" i="12"/>
  <c r="AT69" i="12"/>
  <c r="AU69" i="12"/>
  <c r="AT55" i="12"/>
  <c r="AU55" i="12"/>
  <c r="AT52" i="12"/>
  <c r="AU52" i="12"/>
  <c r="AT57" i="12"/>
  <c r="AU57" i="12"/>
  <c r="AT54" i="12"/>
  <c r="AU54" i="12"/>
  <c r="AT58" i="12"/>
  <c r="AU58" i="12"/>
  <c r="AT62" i="12"/>
  <c r="AU62" i="12"/>
  <c r="AT65" i="12"/>
  <c r="AU65" i="12"/>
  <c r="AT60" i="12"/>
  <c r="AU60" i="12"/>
  <c r="AT67" i="12"/>
  <c r="AU67" i="12"/>
  <c r="AT59" i="12"/>
  <c r="AU59" i="12"/>
  <c r="AT53" i="12"/>
  <c r="AU53" i="12"/>
  <c r="AT64" i="12"/>
  <c r="AU64" i="12"/>
  <c r="AR69" i="12"/>
  <c r="AR51" i="12"/>
  <c r="AR57" i="12"/>
  <c r="AR62" i="12"/>
  <c r="AR56" i="12"/>
  <c r="AR63" i="12"/>
  <c r="AR58" i="12"/>
  <c r="AR70" i="12"/>
  <c r="AT70" i="12"/>
  <c r="AR68" i="12"/>
  <c r="AR66" i="12"/>
  <c r="AR52" i="12"/>
  <c r="AR54" i="12"/>
  <c r="AR61" i="12"/>
  <c r="AR60" i="12"/>
  <c r="AR67" i="12"/>
  <c r="V127" i="3" l="1"/>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K24" i="12" l="1"/>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71" i="12"/>
  <c r="K72" i="12"/>
  <c r="K73" i="12"/>
  <c r="K74" i="12"/>
  <c r="K75" i="12"/>
  <c r="K76" i="12"/>
  <c r="K77" i="12"/>
  <c r="K78" i="12"/>
  <c r="K79" i="12"/>
  <c r="K80" i="12"/>
  <c r="K81" i="12"/>
  <c r="K82" i="12"/>
  <c r="K83" i="12"/>
  <c r="K84" i="12"/>
  <c r="K85" i="12"/>
  <c r="K86" i="12"/>
  <c r="K12" i="12"/>
  <c r="R24" i="12" l="1"/>
  <c r="R25" i="12"/>
  <c r="R26" i="12"/>
  <c r="R27" i="12"/>
  <c r="R28" i="12"/>
  <c r="R29" i="12"/>
  <c r="R30" i="12"/>
  <c r="R31" i="12"/>
  <c r="R32" i="12"/>
  <c r="R33" i="12"/>
  <c r="R34" i="12"/>
  <c r="R35" i="12"/>
  <c r="R36" i="12"/>
  <c r="R37" i="12"/>
  <c r="R38" i="12"/>
  <c r="R39" i="12"/>
  <c r="R40" i="12"/>
  <c r="R41" i="12"/>
  <c r="R42" i="12"/>
  <c r="R43" i="12"/>
  <c r="R44" i="12"/>
  <c r="R45" i="12"/>
  <c r="R46" i="12"/>
  <c r="R47" i="12"/>
  <c r="R48" i="12"/>
  <c r="R49" i="12"/>
  <c r="R50" i="12"/>
  <c r="R71" i="12"/>
  <c r="R72" i="12"/>
  <c r="R73" i="12"/>
  <c r="R74" i="12"/>
  <c r="R75" i="12"/>
  <c r="R76" i="12"/>
  <c r="R77" i="12"/>
  <c r="R78" i="12"/>
  <c r="R79" i="12"/>
  <c r="R80" i="12"/>
  <c r="R81" i="12"/>
  <c r="R82" i="12"/>
  <c r="R83" i="12"/>
  <c r="R84" i="12"/>
  <c r="R85" i="12"/>
  <c r="R86" i="12"/>
  <c r="BC13" i="12" l="1"/>
  <c r="BC14" i="12"/>
  <c r="BC15" i="12"/>
  <c r="BC16" i="12"/>
  <c r="BC17" i="12"/>
  <c r="BC18" i="12"/>
  <c r="BC19" i="12"/>
  <c r="BC20" i="12"/>
  <c r="BC21" i="12"/>
  <c r="BC22" i="12"/>
  <c r="BC23" i="12"/>
  <c r="BC24" i="12"/>
  <c r="BC25" i="12"/>
  <c r="BC26" i="12"/>
  <c r="BC27" i="12"/>
  <c r="BC28" i="12"/>
  <c r="BC29" i="12"/>
  <c r="BC30" i="12"/>
  <c r="BC31" i="12"/>
  <c r="BC32" i="12"/>
  <c r="BC33" i="12"/>
  <c r="BC34" i="12"/>
  <c r="BC35" i="12"/>
  <c r="BC36" i="12"/>
  <c r="BC37" i="12"/>
  <c r="BC38" i="12"/>
  <c r="BC39" i="12"/>
  <c r="BC40" i="12"/>
  <c r="BC41" i="12"/>
  <c r="BC42" i="12"/>
  <c r="BC43" i="12"/>
  <c r="BC44" i="12"/>
  <c r="BC45" i="12"/>
  <c r="BC46" i="12"/>
  <c r="BC47" i="12"/>
  <c r="BC48" i="12"/>
  <c r="BC49" i="12"/>
  <c r="BC50" i="12"/>
  <c r="BC71" i="12"/>
  <c r="BC72" i="12"/>
  <c r="BC73" i="12"/>
  <c r="BC74" i="12"/>
  <c r="BC75" i="12"/>
  <c r="BC76" i="12"/>
  <c r="BC77" i="12"/>
  <c r="BC78" i="12"/>
  <c r="BC79" i="12"/>
  <c r="BC80" i="12"/>
  <c r="BC81" i="12"/>
  <c r="BC82" i="12"/>
  <c r="BC83" i="12"/>
  <c r="BC84" i="12"/>
  <c r="BC85" i="12"/>
  <c r="BC86" i="12"/>
  <c r="BC12" i="12"/>
  <c r="R12" i="12" l="1"/>
  <c r="G10" i="3" l="1"/>
  <c r="H10" i="3"/>
  <c r="H11" i="3" s="1"/>
  <c r="G51" i="1" s="1"/>
  <c r="G11" i="3"/>
  <c r="G12" i="3"/>
  <c r="G52" i="1" s="1"/>
  <c r="H52" i="1" s="1"/>
  <c r="D22" i="3"/>
  <c r="C22" i="3"/>
  <c r="P31" i="1" l="1"/>
  <c r="P32" i="1" s="1"/>
  <c r="G53" i="1"/>
  <c r="G69" i="1" s="1"/>
  <c r="G72" i="1" s="1"/>
  <c r="H51" i="1"/>
  <c r="H12" i="3"/>
  <c r="BO62" i="12"/>
  <c r="BP62" i="12" s="1"/>
  <c r="BO51" i="12"/>
  <c r="BP51" i="12" s="1"/>
  <c r="BO59" i="12"/>
  <c r="BP59" i="12" s="1"/>
  <c r="BO56" i="12"/>
  <c r="BP56" i="12" s="1"/>
  <c r="BO69" i="12"/>
  <c r="BP69" i="12" s="1"/>
  <c r="BO70" i="12"/>
  <c r="BP70" i="12" s="1"/>
  <c r="BO65" i="12"/>
  <c r="BP65" i="12" s="1"/>
  <c r="BO63" i="12"/>
  <c r="BP63" i="12" s="1"/>
  <c r="BO57" i="12"/>
  <c r="BP57" i="12" s="1"/>
  <c r="BO66" i="12"/>
  <c r="BP66" i="12" s="1"/>
  <c r="BO61" i="12"/>
  <c r="BP61" i="12" s="1"/>
  <c r="BO53" i="12"/>
  <c r="BP53" i="12" s="1"/>
  <c r="BO58" i="12"/>
  <c r="BP58" i="12" s="1"/>
  <c r="BO54" i="12"/>
  <c r="BP54" i="12" s="1"/>
  <c r="BO67" i="12"/>
  <c r="BP67" i="12" s="1"/>
  <c r="BO60" i="12"/>
  <c r="BP60" i="12" s="1"/>
  <c r="BO68" i="12"/>
  <c r="BP68" i="12" s="1"/>
  <c r="BO55" i="12"/>
  <c r="BP55" i="12" s="1"/>
  <c r="BO52" i="12"/>
  <c r="BP52" i="12" s="1"/>
  <c r="BO64" i="12"/>
  <c r="BP64" i="12" s="1"/>
  <c r="E22" i="3"/>
  <c r="Q31" i="1" l="1"/>
  <c r="Q32" i="1" s="1"/>
  <c r="H53" i="1"/>
  <c r="H69" i="1" s="1"/>
  <c r="H72" i="1" s="1"/>
  <c r="Q10" i="1"/>
  <c r="Q11" i="1"/>
  <c r="Q13" i="1"/>
  <c r="Q14" i="1"/>
  <c r="AG24" i="12"/>
  <c r="AG25" i="12"/>
  <c r="AG26" i="12"/>
  <c r="AG27" i="12"/>
  <c r="AG28" i="12"/>
  <c r="AG29" i="12"/>
  <c r="AG30" i="12"/>
  <c r="AG31" i="12"/>
  <c r="AG32" i="12"/>
  <c r="AG33" i="12"/>
  <c r="AG34" i="12"/>
  <c r="AG35" i="12"/>
  <c r="AG36" i="12"/>
  <c r="AG37" i="12"/>
  <c r="AG38" i="12"/>
  <c r="AG39" i="12"/>
  <c r="AG40" i="12"/>
  <c r="AG41" i="12"/>
  <c r="AG42" i="12"/>
  <c r="AG43" i="12"/>
  <c r="AG44" i="12"/>
  <c r="AG45" i="12"/>
  <c r="AG46" i="12"/>
  <c r="AG47" i="12"/>
  <c r="AG48" i="12"/>
  <c r="AG49" i="12"/>
  <c r="AG50" i="12"/>
  <c r="AG71" i="12"/>
  <c r="AG72" i="12"/>
  <c r="AG73" i="12"/>
  <c r="AG74" i="12"/>
  <c r="AG75" i="12"/>
  <c r="AG76" i="12"/>
  <c r="AG77" i="12"/>
  <c r="AG78" i="12"/>
  <c r="AG79" i="12"/>
  <c r="AG80" i="12"/>
  <c r="AG81" i="12"/>
  <c r="AG82" i="12"/>
  <c r="AG83" i="12"/>
  <c r="AG84" i="12"/>
  <c r="AG85" i="12"/>
  <c r="AG86" i="12"/>
  <c r="H83" i="1" l="1"/>
  <c r="H84" i="1"/>
  <c r="BQ13" i="12"/>
  <c r="BR13" i="12"/>
  <c r="BS13" i="12"/>
  <c r="BU13" i="12"/>
  <c r="BQ14" i="12"/>
  <c r="BR14" i="12"/>
  <c r="BS14" i="12"/>
  <c r="BU14" i="12"/>
  <c r="BQ15" i="12"/>
  <c r="BR15" i="12"/>
  <c r="BS15" i="12"/>
  <c r="BU15" i="12"/>
  <c r="BQ16" i="12"/>
  <c r="BR16" i="12"/>
  <c r="BS16" i="12"/>
  <c r="BU16" i="12"/>
  <c r="BQ17" i="12"/>
  <c r="BR17" i="12"/>
  <c r="BS17" i="12"/>
  <c r="BU17" i="12"/>
  <c r="BQ18" i="12"/>
  <c r="BR18" i="12"/>
  <c r="BS18" i="12"/>
  <c r="BU18" i="12"/>
  <c r="BQ19" i="12"/>
  <c r="BR19" i="12"/>
  <c r="BS19" i="12"/>
  <c r="BU19" i="12"/>
  <c r="BQ20" i="12"/>
  <c r="BR20" i="12"/>
  <c r="BS20" i="12"/>
  <c r="BU20" i="12"/>
  <c r="BQ21" i="12"/>
  <c r="BR21" i="12"/>
  <c r="BS21" i="12"/>
  <c r="BU21" i="12"/>
  <c r="BQ22" i="12"/>
  <c r="BR22" i="12"/>
  <c r="BS22" i="12"/>
  <c r="BU22" i="12"/>
  <c r="BQ23" i="12"/>
  <c r="BR23" i="12"/>
  <c r="BS23" i="12"/>
  <c r="BU23" i="12"/>
  <c r="BQ24" i="12"/>
  <c r="BR24" i="12"/>
  <c r="BS24" i="12"/>
  <c r="BU24" i="12"/>
  <c r="BQ25" i="12"/>
  <c r="BR25" i="12"/>
  <c r="BS25" i="12"/>
  <c r="BU25" i="12"/>
  <c r="BQ26" i="12"/>
  <c r="BR26" i="12"/>
  <c r="BS26" i="12"/>
  <c r="BU26" i="12"/>
  <c r="BQ27" i="12"/>
  <c r="BR27" i="12"/>
  <c r="BS27" i="12"/>
  <c r="BU27" i="12"/>
  <c r="BQ28" i="12"/>
  <c r="BR28" i="12"/>
  <c r="BS28" i="12"/>
  <c r="BU28" i="12"/>
  <c r="BQ29" i="12"/>
  <c r="BR29" i="12"/>
  <c r="BS29" i="12"/>
  <c r="BU29" i="12"/>
  <c r="BQ30" i="12"/>
  <c r="BR30" i="12"/>
  <c r="BS30" i="12"/>
  <c r="BU30" i="12"/>
  <c r="BQ31" i="12"/>
  <c r="BR31" i="12"/>
  <c r="BS31" i="12"/>
  <c r="BU31" i="12"/>
  <c r="BQ32" i="12"/>
  <c r="BR32" i="12"/>
  <c r="BS32" i="12"/>
  <c r="BU32" i="12"/>
  <c r="BQ33" i="12"/>
  <c r="BR33" i="12"/>
  <c r="BS33" i="12"/>
  <c r="BU33" i="12"/>
  <c r="BQ34" i="12"/>
  <c r="BR34" i="12"/>
  <c r="BS34" i="12"/>
  <c r="BU34" i="12"/>
  <c r="BQ35" i="12"/>
  <c r="BR35" i="12"/>
  <c r="BS35" i="12"/>
  <c r="BU35" i="12"/>
  <c r="BQ36" i="12"/>
  <c r="BR36" i="12"/>
  <c r="BS36" i="12"/>
  <c r="BU36" i="12"/>
  <c r="BQ37" i="12"/>
  <c r="BR37" i="12"/>
  <c r="BS37" i="12"/>
  <c r="BU37" i="12"/>
  <c r="BQ38" i="12"/>
  <c r="BR38" i="12"/>
  <c r="BS38" i="12"/>
  <c r="BU38" i="12"/>
  <c r="BQ39" i="12"/>
  <c r="BR39" i="12"/>
  <c r="BS39" i="12"/>
  <c r="BU39" i="12"/>
  <c r="BQ40" i="12"/>
  <c r="BR40" i="12"/>
  <c r="BS40" i="12"/>
  <c r="BU40" i="12"/>
  <c r="BQ41" i="12"/>
  <c r="BR41" i="12"/>
  <c r="BS41" i="12"/>
  <c r="BU41" i="12"/>
  <c r="BQ42" i="12"/>
  <c r="BR42" i="12"/>
  <c r="BS42" i="12"/>
  <c r="BU42" i="12"/>
  <c r="BQ43" i="12"/>
  <c r="BR43" i="12"/>
  <c r="BS43" i="12"/>
  <c r="BU43" i="12"/>
  <c r="BQ44" i="12"/>
  <c r="BR44" i="12"/>
  <c r="BS44" i="12"/>
  <c r="BU44" i="12"/>
  <c r="BQ45" i="12"/>
  <c r="BR45" i="12"/>
  <c r="BS45" i="12"/>
  <c r="BU45" i="12"/>
  <c r="BQ46" i="12"/>
  <c r="BR46" i="12"/>
  <c r="BS46" i="12"/>
  <c r="BU46" i="12"/>
  <c r="BQ47" i="12"/>
  <c r="BR47" i="12"/>
  <c r="BS47" i="12"/>
  <c r="BU47" i="12"/>
  <c r="BQ48" i="12"/>
  <c r="BR48" i="12"/>
  <c r="BS48" i="12"/>
  <c r="BU48" i="12"/>
  <c r="BQ49" i="12"/>
  <c r="BR49" i="12"/>
  <c r="BS49" i="12"/>
  <c r="BU49" i="12"/>
  <c r="BQ50" i="12"/>
  <c r="BR50" i="12"/>
  <c r="BS50" i="12"/>
  <c r="BU50" i="12"/>
  <c r="BQ71" i="12"/>
  <c r="BR71" i="12"/>
  <c r="BS71" i="12"/>
  <c r="BU71" i="12"/>
  <c r="BQ72" i="12"/>
  <c r="BR72" i="12"/>
  <c r="BS72" i="12"/>
  <c r="BU72" i="12"/>
  <c r="BQ73" i="12"/>
  <c r="BR73" i="12"/>
  <c r="BS73" i="12"/>
  <c r="BU73" i="12"/>
  <c r="BQ74" i="12"/>
  <c r="BR74" i="12"/>
  <c r="BS74" i="12"/>
  <c r="BU74" i="12"/>
  <c r="BQ75" i="12"/>
  <c r="BR75" i="12"/>
  <c r="BS75" i="12"/>
  <c r="BU75" i="12"/>
  <c r="BQ76" i="12"/>
  <c r="BR76" i="12"/>
  <c r="BS76" i="12"/>
  <c r="BU76" i="12"/>
  <c r="BQ77" i="12"/>
  <c r="BR77" i="12"/>
  <c r="BS77" i="12"/>
  <c r="BU77" i="12"/>
  <c r="BQ78" i="12"/>
  <c r="BR78" i="12"/>
  <c r="BS78" i="12"/>
  <c r="BU78" i="12"/>
  <c r="BQ79" i="12"/>
  <c r="BR79" i="12"/>
  <c r="BS79" i="12"/>
  <c r="BU79" i="12"/>
  <c r="BQ80" i="12"/>
  <c r="BR80" i="12"/>
  <c r="BS80" i="12"/>
  <c r="BU80" i="12"/>
  <c r="BQ81" i="12"/>
  <c r="BR81" i="12"/>
  <c r="BS81" i="12"/>
  <c r="BU81" i="12"/>
  <c r="BQ82" i="12"/>
  <c r="BR82" i="12"/>
  <c r="BS82" i="12"/>
  <c r="BU82" i="12"/>
  <c r="BQ83" i="12"/>
  <c r="BR83" i="12"/>
  <c r="BS83" i="12"/>
  <c r="BU83" i="12"/>
  <c r="BQ84" i="12"/>
  <c r="BR84" i="12"/>
  <c r="BS84" i="12"/>
  <c r="BU84" i="12"/>
  <c r="BQ85" i="12"/>
  <c r="BR85" i="12"/>
  <c r="BS85" i="12"/>
  <c r="BU85" i="12"/>
  <c r="BQ86" i="12"/>
  <c r="BR86" i="12"/>
  <c r="BS86" i="12"/>
  <c r="BU86" i="12"/>
  <c r="BU12" i="12"/>
  <c r="BS12" i="12"/>
  <c r="BR12" i="12"/>
  <c r="BQ12" i="12"/>
  <c r="BT14" i="12" l="1"/>
  <c r="BT18" i="12"/>
  <c r="BT30" i="12"/>
  <c r="BT86" i="12"/>
  <c r="BT50" i="12"/>
  <c r="BT34" i="12"/>
  <c r="BT38" i="12"/>
  <c r="BT82" i="12"/>
  <c r="BT81" i="12"/>
  <c r="BT80" i="12"/>
  <c r="BT78" i="12"/>
  <c r="BT77" i="12"/>
  <c r="BT46" i="12"/>
  <c r="BT13" i="12"/>
  <c r="BT76" i="12"/>
  <c r="BT74" i="12"/>
  <c r="BT35" i="12"/>
  <c r="BT45" i="12"/>
  <c r="BT44" i="12"/>
  <c r="BT42" i="12"/>
  <c r="BT41" i="12"/>
  <c r="BT40" i="12"/>
  <c r="BT22" i="12"/>
  <c r="BT19" i="12"/>
  <c r="BT29" i="12"/>
  <c r="BT28" i="12"/>
  <c r="BT26" i="12"/>
  <c r="BT25" i="12"/>
  <c r="BT24" i="12"/>
  <c r="BT71" i="12"/>
  <c r="BT83" i="12"/>
  <c r="BT73" i="12"/>
  <c r="BT72" i="12"/>
  <c r="BT47" i="12"/>
  <c r="BT37" i="12"/>
  <c r="BT36" i="12"/>
  <c r="BT31" i="12"/>
  <c r="BT21" i="12"/>
  <c r="BT20" i="12"/>
  <c r="BT15" i="12"/>
  <c r="BT85" i="12"/>
  <c r="BT84" i="12"/>
  <c r="BT79" i="12"/>
  <c r="BT49" i="12"/>
  <c r="BT48" i="12"/>
  <c r="BT43" i="12"/>
  <c r="BT33" i="12"/>
  <c r="BT32" i="12"/>
  <c r="BT27" i="12"/>
  <c r="BT17" i="12"/>
  <c r="BT16" i="12"/>
  <c r="BT75" i="12"/>
  <c r="BT39" i="12"/>
  <c r="BT23" i="12"/>
  <c r="BT12" i="12"/>
  <c r="D147" i="12" l="1"/>
  <c r="C4" i="12"/>
  <c r="F7" i="3" l="1"/>
  <c r="F6" i="3"/>
  <c r="BF86" i="12" l="1"/>
  <c r="BF85" i="12"/>
  <c r="BF84" i="12"/>
  <c r="BF83" i="12"/>
  <c r="BF82" i="12"/>
  <c r="BF81" i="12"/>
  <c r="BF80" i="12"/>
  <c r="BF79" i="12"/>
  <c r="BF78" i="12"/>
  <c r="BF77" i="12"/>
  <c r="BF76" i="12"/>
  <c r="BF75" i="12"/>
  <c r="BF74" i="12"/>
  <c r="BF73" i="12"/>
  <c r="BF72" i="12"/>
  <c r="BF71" i="12"/>
  <c r="BF50" i="12"/>
  <c r="BF49" i="12"/>
  <c r="BF48" i="12"/>
  <c r="BF47" i="12"/>
  <c r="BF46" i="12"/>
  <c r="BF45" i="12"/>
  <c r="BF44" i="12"/>
  <c r="BF43" i="12"/>
  <c r="BF42" i="12"/>
  <c r="BF41" i="12"/>
  <c r="BF40" i="12"/>
  <c r="BF39" i="12"/>
  <c r="BF38" i="12"/>
  <c r="BF37" i="12"/>
  <c r="BF36" i="12"/>
  <c r="BF35" i="12"/>
  <c r="BF34" i="12"/>
  <c r="BF33" i="12"/>
  <c r="BF32" i="12"/>
  <c r="BF31" i="12"/>
  <c r="BF30" i="12"/>
  <c r="BF29" i="12"/>
  <c r="BF28" i="12"/>
  <c r="BF27" i="12"/>
  <c r="BF26" i="12"/>
  <c r="BF25" i="12"/>
  <c r="BF24" i="12"/>
  <c r="BF23" i="12"/>
  <c r="BF22" i="12"/>
  <c r="BF21" i="12"/>
  <c r="BF20" i="12"/>
  <c r="BF19" i="12"/>
  <c r="BF18" i="12"/>
  <c r="BF17" i="12"/>
  <c r="BF16" i="12"/>
  <c r="BF15" i="12"/>
  <c r="BF14" i="12"/>
  <c r="BF13" i="12"/>
  <c r="L85" i="12"/>
  <c r="P85" i="12"/>
  <c r="BH85" i="12"/>
  <c r="S85" i="12" s="1"/>
  <c r="BD85" i="12"/>
  <c r="BG85" i="12"/>
  <c r="BI85" i="12"/>
  <c r="Q85" i="12" s="1"/>
  <c r="BD12" i="12"/>
  <c r="P12" i="12" s="1"/>
  <c r="BI14" i="12"/>
  <c r="Q14" i="12" s="1"/>
  <c r="BG14" i="12"/>
  <c r="BH15" i="12"/>
  <c r="S15" i="12" s="1"/>
  <c r="BD15" i="12"/>
  <c r="P15" i="12" s="1"/>
  <c r="BD14" i="12"/>
  <c r="P14" i="12" s="1"/>
  <c r="C5" i="12"/>
  <c r="BD86" i="12"/>
  <c r="BD84" i="12"/>
  <c r="BD83" i="12"/>
  <c r="BD82" i="12"/>
  <c r="BD81" i="12"/>
  <c r="BD80" i="12"/>
  <c r="BD79" i="12"/>
  <c r="BD78" i="12"/>
  <c r="BD77" i="12"/>
  <c r="BD76" i="12"/>
  <c r="BD75" i="12"/>
  <c r="BD74" i="12"/>
  <c r="BD73" i="12"/>
  <c r="BD72" i="12"/>
  <c r="BD71" i="12"/>
  <c r="BD50" i="12"/>
  <c r="BD49" i="12"/>
  <c r="BD48" i="12"/>
  <c r="BD47" i="12"/>
  <c r="BD46" i="12"/>
  <c r="BD45" i="12"/>
  <c r="BD44" i="12"/>
  <c r="BD43" i="12"/>
  <c r="BD42" i="12"/>
  <c r="BD41" i="12"/>
  <c r="BD40" i="12"/>
  <c r="BD39" i="12"/>
  <c r="BD38" i="12"/>
  <c r="BD37" i="12"/>
  <c r="BD36" i="12"/>
  <c r="BD35" i="12"/>
  <c r="BD34" i="12"/>
  <c r="BD33" i="12"/>
  <c r="BD32" i="12"/>
  <c r="BD31" i="12"/>
  <c r="BD30" i="12"/>
  <c r="BD29" i="12"/>
  <c r="BD28" i="12"/>
  <c r="BD27" i="12"/>
  <c r="BD26" i="12"/>
  <c r="BD25" i="12"/>
  <c r="BD24" i="12"/>
  <c r="BD23" i="12"/>
  <c r="BD22" i="12"/>
  <c r="BD21" i="12"/>
  <c r="BD20" i="12"/>
  <c r="BD19" i="12"/>
  <c r="BD18" i="12"/>
  <c r="BD17" i="12"/>
  <c r="P17" i="12" s="1"/>
  <c r="BD16" i="12"/>
  <c r="P16" i="12" s="1"/>
  <c r="L86" i="12"/>
  <c r="L84" i="12"/>
  <c r="L83" i="12"/>
  <c r="L82" i="12"/>
  <c r="L81" i="12"/>
  <c r="L80" i="12"/>
  <c r="L79" i="12"/>
  <c r="L78" i="12"/>
  <c r="L77" i="12"/>
  <c r="L76" i="12"/>
  <c r="L75" i="12"/>
  <c r="L74" i="12"/>
  <c r="L73" i="12"/>
  <c r="L72" i="12"/>
  <c r="L7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BD13" i="12"/>
  <c r="P13" i="12" s="1"/>
  <c r="BH12" i="12"/>
  <c r="S12" i="12" s="1"/>
  <c r="BI80" i="12"/>
  <c r="Q80" i="12" s="1"/>
  <c r="BG80" i="12"/>
  <c r="BH80" i="12"/>
  <c r="S80" i="12" s="1"/>
  <c r="P80" i="12"/>
  <c r="BI79" i="12"/>
  <c r="Q79" i="12" s="1"/>
  <c r="BG79" i="12"/>
  <c r="BH79" i="12"/>
  <c r="S79" i="12" s="1"/>
  <c r="P79" i="12"/>
  <c r="BI78" i="12"/>
  <c r="Q78" i="12" s="1"/>
  <c r="BG78" i="12"/>
  <c r="BH78" i="12"/>
  <c r="S78" i="12" s="1"/>
  <c r="P78" i="12"/>
  <c r="BI77" i="12"/>
  <c r="Q77" i="12" s="1"/>
  <c r="BG77" i="12"/>
  <c r="BH77" i="12"/>
  <c r="S77" i="12" s="1"/>
  <c r="P77" i="12"/>
  <c r="BI76" i="12"/>
  <c r="Q76" i="12" s="1"/>
  <c r="BG76" i="12"/>
  <c r="BH76" i="12"/>
  <c r="S76" i="12" s="1"/>
  <c r="P76" i="12"/>
  <c r="BI86" i="12"/>
  <c r="Q86" i="12" s="1"/>
  <c r="BG86" i="12"/>
  <c r="BH86" i="12"/>
  <c r="S86" i="12" s="1"/>
  <c r="P86" i="12"/>
  <c r="BI84" i="12"/>
  <c r="Q84" i="12" s="1"/>
  <c r="BG84" i="12"/>
  <c r="BH84" i="12"/>
  <c r="S84" i="12" s="1"/>
  <c r="P84" i="12"/>
  <c r="BI83" i="12"/>
  <c r="Q83" i="12" s="1"/>
  <c r="BG83" i="12"/>
  <c r="BH83" i="12"/>
  <c r="S83" i="12" s="1"/>
  <c r="P83" i="12"/>
  <c r="BI82" i="12"/>
  <c r="Q82" i="12" s="1"/>
  <c r="BG82" i="12"/>
  <c r="BH82" i="12"/>
  <c r="S82" i="12" s="1"/>
  <c r="P82" i="12"/>
  <c r="BI81" i="12"/>
  <c r="Q81" i="12" s="1"/>
  <c r="BG81" i="12"/>
  <c r="BH81" i="12"/>
  <c r="S81" i="12" s="1"/>
  <c r="P81" i="12"/>
  <c r="BI75" i="12"/>
  <c r="Q75" i="12" s="1"/>
  <c r="BG75" i="12"/>
  <c r="BH75" i="12"/>
  <c r="S75" i="12" s="1"/>
  <c r="P75" i="12"/>
  <c r="BI74" i="12"/>
  <c r="Q74" i="12" s="1"/>
  <c r="BG74" i="12"/>
  <c r="BH74" i="12"/>
  <c r="S74" i="12" s="1"/>
  <c r="P74" i="12"/>
  <c r="BI73" i="12"/>
  <c r="Q73" i="12" s="1"/>
  <c r="BG73" i="12"/>
  <c r="BH73" i="12"/>
  <c r="S73" i="12" s="1"/>
  <c r="P73" i="12"/>
  <c r="BI72" i="12"/>
  <c r="Q72" i="12" s="1"/>
  <c r="BG72" i="12"/>
  <c r="BH72" i="12"/>
  <c r="S72" i="12" s="1"/>
  <c r="P72" i="12"/>
  <c r="BI71" i="12"/>
  <c r="Q71" i="12" s="1"/>
  <c r="BG71" i="12"/>
  <c r="BH71" i="12"/>
  <c r="S71" i="12" s="1"/>
  <c r="P71" i="12"/>
  <c r="BI50" i="12"/>
  <c r="Q50" i="12" s="1"/>
  <c r="BG50" i="12"/>
  <c r="BH50" i="12"/>
  <c r="S50" i="12" s="1"/>
  <c r="P50" i="12"/>
  <c r="BI49" i="12"/>
  <c r="Q49" i="12" s="1"/>
  <c r="BG49" i="12"/>
  <c r="BH49" i="12"/>
  <c r="S49" i="12" s="1"/>
  <c r="P49" i="12"/>
  <c r="BI48" i="12"/>
  <c r="Q48" i="12" s="1"/>
  <c r="BG48" i="12"/>
  <c r="BH48" i="12"/>
  <c r="S48" i="12" s="1"/>
  <c r="P48" i="12"/>
  <c r="BI47" i="12"/>
  <c r="Q47" i="12" s="1"/>
  <c r="BG47" i="12"/>
  <c r="BH47" i="12"/>
  <c r="S47" i="12" s="1"/>
  <c r="P47" i="12"/>
  <c r="BI46" i="12"/>
  <c r="Q46" i="12" s="1"/>
  <c r="BG46" i="12"/>
  <c r="BH46" i="12"/>
  <c r="S46" i="12" s="1"/>
  <c r="P46" i="12"/>
  <c r="BI45" i="12"/>
  <c r="Q45" i="12" s="1"/>
  <c r="BG45" i="12"/>
  <c r="BH45" i="12"/>
  <c r="S45" i="12" s="1"/>
  <c r="P45" i="12"/>
  <c r="BI44" i="12"/>
  <c r="Q44" i="12" s="1"/>
  <c r="BG44" i="12"/>
  <c r="BH44" i="12"/>
  <c r="S44" i="12" s="1"/>
  <c r="P44" i="12"/>
  <c r="BI43" i="12"/>
  <c r="Q43" i="12" s="1"/>
  <c r="BG43" i="12"/>
  <c r="BH43" i="12"/>
  <c r="S43" i="12" s="1"/>
  <c r="P43" i="12"/>
  <c r="BI42" i="12"/>
  <c r="Q42" i="12" s="1"/>
  <c r="BG42" i="12"/>
  <c r="BH42" i="12"/>
  <c r="S42" i="12" s="1"/>
  <c r="P42" i="12"/>
  <c r="BI41" i="12"/>
  <c r="Q41" i="12" s="1"/>
  <c r="BG41" i="12"/>
  <c r="BH41" i="12"/>
  <c r="S41" i="12" s="1"/>
  <c r="P41" i="12"/>
  <c r="BI40" i="12"/>
  <c r="Q40" i="12" s="1"/>
  <c r="BG40" i="12"/>
  <c r="BH40" i="12"/>
  <c r="S40" i="12" s="1"/>
  <c r="P40" i="12"/>
  <c r="BI39" i="12"/>
  <c r="Q39" i="12" s="1"/>
  <c r="BG39" i="12"/>
  <c r="BH39" i="12"/>
  <c r="S39" i="12" s="1"/>
  <c r="P39" i="12"/>
  <c r="BI38" i="12"/>
  <c r="Q38" i="12" s="1"/>
  <c r="BG38" i="12"/>
  <c r="BH38" i="12"/>
  <c r="S38" i="12" s="1"/>
  <c r="P38" i="12"/>
  <c r="BI37" i="12"/>
  <c r="Q37" i="12" s="1"/>
  <c r="BG37" i="12"/>
  <c r="BH37" i="12"/>
  <c r="S37" i="12" s="1"/>
  <c r="P37" i="12"/>
  <c r="BI36" i="12"/>
  <c r="Q36" i="12" s="1"/>
  <c r="BG36" i="12"/>
  <c r="BH36" i="12"/>
  <c r="S36" i="12" s="1"/>
  <c r="P36" i="12"/>
  <c r="BI35" i="12"/>
  <c r="Q35" i="12" s="1"/>
  <c r="BG35" i="12"/>
  <c r="BH35" i="12"/>
  <c r="S35" i="12" s="1"/>
  <c r="P35" i="12"/>
  <c r="BI34" i="12"/>
  <c r="Q34" i="12" s="1"/>
  <c r="BG34" i="12"/>
  <c r="BH34" i="12"/>
  <c r="S34" i="12" s="1"/>
  <c r="P34" i="12"/>
  <c r="BI33" i="12"/>
  <c r="Q33" i="12" s="1"/>
  <c r="BG33" i="12"/>
  <c r="BH33" i="12"/>
  <c r="S33" i="12" s="1"/>
  <c r="P33" i="12"/>
  <c r="BI32" i="12"/>
  <c r="Q32" i="12" s="1"/>
  <c r="BG32" i="12"/>
  <c r="BH32" i="12"/>
  <c r="S32" i="12" s="1"/>
  <c r="P32" i="12"/>
  <c r="BI31" i="12"/>
  <c r="Q31" i="12" s="1"/>
  <c r="BG31" i="12"/>
  <c r="BH31" i="12"/>
  <c r="S31" i="12" s="1"/>
  <c r="P31" i="12"/>
  <c r="BI30" i="12"/>
  <c r="Q30" i="12" s="1"/>
  <c r="BG30" i="12"/>
  <c r="BH30" i="12"/>
  <c r="S30" i="12" s="1"/>
  <c r="P30" i="12"/>
  <c r="BI29" i="12"/>
  <c r="Q29" i="12" s="1"/>
  <c r="BG29" i="12"/>
  <c r="BH29" i="12"/>
  <c r="S29" i="12" s="1"/>
  <c r="P29" i="12"/>
  <c r="BI28" i="12"/>
  <c r="Q28" i="12" s="1"/>
  <c r="BG28" i="12"/>
  <c r="BH28" i="12"/>
  <c r="S28" i="12" s="1"/>
  <c r="P28" i="12"/>
  <c r="BI27" i="12"/>
  <c r="Q27" i="12" s="1"/>
  <c r="BG27" i="12"/>
  <c r="BH27" i="12"/>
  <c r="S27" i="12" s="1"/>
  <c r="P27" i="12"/>
  <c r="BI26" i="12"/>
  <c r="Q26" i="12" s="1"/>
  <c r="BG26" i="12"/>
  <c r="BH26" i="12"/>
  <c r="S26" i="12" s="1"/>
  <c r="P26" i="12"/>
  <c r="BI25" i="12"/>
  <c r="Q25" i="12" s="1"/>
  <c r="BG25" i="12"/>
  <c r="BH25" i="12"/>
  <c r="S25" i="12" s="1"/>
  <c r="P25" i="12"/>
  <c r="BI24" i="12"/>
  <c r="Q24" i="12" s="1"/>
  <c r="BG24" i="12"/>
  <c r="BH24" i="12"/>
  <c r="S24" i="12" s="1"/>
  <c r="P24" i="12"/>
  <c r="BI23" i="12"/>
  <c r="Q23" i="12" s="1"/>
  <c r="BG23" i="12"/>
  <c r="O23" i="12" s="1"/>
  <c r="BH23" i="12"/>
  <c r="S23" i="12" s="1"/>
  <c r="BI22" i="12"/>
  <c r="Q22" i="12" s="1"/>
  <c r="BG22" i="12"/>
  <c r="O22" i="12" s="1"/>
  <c r="BH22" i="12"/>
  <c r="S22" i="12" s="1"/>
  <c r="BI21" i="12"/>
  <c r="Q21" i="12" s="1"/>
  <c r="BG21" i="12"/>
  <c r="O21" i="12" s="1"/>
  <c r="BH21" i="12"/>
  <c r="S21" i="12" s="1"/>
  <c r="BI20" i="12"/>
  <c r="Q20" i="12" s="1"/>
  <c r="BG20" i="12"/>
  <c r="O20" i="12" s="1"/>
  <c r="BH20" i="12"/>
  <c r="S20" i="12" s="1"/>
  <c r="BI19" i="12"/>
  <c r="Q19" i="12" s="1"/>
  <c r="BG19" i="12"/>
  <c r="O19" i="12" s="1"/>
  <c r="BH19" i="12"/>
  <c r="S19" i="12" s="1"/>
  <c r="BI18" i="12"/>
  <c r="Q18" i="12" s="1"/>
  <c r="BG18" i="12"/>
  <c r="O18" i="12" s="1"/>
  <c r="BH18" i="12"/>
  <c r="S18" i="12" s="1"/>
  <c r="BI17" i="12"/>
  <c r="Q17" i="12" s="1"/>
  <c r="BG17" i="12"/>
  <c r="BH17" i="12"/>
  <c r="S17" i="12" s="1"/>
  <c r="BI16" i="12"/>
  <c r="Q16" i="12" s="1"/>
  <c r="BG16" i="12"/>
  <c r="O16" i="12" s="1"/>
  <c r="BH16" i="12"/>
  <c r="S16" i="12" s="1"/>
  <c r="BI15" i="12"/>
  <c r="Q15" i="12" s="1"/>
  <c r="BG15" i="12"/>
  <c r="O15" i="12" s="1"/>
  <c r="BH14" i="12"/>
  <c r="S14" i="12" s="1"/>
  <c r="BI13" i="12"/>
  <c r="Q13" i="12" s="1"/>
  <c r="BG13" i="12"/>
  <c r="BG12" i="12"/>
  <c r="BH13" i="12"/>
  <c r="S13" i="12" s="1"/>
  <c r="BI12" i="12"/>
  <c r="Q12" i="12" s="1"/>
  <c r="W18" i="12" l="1"/>
  <c r="Y18" i="12"/>
  <c r="X29" i="12"/>
  <c r="AB29" i="12" s="1"/>
  <c r="X37" i="12"/>
  <c r="X45" i="12"/>
  <c r="X81" i="12"/>
  <c r="Y20" i="12"/>
  <c r="W20" i="12"/>
  <c r="AF20" i="12" s="1"/>
  <c r="X27" i="12"/>
  <c r="X31" i="12"/>
  <c r="X35" i="12"/>
  <c r="AB35" i="12" s="1"/>
  <c r="X39" i="12"/>
  <c r="AB39" i="12" s="1"/>
  <c r="X43" i="12"/>
  <c r="X47" i="12"/>
  <c r="X71" i="12"/>
  <c r="AB71" i="12" s="1"/>
  <c r="X75" i="12"/>
  <c r="AB75" i="12" s="1"/>
  <c r="X79" i="12"/>
  <c r="X83" i="12"/>
  <c r="W19" i="12"/>
  <c r="AF19" i="12" s="1"/>
  <c r="Y19" i="12"/>
  <c r="Y23" i="12"/>
  <c r="W23" i="12"/>
  <c r="AF23" i="12" s="1"/>
  <c r="X24" i="12"/>
  <c r="AB24" i="12" s="1"/>
  <c r="X28" i="12"/>
  <c r="X32" i="12"/>
  <c r="X36" i="12"/>
  <c r="AB36" i="12" s="1"/>
  <c r="X40" i="12"/>
  <c r="X44" i="12"/>
  <c r="X48" i="12"/>
  <c r="X72" i="12"/>
  <c r="X76" i="12"/>
  <c r="AB76" i="12" s="1"/>
  <c r="X80" i="12"/>
  <c r="X84" i="12"/>
  <c r="X85" i="12"/>
  <c r="X73" i="12"/>
  <c r="W22" i="12"/>
  <c r="Y22" i="12"/>
  <c r="AA22" i="12" s="1"/>
  <c r="X25" i="12"/>
  <c r="AB25" i="12" s="1"/>
  <c r="X33" i="12"/>
  <c r="X41" i="12"/>
  <c r="X49" i="12"/>
  <c r="X77" i="12"/>
  <c r="AB77" i="12" s="1"/>
  <c r="X86" i="12"/>
  <c r="W21" i="12"/>
  <c r="Y21" i="12"/>
  <c r="AA21" i="12" s="1"/>
  <c r="X26" i="12"/>
  <c r="X30" i="12"/>
  <c r="X34" i="12"/>
  <c r="X38" i="12"/>
  <c r="AB38" i="12" s="1"/>
  <c r="X42" i="12"/>
  <c r="X46" i="12"/>
  <c r="X50" i="12"/>
  <c r="X74" i="12"/>
  <c r="X78" i="12"/>
  <c r="AB78" i="12" s="1"/>
  <c r="X82" i="12"/>
  <c r="O14" i="12"/>
  <c r="AF21" i="12"/>
  <c r="N17" i="12"/>
  <c r="AB17" i="12"/>
  <c r="O17" i="12"/>
  <c r="AB14" i="12"/>
  <c r="N14" i="12"/>
  <c r="AB16" i="12"/>
  <c r="N16" i="12"/>
  <c r="AB15" i="12"/>
  <c r="N15" i="12"/>
  <c r="N13" i="12"/>
  <c r="AB13" i="12"/>
  <c r="O13" i="12"/>
  <c r="AA20" i="12"/>
  <c r="AA19" i="12"/>
  <c r="AA23" i="12"/>
  <c r="AA18" i="12"/>
  <c r="AF22" i="12"/>
  <c r="AB85" i="12"/>
  <c r="AB27" i="12"/>
  <c r="AB31" i="12"/>
  <c r="AB43" i="12"/>
  <c r="AB47" i="12"/>
  <c r="AB79" i="12"/>
  <c r="AB83" i="12"/>
  <c r="AB28" i="12"/>
  <c r="AB32" i="12"/>
  <c r="AB40" i="12"/>
  <c r="AB44" i="12"/>
  <c r="AB48" i="12"/>
  <c r="AB72" i="12"/>
  <c r="AB80" i="12"/>
  <c r="AB84" i="12"/>
  <c r="AB33" i="12"/>
  <c r="AB37" i="12"/>
  <c r="AB41" i="12"/>
  <c r="AB45" i="12"/>
  <c r="AB49" i="12"/>
  <c r="AB73" i="12"/>
  <c r="AB81" i="12"/>
  <c r="AB30" i="12"/>
  <c r="AB46" i="12"/>
  <c r="AB74" i="12"/>
  <c r="AB82" i="12"/>
  <c r="O24" i="12"/>
  <c r="N24" i="12"/>
  <c r="W24" i="12" s="1"/>
  <c r="N25" i="12"/>
  <c r="W25" i="12" s="1"/>
  <c r="O25" i="12"/>
  <c r="O26" i="12"/>
  <c r="N26" i="12"/>
  <c r="W26" i="12" s="1"/>
  <c r="N27" i="12"/>
  <c r="W27" i="12" s="1"/>
  <c r="O27" i="12"/>
  <c r="O28" i="12"/>
  <c r="N28" i="12"/>
  <c r="W28" i="12" s="1"/>
  <c r="N29" i="12"/>
  <c r="W29" i="12" s="1"/>
  <c r="O29" i="12"/>
  <c r="O30" i="12"/>
  <c r="N30" i="12"/>
  <c r="W30" i="12" s="1"/>
  <c r="N31" i="12"/>
  <c r="W31" i="12" s="1"/>
  <c r="O31" i="12"/>
  <c r="O32" i="12"/>
  <c r="N32" i="12"/>
  <c r="W32" i="12" s="1"/>
  <c r="N33" i="12"/>
  <c r="W33" i="12" s="1"/>
  <c r="O33" i="12"/>
  <c r="O34" i="12"/>
  <c r="N34" i="12"/>
  <c r="W34" i="12" s="1"/>
  <c r="N35" i="12"/>
  <c r="W35" i="12" s="1"/>
  <c r="O35" i="12"/>
  <c r="O36" i="12"/>
  <c r="N36" i="12"/>
  <c r="W36" i="12" s="1"/>
  <c r="N37" i="12"/>
  <c r="W37" i="12" s="1"/>
  <c r="O37" i="12"/>
  <c r="O38" i="12"/>
  <c r="N38" i="12"/>
  <c r="W38" i="12" s="1"/>
  <c r="N39" i="12"/>
  <c r="W39" i="12" s="1"/>
  <c r="O39" i="12"/>
  <c r="O40" i="12"/>
  <c r="N40" i="12"/>
  <c r="W40" i="12" s="1"/>
  <c r="N41" i="12"/>
  <c r="W41" i="12" s="1"/>
  <c r="O41" i="12"/>
  <c r="O42" i="12"/>
  <c r="N42" i="12"/>
  <c r="W42" i="12" s="1"/>
  <c r="N43" i="12"/>
  <c r="W43" i="12" s="1"/>
  <c r="O43" i="12"/>
  <c r="O44" i="12"/>
  <c r="N44" i="12"/>
  <c r="W44" i="12" s="1"/>
  <c r="N45" i="12"/>
  <c r="W45" i="12" s="1"/>
  <c r="O45" i="12"/>
  <c r="O46" i="12"/>
  <c r="N46" i="12"/>
  <c r="W46" i="12" s="1"/>
  <c r="N47" i="12"/>
  <c r="W47" i="12" s="1"/>
  <c r="O47" i="12"/>
  <c r="O48" i="12"/>
  <c r="N48" i="12"/>
  <c r="W48" i="12" s="1"/>
  <c r="N49" i="12"/>
  <c r="W49" i="12" s="1"/>
  <c r="O49" i="12"/>
  <c r="O50" i="12"/>
  <c r="N50" i="12"/>
  <c r="W50" i="12" s="1"/>
  <c r="N71" i="12"/>
  <c r="W71" i="12" s="1"/>
  <c r="O71" i="12"/>
  <c r="O72" i="12"/>
  <c r="N72" i="12"/>
  <c r="W72" i="12" s="1"/>
  <c r="N73" i="12"/>
  <c r="W73" i="12" s="1"/>
  <c r="O73" i="12"/>
  <c r="O74" i="12"/>
  <c r="N74" i="12"/>
  <c r="W74" i="12" s="1"/>
  <c r="N75" i="12"/>
  <c r="W75" i="12" s="1"/>
  <c r="O75" i="12"/>
  <c r="N81" i="12"/>
  <c r="O81" i="12"/>
  <c r="O82" i="12"/>
  <c r="N82" i="12"/>
  <c r="N83" i="12"/>
  <c r="W83" i="12" s="1"/>
  <c r="O83" i="12"/>
  <c r="O84" i="12"/>
  <c r="N84" i="12"/>
  <c r="O86" i="12"/>
  <c r="N86" i="12"/>
  <c r="W86" i="12" s="1"/>
  <c r="O76" i="12"/>
  <c r="N76" i="12"/>
  <c r="N77" i="12"/>
  <c r="O77" i="12"/>
  <c r="O78" i="12"/>
  <c r="W78" i="12" s="1"/>
  <c r="N78" i="12"/>
  <c r="N79" i="12"/>
  <c r="O79" i="12"/>
  <c r="O80" i="12"/>
  <c r="W80" i="12" s="1"/>
  <c r="N80" i="12"/>
  <c r="N85" i="12"/>
  <c r="O85" i="12"/>
  <c r="W85" i="12" s="1"/>
  <c r="AZ85" i="12"/>
  <c r="AZ84" i="12"/>
  <c r="BA30" i="12"/>
  <c r="BA28" i="12"/>
  <c r="AZ48" i="12"/>
  <c r="BB13" i="12"/>
  <c r="AZ43" i="12"/>
  <c r="AZ32" i="12"/>
  <c r="BA39" i="12"/>
  <c r="BA22" i="12"/>
  <c r="AZ35" i="12"/>
  <c r="AZ71" i="12"/>
  <c r="BA46" i="12"/>
  <c r="AZ40" i="12"/>
  <c r="AZ81" i="12"/>
  <c r="BA75" i="12"/>
  <c r="AZ26" i="12"/>
  <c r="BB76" i="12"/>
  <c r="AZ12" i="12"/>
  <c r="AZ21" i="12"/>
  <c r="BB23" i="12"/>
  <c r="BB26" i="12"/>
  <c r="AZ31" i="12"/>
  <c r="BA29" i="12"/>
  <c r="AZ39" i="12"/>
  <c r="AZ47" i="12"/>
  <c r="AZ75" i="12"/>
  <c r="BA38" i="12"/>
  <c r="BA74" i="12"/>
  <c r="AZ36" i="12"/>
  <c r="AZ44" i="12"/>
  <c r="AZ72" i="12"/>
  <c r="BB86" i="12"/>
  <c r="BA47" i="12"/>
  <c r="BA12" i="12"/>
  <c r="AZ30" i="12"/>
  <c r="BA77" i="12"/>
  <c r="BB77" i="12"/>
  <c r="BA31" i="12"/>
  <c r="BA13" i="12"/>
  <c r="BA14" i="12"/>
  <c r="BA15" i="12"/>
  <c r="BA16" i="12"/>
  <c r="BA17" i="12"/>
  <c r="BA18" i="12"/>
  <c r="BA19" i="12"/>
  <c r="BA20" i="12"/>
  <c r="BB21" i="12"/>
  <c r="AZ23" i="12"/>
  <c r="BA24" i="12"/>
  <c r="AZ33" i="12"/>
  <c r="AZ29" i="12"/>
  <c r="BB28" i="12"/>
  <c r="BA25" i="12"/>
  <c r="AZ37" i="12"/>
  <c r="AZ41" i="12"/>
  <c r="AZ45" i="12"/>
  <c r="AZ49" i="12"/>
  <c r="AZ73" i="12"/>
  <c r="AZ82" i="12"/>
  <c r="BA34" i="12"/>
  <c r="BA42" i="12"/>
  <c r="BA50" i="12"/>
  <c r="BA83" i="12"/>
  <c r="AZ34" i="12"/>
  <c r="AZ38" i="12"/>
  <c r="AZ42" i="12"/>
  <c r="AZ46" i="12"/>
  <c r="AZ50" i="12"/>
  <c r="AZ74" i="12"/>
  <c r="AZ83" i="12"/>
  <c r="BA35" i="12"/>
  <c r="BA43" i="12"/>
  <c r="BA71" i="12"/>
  <c r="BA84" i="12"/>
  <c r="AZ28" i="12"/>
  <c r="BA80" i="12"/>
  <c r="BB80" i="12"/>
  <c r="BA79" i="12"/>
  <c r="BB79" i="12"/>
  <c r="BB78" i="12"/>
  <c r="BB85" i="12"/>
  <c r="AZ13" i="12"/>
  <c r="AZ14" i="12"/>
  <c r="BB14" i="12"/>
  <c r="AZ15" i="12"/>
  <c r="BB15" i="12"/>
  <c r="AZ16" i="12"/>
  <c r="BB16" i="12"/>
  <c r="AZ17" i="12"/>
  <c r="BB17" i="12"/>
  <c r="AZ18" i="12"/>
  <c r="BB18" i="12"/>
  <c r="AZ19" i="12"/>
  <c r="BB19" i="12"/>
  <c r="AZ20" i="12"/>
  <c r="BB20" i="12"/>
  <c r="BA21" i="12"/>
  <c r="AZ22" i="12"/>
  <c r="BB22" i="12"/>
  <c r="BA23" i="12"/>
  <c r="AZ24" i="12"/>
  <c r="BB24" i="12"/>
  <c r="BA26" i="12"/>
  <c r="BA32" i="12"/>
  <c r="BB30" i="12"/>
  <c r="AZ27" i="12"/>
  <c r="AZ25" i="12"/>
  <c r="BB32" i="12"/>
  <c r="BA27" i="12"/>
  <c r="BB34" i="12"/>
  <c r="BB36" i="12"/>
  <c r="BB38" i="12"/>
  <c r="BB40" i="12"/>
  <c r="BB42" i="12"/>
  <c r="BB44" i="12"/>
  <c r="BB46" i="12"/>
  <c r="BB48" i="12"/>
  <c r="BB50" i="12"/>
  <c r="BB72" i="12"/>
  <c r="BB74" i="12"/>
  <c r="BB81" i="12"/>
  <c r="BB83" i="12"/>
  <c r="AZ86" i="12"/>
  <c r="BA36" i="12"/>
  <c r="BA40" i="12"/>
  <c r="BA44" i="12"/>
  <c r="BA48" i="12"/>
  <c r="BA72" i="12"/>
  <c r="BA81" i="12"/>
  <c r="BB31" i="12"/>
  <c r="BB33" i="12"/>
  <c r="BB35" i="12"/>
  <c r="BB37" i="12"/>
  <c r="BB39" i="12"/>
  <c r="BB41" i="12"/>
  <c r="BB43" i="12"/>
  <c r="BB45" i="12"/>
  <c r="BB47" i="12"/>
  <c r="BB49" i="12"/>
  <c r="BB71" i="12"/>
  <c r="BB73" i="12"/>
  <c r="BB75" i="12"/>
  <c r="BB82" i="12"/>
  <c r="BB84" i="12"/>
  <c r="BA33" i="12"/>
  <c r="BA37" i="12"/>
  <c r="BA41" i="12"/>
  <c r="BA45" i="12"/>
  <c r="BA49" i="12"/>
  <c r="BA73" i="12"/>
  <c r="BA82" i="12"/>
  <c r="BA86" i="12"/>
  <c r="BB29" i="12"/>
  <c r="BB27" i="12"/>
  <c r="BB25" i="12"/>
  <c r="AZ79" i="12"/>
  <c r="AZ76" i="12"/>
  <c r="AZ78" i="12"/>
  <c r="BA76" i="12"/>
  <c r="BA78" i="12"/>
  <c r="AZ80" i="12"/>
  <c r="AZ77" i="12"/>
  <c r="BA85" i="12"/>
  <c r="Y42" i="12" l="1"/>
  <c r="Y26" i="12"/>
  <c r="W79" i="12"/>
  <c r="W77" i="12"/>
  <c r="W81" i="12"/>
  <c r="AB26" i="12"/>
  <c r="W76" i="12"/>
  <c r="W84" i="12"/>
  <c r="W82" i="12"/>
  <c r="AB42" i="12"/>
  <c r="Y50" i="12"/>
  <c r="Y34" i="12"/>
  <c r="Y86" i="12"/>
  <c r="AB86" i="12"/>
  <c r="W16" i="12"/>
  <c r="AD16" i="12" s="1"/>
  <c r="Y16" i="12"/>
  <c r="Y78" i="12"/>
  <c r="Y49" i="12"/>
  <c r="Y33" i="12"/>
  <c r="Y85" i="12"/>
  <c r="Y80" i="12"/>
  <c r="AA80" i="12" s="1"/>
  <c r="Y72" i="12"/>
  <c r="Y44" i="12"/>
  <c r="Y36" i="12"/>
  <c r="Y28" i="12"/>
  <c r="Y83" i="12"/>
  <c r="Y75" i="12"/>
  <c r="Y47" i="12"/>
  <c r="Y39" i="12"/>
  <c r="Y31" i="12"/>
  <c r="Y45" i="12"/>
  <c r="Y29" i="12"/>
  <c r="AB50" i="12"/>
  <c r="AB34" i="12"/>
  <c r="W13" i="12"/>
  <c r="Y13" i="12"/>
  <c r="Y82" i="12"/>
  <c r="Y74" i="12"/>
  <c r="Y38" i="12"/>
  <c r="W15" i="12"/>
  <c r="Y15" i="12"/>
  <c r="AA15" i="12" s="1"/>
  <c r="AA14" i="12"/>
  <c r="W14" i="12"/>
  <c r="AD14" i="12" s="1"/>
  <c r="Y14" i="12"/>
  <c r="W17" i="12"/>
  <c r="Y17" i="12"/>
  <c r="AA17" i="12" s="1"/>
  <c r="Y46" i="12"/>
  <c r="Y30" i="12"/>
  <c r="Y77" i="12"/>
  <c r="AA77" i="12" s="1"/>
  <c r="Y41" i="12"/>
  <c r="AA41" i="12" s="1"/>
  <c r="Y25" i="12"/>
  <c r="Y73" i="12"/>
  <c r="Y84" i="12"/>
  <c r="AA84" i="12" s="1"/>
  <c r="Y76" i="12"/>
  <c r="AA76" i="12" s="1"/>
  <c r="Y48" i="12"/>
  <c r="AA48" i="12" s="1"/>
  <c r="Y40" i="12"/>
  <c r="Y32" i="12"/>
  <c r="Y24" i="12"/>
  <c r="AA24" i="12" s="1"/>
  <c r="Y79" i="12"/>
  <c r="Y71" i="12"/>
  <c r="Y43" i="12"/>
  <c r="AA43" i="12" s="1"/>
  <c r="Y35" i="12"/>
  <c r="Y27" i="12"/>
  <c r="Y81" i="12"/>
  <c r="Y37" i="12"/>
  <c r="AA37" i="12" s="1"/>
  <c r="AA25" i="12"/>
  <c r="AA16" i="12"/>
  <c r="W5" i="12"/>
  <c r="AA50" i="12"/>
  <c r="AA42" i="12"/>
  <c r="AA34" i="12"/>
  <c r="AA26" i="12"/>
  <c r="AQ20" i="12"/>
  <c r="AU20" i="12" s="1"/>
  <c r="AE17" i="12"/>
  <c r="AA85" i="12"/>
  <c r="AA71" i="12"/>
  <c r="AA35" i="12"/>
  <c r="AA33" i="12"/>
  <c r="AA29" i="12"/>
  <c r="AF18" i="12"/>
  <c r="AE18" i="12"/>
  <c r="AD18" i="12"/>
  <c r="AF15" i="12"/>
  <c r="AD15" i="12"/>
  <c r="AE15" i="12"/>
  <c r="AF14" i="12"/>
  <c r="AE14" i="12"/>
  <c r="AF13" i="12"/>
  <c r="AA13" i="12"/>
  <c r="AQ19" i="12"/>
  <c r="AQ22" i="12"/>
  <c r="AQ23" i="12"/>
  <c r="AQ21" i="12"/>
  <c r="AA83" i="12"/>
  <c r="AA81" i="12"/>
  <c r="AA82" i="12"/>
  <c r="AA79" i="12"/>
  <c r="AA73" i="12"/>
  <c r="AA27" i="12"/>
  <c r="AA78" i="12"/>
  <c r="AA74" i="12"/>
  <c r="AA36" i="12"/>
  <c r="AA32" i="12"/>
  <c r="AA28" i="12"/>
  <c r="AA86" i="12"/>
  <c r="AA44" i="12"/>
  <c r="AA38" i="12"/>
  <c r="AA30" i="12"/>
  <c r="AA72" i="12"/>
  <c r="AA46" i="12"/>
  <c r="AA40" i="12"/>
  <c r="AA75" i="12"/>
  <c r="AA49" i="12"/>
  <c r="AA47" i="12"/>
  <c r="AA45" i="12"/>
  <c r="AA39" i="12"/>
  <c r="AA31" i="12"/>
  <c r="AE73" i="12"/>
  <c r="AD73" i="12"/>
  <c r="L12" i="12"/>
  <c r="AT20" i="12" l="1"/>
  <c r="AR20" i="12"/>
  <c r="AF16" i="12"/>
  <c r="AF17" i="12"/>
  <c r="AE16" i="12"/>
  <c r="AD17" i="12"/>
  <c r="AE13" i="12"/>
  <c r="AD13" i="12"/>
  <c r="AT23" i="12"/>
  <c r="AU23" i="12"/>
  <c r="AR23" i="12"/>
  <c r="AT21" i="12"/>
  <c r="AU21" i="12"/>
  <c r="AR21" i="12"/>
  <c r="AR22" i="12"/>
  <c r="AT22" i="12"/>
  <c r="AU22" i="12"/>
  <c r="AT19" i="12"/>
  <c r="AU19" i="12"/>
  <c r="AR19" i="12"/>
  <c r="X12" i="12"/>
  <c r="L11" i="12"/>
  <c r="O12" i="12"/>
  <c r="N12" i="12"/>
  <c r="W12" i="12" s="1"/>
  <c r="AD83" i="12"/>
  <c r="AE83" i="12"/>
  <c r="AE25" i="12"/>
  <c r="AD25" i="12"/>
  <c r="AD40" i="12"/>
  <c r="AE40" i="12"/>
  <c r="AD47" i="12"/>
  <c r="AE47" i="12"/>
  <c r="AD36" i="12"/>
  <c r="AE36" i="12"/>
  <c r="AE75" i="12"/>
  <c r="AD75" i="12"/>
  <c r="AD32" i="12"/>
  <c r="AE32" i="12"/>
  <c r="AD44" i="12"/>
  <c r="AE44" i="12"/>
  <c r="AE37" i="12"/>
  <c r="AD37" i="12"/>
  <c r="AD85" i="12"/>
  <c r="AE85" i="12"/>
  <c r="AE50" i="12"/>
  <c r="AD50" i="12"/>
  <c r="AD46" i="12"/>
  <c r="AE46" i="12"/>
  <c r="AD48" i="12"/>
  <c r="AE48" i="12"/>
  <c r="AE81" i="12"/>
  <c r="AD81" i="12"/>
  <c r="AD71" i="12"/>
  <c r="AE71" i="12"/>
  <c r="AE43" i="12"/>
  <c r="AD43" i="12"/>
  <c r="AE41" i="12"/>
  <c r="AD41" i="12"/>
  <c r="AE45" i="12"/>
  <c r="AD45" i="12"/>
  <c r="AD35" i="12"/>
  <c r="AE35" i="12"/>
  <c r="AD79" i="12"/>
  <c r="AE79" i="12"/>
  <c r="AE86" i="12"/>
  <c r="AD86" i="12"/>
  <c r="AD78" i="12"/>
  <c r="AE78" i="12"/>
  <c r="AE82" i="12"/>
  <c r="AD82" i="12"/>
  <c r="AD27" i="12"/>
  <c r="AE27" i="12"/>
  <c r="AD24" i="12"/>
  <c r="AE24" i="12"/>
  <c r="AE77" i="12"/>
  <c r="AD77" i="12"/>
  <c r="AE33" i="12"/>
  <c r="AD33" i="12"/>
  <c r="AE49" i="12"/>
  <c r="AD49" i="12"/>
  <c r="AD39" i="12"/>
  <c r="AE39" i="12"/>
  <c r="AD80" i="12"/>
  <c r="AE80" i="12"/>
  <c r="AD28" i="12"/>
  <c r="AE28" i="12"/>
  <c r="AE38" i="12"/>
  <c r="AD38" i="12"/>
  <c r="AE26" i="12"/>
  <c r="AD26" i="12"/>
  <c r="AB12" i="12" l="1"/>
  <c r="Y12" i="12"/>
  <c r="BJ46" i="12"/>
  <c r="BM46" i="12" s="1"/>
  <c r="BN46" i="12" s="1"/>
  <c r="BJ31" i="12"/>
  <c r="BM31" i="12" s="1"/>
  <c r="BN31" i="12" s="1"/>
  <c r="AE31" i="12"/>
  <c r="AD31" i="12"/>
  <c r="AD74" i="12"/>
  <c r="AE74" i="12"/>
  <c r="AL46" i="12"/>
  <c r="AI46" i="12"/>
  <c r="AD84" i="12"/>
  <c r="AE84" i="12"/>
  <c r="AL24" i="12"/>
  <c r="AI24" i="12"/>
  <c r="AE29" i="12"/>
  <c r="AD29" i="12"/>
  <c r="AE30" i="12"/>
  <c r="AD30" i="12"/>
  <c r="AD42" i="12"/>
  <c r="AE42" i="12"/>
  <c r="AE34" i="12"/>
  <c r="AD34" i="12"/>
  <c r="AD76" i="12"/>
  <c r="AE76" i="12"/>
  <c r="AD72" i="12"/>
  <c r="AE72" i="12"/>
  <c r="BK26" i="12"/>
  <c r="BL44" i="12"/>
  <c r="BJ38" i="12"/>
  <c r="BM38" i="12" s="1"/>
  <c r="BN38" i="12" s="1"/>
  <c r="BL71" i="12"/>
  <c r="AF50" i="12"/>
  <c r="BL46" i="12"/>
  <c r="BJ45" i="12"/>
  <c r="BM45" i="12" s="1"/>
  <c r="BN45" i="12" s="1"/>
  <c r="BK46" i="12"/>
  <c r="AF46" i="12"/>
  <c r="BL86" i="12"/>
  <c r="BL23" i="12"/>
  <c r="AF42" i="12"/>
  <c r="BK73" i="12"/>
  <c r="BL31" i="12"/>
  <c r="BK47" i="12"/>
  <c r="AF41" i="12"/>
  <c r="AF31" i="12"/>
  <c r="BJ28" i="12"/>
  <c r="BM28" i="12" s="1"/>
  <c r="BN28" i="12" s="1"/>
  <c r="BL29" i="12"/>
  <c r="AF34" i="12"/>
  <c r="BK31" i="12"/>
  <c r="BL19" i="12"/>
  <c r="BL25" i="12"/>
  <c r="BK74" i="12"/>
  <c r="BK76" i="12"/>
  <c r="BL26" i="12"/>
  <c r="AF26" i="12"/>
  <c r="BJ26" i="12"/>
  <c r="BM26" i="12" s="1"/>
  <c r="BN26" i="12" s="1"/>
  <c r="AA12" i="12" l="1"/>
  <c r="AD12" i="12"/>
  <c r="AF12" i="12"/>
  <c r="AE12" i="12"/>
  <c r="BO31" i="12"/>
  <c r="BP31" i="12" s="1"/>
  <c r="BO46" i="12"/>
  <c r="BP46" i="12" s="1"/>
  <c r="BL18" i="12"/>
  <c r="BK33" i="12"/>
  <c r="BK18" i="12"/>
  <c r="AF27" i="12"/>
  <c r="BK15" i="12"/>
  <c r="BK27" i="12"/>
  <c r="BJ18" i="12"/>
  <c r="BK40" i="12"/>
  <c r="BJ27" i="12"/>
  <c r="BM27" i="12" s="1"/>
  <c r="BN27" i="12" s="1"/>
  <c r="BJ82" i="12"/>
  <c r="BM82" i="12" s="1"/>
  <c r="BN82" i="12" s="1"/>
  <c r="BJ39" i="12"/>
  <c r="BM39" i="12" s="1"/>
  <c r="BN39" i="12" s="1"/>
  <c r="BJ33" i="12"/>
  <c r="BM33" i="12" s="1"/>
  <c r="BN33" i="12" s="1"/>
  <c r="BJ14" i="12"/>
  <c r="AF33" i="12"/>
  <c r="BL22" i="12"/>
  <c r="BL80" i="12"/>
  <c r="BL75" i="12"/>
  <c r="BL33" i="12"/>
  <c r="BK79" i="12"/>
  <c r="BJ83" i="12"/>
  <c r="BM83" i="12" s="1"/>
  <c r="BN83" i="12" s="1"/>
  <c r="BJ24" i="12"/>
  <c r="BM24" i="12" s="1"/>
  <c r="BN24" i="12" s="1"/>
  <c r="BL78" i="12"/>
  <c r="BK35" i="12"/>
  <c r="BK36" i="12"/>
  <c r="BL24" i="12"/>
  <c r="AF24" i="12"/>
  <c r="AQ24" i="12" s="1"/>
  <c r="BK24" i="12"/>
  <c r="BO38" i="12"/>
  <c r="AI38" i="12"/>
  <c r="AL38" i="12"/>
  <c r="AI83" i="12"/>
  <c r="AL83" i="12"/>
  <c r="AH24" i="12"/>
  <c r="AH46" i="12"/>
  <c r="AQ46" i="12" s="1"/>
  <c r="AI33" i="12"/>
  <c r="AL33" i="12"/>
  <c r="BO26" i="12"/>
  <c r="AI26" i="12"/>
  <c r="AL26" i="12"/>
  <c r="AI39" i="12"/>
  <c r="AL39" i="12"/>
  <c r="AI27" i="12"/>
  <c r="AL27" i="12"/>
  <c r="AH31" i="12"/>
  <c r="BO28" i="12"/>
  <c r="AL28" i="12"/>
  <c r="AI28" i="12"/>
  <c r="BO45" i="12"/>
  <c r="AI45" i="12"/>
  <c r="AL45" i="12"/>
  <c r="AI82" i="12"/>
  <c r="AL82" i="12"/>
  <c r="AI31" i="12"/>
  <c r="AL31" i="12"/>
  <c r="BL27" i="12"/>
  <c r="BK21" i="12"/>
  <c r="BJ71" i="12"/>
  <c r="BM71" i="12" s="1"/>
  <c r="BN71" i="12" s="1"/>
  <c r="BJ78" i="12"/>
  <c r="BM78" i="12" s="1"/>
  <c r="BN78" i="12" s="1"/>
  <c r="AF71" i="12"/>
  <c r="BL16" i="12"/>
  <c r="BL82" i="12"/>
  <c r="BL77" i="12"/>
  <c r="BK71" i="12"/>
  <c r="AF82" i="12"/>
  <c r="BK82" i="12"/>
  <c r="AF85" i="12"/>
  <c r="BJ79" i="12"/>
  <c r="BM79" i="12" s="1"/>
  <c r="BN79" i="12" s="1"/>
  <c r="AF45" i="12"/>
  <c r="BK50" i="12"/>
  <c r="BL83" i="12"/>
  <c r="BK48" i="12"/>
  <c r="BK14" i="12"/>
  <c r="BL14" i="12"/>
  <c r="BJ86" i="12"/>
  <c r="BM86" i="12" s="1"/>
  <c r="BN86" i="12" s="1"/>
  <c r="BK80" i="12"/>
  <c r="AF80" i="12"/>
  <c r="BL79" i="12"/>
  <c r="BK39" i="12"/>
  <c r="AF79" i="12"/>
  <c r="BJ80" i="12"/>
  <c r="BM80" i="12" s="1"/>
  <c r="BN80" i="12" s="1"/>
  <c r="AF44" i="12"/>
  <c r="BJ44" i="12"/>
  <c r="BM44" i="12" s="1"/>
  <c r="BN44" i="12" s="1"/>
  <c r="BK44" i="12"/>
  <c r="BL39" i="12"/>
  <c r="BJ17" i="12"/>
  <c r="AF78" i="12"/>
  <c r="BK83" i="12"/>
  <c r="BL45" i="12"/>
  <c r="BL38" i="12"/>
  <c r="BL50" i="12"/>
  <c r="BL35" i="12"/>
  <c r="BK78" i="12"/>
  <c r="AF83" i="12"/>
  <c r="BL17" i="12"/>
  <c r="BJ50" i="12"/>
  <c r="BM50" i="12" s="1"/>
  <c r="BN50" i="12" s="1"/>
  <c r="BJ35" i="12"/>
  <c r="BM35" i="12" s="1"/>
  <c r="BN35" i="12" s="1"/>
  <c r="AF35" i="12"/>
  <c r="BK45" i="12"/>
  <c r="AF38" i="12"/>
  <c r="BK38" i="12"/>
  <c r="BK16" i="12"/>
  <c r="AF36" i="12"/>
  <c r="AF86" i="12"/>
  <c r="AF39" i="12"/>
  <c r="BJ36" i="12"/>
  <c r="BM36" i="12" s="1"/>
  <c r="BN36" i="12" s="1"/>
  <c r="BL36" i="12"/>
  <c r="BK17" i="12"/>
  <c r="BJ22" i="12"/>
  <c r="BK22" i="12"/>
  <c r="BJ15" i="12"/>
  <c r="BK86" i="12"/>
  <c r="BK23" i="12"/>
  <c r="BK20" i="12"/>
  <c r="BJ20" i="12"/>
  <c r="BL20" i="12"/>
  <c r="BK29" i="12"/>
  <c r="BL15" i="12"/>
  <c r="BJ42" i="12"/>
  <c r="BM42" i="12" s="1"/>
  <c r="BN42" i="12" s="1"/>
  <c r="AF47" i="12"/>
  <c r="BJ23" i="12"/>
  <c r="BL47" i="12"/>
  <c r="BK42" i="12"/>
  <c r="AF73" i="12"/>
  <c r="BJ73" i="12"/>
  <c r="BM73" i="12" s="1"/>
  <c r="BN73" i="12" s="1"/>
  <c r="BJ47" i="12"/>
  <c r="BM47" i="12" s="1"/>
  <c r="BN47" i="12" s="1"/>
  <c r="BL73" i="12"/>
  <c r="BK41" i="12"/>
  <c r="BL40" i="12"/>
  <c r="BL42" i="12"/>
  <c r="BL34" i="12"/>
  <c r="BJ41" i="12"/>
  <c r="BM41" i="12" s="1"/>
  <c r="BN41" i="12" s="1"/>
  <c r="BL41" i="12"/>
  <c r="AF28" i="12"/>
  <c r="BK75" i="12"/>
  <c r="AF75" i="12"/>
  <c r="BJ29" i="12"/>
  <c r="BM29" i="12" s="1"/>
  <c r="BN29" i="12" s="1"/>
  <c r="BJ75" i="12"/>
  <c r="BM75" i="12" s="1"/>
  <c r="BN75" i="12" s="1"/>
  <c r="BK19" i="12"/>
  <c r="BK28" i="12"/>
  <c r="BL28" i="12"/>
  <c r="BJ74" i="12"/>
  <c r="BM74" i="12" s="1"/>
  <c r="BN74" i="12" s="1"/>
  <c r="AF29" i="12"/>
  <c r="BJ34" i="12"/>
  <c r="BM34" i="12" s="1"/>
  <c r="BN34" i="12" s="1"/>
  <c r="BK34" i="12"/>
  <c r="AF40" i="12"/>
  <c r="BJ40" i="12"/>
  <c r="BM40" i="12" s="1"/>
  <c r="BN40" i="12" s="1"/>
  <c r="AF76" i="12"/>
  <c r="BL21" i="12"/>
  <c r="BJ21" i="12"/>
  <c r="BL76" i="12"/>
  <c r="BJ19" i="12"/>
  <c r="BJ37" i="12"/>
  <c r="BM37" i="12" s="1"/>
  <c r="BN37" i="12" s="1"/>
  <c r="BK37" i="12"/>
  <c r="BL37" i="12"/>
  <c r="AF37" i="12"/>
  <c r="BJ25" i="12"/>
  <c r="BM25" i="12" s="1"/>
  <c r="BN25" i="12" s="1"/>
  <c r="BL43" i="12"/>
  <c r="BJ43" i="12"/>
  <c r="BM43" i="12" s="1"/>
  <c r="BN43" i="12" s="1"/>
  <c r="BK43" i="12"/>
  <c r="AF43" i="12"/>
  <c r="AF25" i="12"/>
  <c r="BK25" i="12"/>
  <c r="BL81" i="12"/>
  <c r="BK81" i="12"/>
  <c r="AF81" i="12"/>
  <c r="BJ81" i="12"/>
  <c r="BM81" i="12" s="1"/>
  <c r="BN81" i="12" s="1"/>
  <c r="BK84" i="12"/>
  <c r="BL84" i="12"/>
  <c r="AF84" i="12"/>
  <c r="BJ84" i="12"/>
  <c r="BM84" i="12" s="1"/>
  <c r="BN84" i="12" s="1"/>
  <c r="BL74" i="12"/>
  <c r="AF74" i="12"/>
  <c r="BL72" i="12"/>
  <c r="BJ72" i="12"/>
  <c r="BM72" i="12" s="1"/>
  <c r="BN72" i="12" s="1"/>
  <c r="AF72" i="12"/>
  <c r="BK72" i="12"/>
  <c r="BJ76" i="12"/>
  <c r="BM76" i="12" s="1"/>
  <c r="BN76" i="12" s="1"/>
  <c r="BK32" i="12"/>
  <c r="BJ32" i="12"/>
  <c r="BM32" i="12" s="1"/>
  <c r="BN32" i="12" s="1"/>
  <c r="BL32" i="12"/>
  <c r="AF32" i="12"/>
  <c r="AF49" i="12"/>
  <c r="BJ49" i="12"/>
  <c r="BM49" i="12" s="1"/>
  <c r="BN49" i="12" s="1"/>
  <c r="BL49" i="12"/>
  <c r="BK49" i="12"/>
  <c r="BL30" i="12"/>
  <c r="AF30" i="12"/>
  <c r="BJ30" i="12"/>
  <c r="BM30" i="12" s="1"/>
  <c r="BN30" i="12" s="1"/>
  <c r="BK30" i="12"/>
  <c r="AQ31" i="12" l="1"/>
  <c r="AU31" i="12" s="1"/>
  <c r="BM23" i="12"/>
  <c r="BN23" i="12" s="1"/>
  <c r="Y11" i="12"/>
  <c r="BM21" i="12"/>
  <c r="BN21" i="12" s="1"/>
  <c r="BM18" i="12"/>
  <c r="BM19" i="12"/>
  <c r="BN19" i="12" s="1"/>
  <c r="BM20" i="12"/>
  <c r="BM22" i="12"/>
  <c r="BN22" i="12" s="1"/>
  <c r="BM17" i="12"/>
  <c r="BM15" i="12"/>
  <c r="BN15" i="12" s="1"/>
  <c r="AK15" i="12" s="1"/>
  <c r="BO33" i="12"/>
  <c r="BP33" i="12" s="1"/>
  <c r="BO39" i="12"/>
  <c r="BP39" i="12" s="1"/>
  <c r="BO24" i="12"/>
  <c r="BP24" i="12" s="1"/>
  <c r="BO82" i="12"/>
  <c r="BP82" i="12" s="1"/>
  <c r="AT46" i="12"/>
  <c r="AU46" i="12"/>
  <c r="AU24" i="12"/>
  <c r="BL13" i="12"/>
  <c r="AR46" i="12"/>
  <c r="BO81" i="12"/>
  <c r="AL81" i="12"/>
  <c r="AI81" i="12"/>
  <c r="BO37" i="12"/>
  <c r="AL37" i="12"/>
  <c r="AI37" i="12"/>
  <c r="BO35" i="12"/>
  <c r="AI35" i="12"/>
  <c r="AL35" i="12"/>
  <c r="BO29" i="12"/>
  <c r="AI29" i="12"/>
  <c r="AL29" i="12"/>
  <c r="BO41" i="12"/>
  <c r="AI41" i="12"/>
  <c r="AL41" i="12"/>
  <c r="BO36" i="12"/>
  <c r="AL36" i="12"/>
  <c r="AI36" i="12"/>
  <c r="BO44" i="12"/>
  <c r="AL44" i="12"/>
  <c r="AI44" i="12"/>
  <c r="BO86" i="12"/>
  <c r="AI86" i="12"/>
  <c r="AL86" i="12"/>
  <c r="AH82" i="12"/>
  <c r="AQ82" i="12" s="1"/>
  <c r="BP45" i="12"/>
  <c r="AH45" i="12"/>
  <c r="AQ45" i="12" s="1"/>
  <c r="BP28" i="12"/>
  <c r="AH28" i="12"/>
  <c r="AQ28" i="12" s="1"/>
  <c r="AH27" i="12"/>
  <c r="AQ27" i="12" s="1"/>
  <c r="BO76" i="12"/>
  <c r="AL76" i="12"/>
  <c r="AI76" i="12"/>
  <c r="BO84" i="12"/>
  <c r="AL84" i="12"/>
  <c r="AI84" i="12"/>
  <c r="BO40" i="12"/>
  <c r="AL40" i="12"/>
  <c r="AI40" i="12"/>
  <c r="BO80" i="12"/>
  <c r="AL80" i="12"/>
  <c r="AI80" i="12"/>
  <c r="BO79" i="12"/>
  <c r="AI79" i="12"/>
  <c r="AL79" i="12"/>
  <c r="BO71" i="12"/>
  <c r="AI71" i="12"/>
  <c r="AL71" i="12"/>
  <c r="BO30" i="12"/>
  <c r="AL30" i="12"/>
  <c r="AI30" i="12"/>
  <c r="BO32" i="12"/>
  <c r="AL32" i="12"/>
  <c r="AI32" i="12"/>
  <c r="BO43" i="12"/>
  <c r="AI43" i="12"/>
  <c r="AL43" i="12"/>
  <c r="BO74" i="12"/>
  <c r="AI74" i="12"/>
  <c r="AL74" i="12"/>
  <c r="BO75" i="12"/>
  <c r="AI75" i="12"/>
  <c r="AL75" i="12"/>
  <c r="BO47" i="12"/>
  <c r="AI47" i="12"/>
  <c r="AL47" i="12"/>
  <c r="BO23" i="12"/>
  <c r="BO50" i="12"/>
  <c r="AI50" i="12"/>
  <c r="AL50" i="12"/>
  <c r="BO49" i="12"/>
  <c r="AL49" i="12"/>
  <c r="AI49" i="12"/>
  <c r="BO72" i="12"/>
  <c r="AL72" i="12"/>
  <c r="AI72" i="12"/>
  <c r="BO25" i="12"/>
  <c r="AL25" i="12"/>
  <c r="AI25" i="12"/>
  <c r="BO34" i="12"/>
  <c r="AI34" i="12"/>
  <c r="AL34" i="12"/>
  <c r="BO73" i="12"/>
  <c r="AI73" i="12"/>
  <c r="AL73" i="12"/>
  <c r="BO42" i="12"/>
  <c r="AI42" i="12"/>
  <c r="AL42" i="12"/>
  <c r="BO78" i="12"/>
  <c r="AL78" i="12"/>
  <c r="AI78" i="12"/>
  <c r="AH39" i="12"/>
  <c r="AQ39" i="12" s="1"/>
  <c r="BP26" i="12"/>
  <c r="AH26" i="12"/>
  <c r="AQ26" i="12" s="1"/>
  <c r="AH33" i="12"/>
  <c r="AQ33" i="12" s="1"/>
  <c r="AH83" i="12"/>
  <c r="AQ83" i="12" s="1"/>
  <c r="BP38" i="12"/>
  <c r="AH38" i="12"/>
  <c r="AQ38" i="12" s="1"/>
  <c r="BJ85" i="12"/>
  <c r="BM85" i="12" s="1"/>
  <c r="BN85" i="12" s="1"/>
  <c r="BK85" i="12"/>
  <c r="BL85" i="12"/>
  <c r="BJ77" i="12"/>
  <c r="BM77" i="12" s="1"/>
  <c r="BN77" i="12" s="1"/>
  <c r="BK77" i="12"/>
  <c r="BJ16" i="12"/>
  <c r="BM16" i="12" s="1"/>
  <c r="AF77" i="12"/>
  <c r="BM14" i="12"/>
  <c r="BL48" i="12"/>
  <c r="AF48" i="12"/>
  <c r="BJ48" i="12"/>
  <c r="BM48" i="12" s="1"/>
  <c r="BN48" i="12" s="1"/>
  <c r="AI15" i="12" l="1"/>
  <c r="AG15" i="12"/>
  <c r="AL15" i="12"/>
  <c r="BN16" i="12"/>
  <c r="AK16" i="12" s="1"/>
  <c r="BN20" i="12"/>
  <c r="BN14" i="12"/>
  <c r="AK14" i="12" s="1"/>
  <c r="BN17" i="12"/>
  <c r="BN18" i="12"/>
  <c r="BO19" i="12"/>
  <c r="BP19" i="12" s="1"/>
  <c r="BO21" i="12"/>
  <c r="BP21" i="12" s="1"/>
  <c r="BO22" i="12"/>
  <c r="BP22" i="12" s="1"/>
  <c r="BO15" i="12"/>
  <c r="AH15" i="12" s="1"/>
  <c r="BO83" i="12"/>
  <c r="BP83" i="12" s="1"/>
  <c r="BO27" i="12"/>
  <c r="BP27" i="12" s="1"/>
  <c r="AT38" i="12"/>
  <c r="AU38" i="12"/>
  <c r="AT83" i="12"/>
  <c r="AU83" i="12"/>
  <c r="AR31" i="12"/>
  <c r="AT31" i="12"/>
  <c r="AR24" i="12"/>
  <c r="AT24" i="12"/>
  <c r="BK13" i="12"/>
  <c r="BJ13" i="12"/>
  <c r="AU39" i="12"/>
  <c r="AR38" i="12"/>
  <c r="AR83" i="12"/>
  <c r="BO85" i="12"/>
  <c r="AL85" i="12"/>
  <c r="AI85" i="12"/>
  <c r="BO48" i="12"/>
  <c r="AL48" i="12"/>
  <c r="AI48" i="12"/>
  <c r="BO77" i="12"/>
  <c r="AI77" i="12"/>
  <c r="AL77" i="12"/>
  <c r="BP78" i="12"/>
  <c r="AH78" i="12"/>
  <c r="AQ78" i="12" s="1"/>
  <c r="BP42" i="12"/>
  <c r="AH42" i="12"/>
  <c r="AQ42" i="12" s="1"/>
  <c r="BP73" i="12"/>
  <c r="AH73" i="12"/>
  <c r="AQ73" i="12" s="1"/>
  <c r="BP34" i="12"/>
  <c r="AH34" i="12"/>
  <c r="AQ34" i="12" s="1"/>
  <c r="BP25" i="12"/>
  <c r="AH25" i="12"/>
  <c r="AQ25" i="12" s="1"/>
  <c r="BP72" i="12"/>
  <c r="AH72" i="12"/>
  <c r="AQ72" i="12" s="1"/>
  <c r="BP49" i="12"/>
  <c r="AH49" i="12"/>
  <c r="AQ49" i="12" s="1"/>
  <c r="BP50" i="12"/>
  <c r="AH50" i="12"/>
  <c r="AQ50" i="12" s="1"/>
  <c r="BP23" i="12"/>
  <c r="BP47" i="12"/>
  <c r="AH47" i="12"/>
  <c r="AQ47" i="12" s="1"/>
  <c r="BP75" i="12"/>
  <c r="AH75" i="12"/>
  <c r="AQ75" i="12" s="1"/>
  <c r="BP74" i="12"/>
  <c r="AH74" i="12"/>
  <c r="AQ74" i="12" s="1"/>
  <c r="BP43" i="12"/>
  <c r="AH43" i="12"/>
  <c r="AQ43" i="12" s="1"/>
  <c r="BP32" i="12"/>
  <c r="AH32" i="12"/>
  <c r="AQ32" i="12" s="1"/>
  <c r="BP30" i="12"/>
  <c r="AH30" i="12"/>
  <c r="AQ30" i="12" s="1"/>
  <c r="BP71" i="12"/>
  <c r="AH71" i="12"/>
  <c r="AQ71" i="12" s="1"/>
  <c r="BP79" i="12"/>
  <c r="AH79" i="12"/>
  <c r="AQ79" i="12" s="1"/>
  <c r="BP80" i="12"/>
  <c r="AH80" i="12"/>
  <c r="AQ80" i="12" s="1"/>
  <c r="BP40" i="12"/>
  <c r="AH40" i="12"/>
  <c r="AQ40" i="12" s="1"/>
  <c r="BP84" i="12"/>
  <c r="AH84" i="12"/>
  <c r="AQ84" i="12" s="1"/>
  <c r="BP76" i="12"/>
  <c r="AH76" i="12"/>
  <c r="AQ76" i="12" s="1"/>
  <c r="BP86" i="12"/>
  <c r="AH86" i="12"/>
  <c r="AQ86" i="12" s="1"/>
  <c r="BP44" i="12"/>
  <c r="AH44" i="12"/>
  <c r="AQ44" i="12" s="1"/>
  <c r="BP36" i="12"/>
  <c r="AH36" i="12"/>
  <c r="AQ36" i="12" s="1"/>
  <c r="BP41" i="12"/>
  <c r="AH41" i="12"/>
  <c r="AQ41" i="12" s="1"/>
  <c r="BP29" i="12"/>
  <c r="AH29" i="12"/>
  <c r="AQ29" i="12" s="1"/>
  <c r="BP35" i="12"/>
  <c r="AH35" i="12"/>
  <c r="AQ35" i="12" s="1"/>
  <c r="BP37" i="12"/>
  <c r="AH37" i="12"/>
  <c r="AQ37" i="12" s="1"/>
  <c r="BP81" i="12"/>
  <c r="AH81" i="12"/>
  <c r="AQ81" i="12" s="1"/>
  <c r="BO16" i="12" l="1"/>
  <c r="AH16" i="12" s="1"/>
  <c r="AK18" i="12"/>
  <c r="AG18" i="12"/>
  <c r="AL18" i="12"/>
  <c r="AI18" i="12"/>
  <c r="BO17" i="12"/>
  <c r="AK17" i="12"/>
  <c r="AL17" i="12"/>
  <c r="AG17" i="12"/>
  <c r="AI17" i="12"/>
  <c r="BO18" i="12"/>
  <c r="AH18" i="12" s="1"/>
  <c r="AI14" i="12"/>
  <c r="AG14" i="12"/>
  <c r="AL14" i="12"/>
  <c r="AQ15" i="12"/>
  <c r="AI16" i="12"/>
  <c r="AG16" i="12"/>
  <c r="AL16" i="12"/>
  <c r="BO20" i="12"/>
  <c r="BM13" i="12"/>
  <c r="BO14" i="12"/>
  <c r="BP15" i="12"/>
  <c r="AT27" i="12"/>
  <c r="AU27" i="12"/>
  <c r="AT33" i="12"/>
  <c r="AU33" i="12"/>
  <c r="AT26" i="12"/>
  <c r="AU26" i="12"/>
  <c r="AT28" i="12"/>
  <c r="AU28" i="12"/>
  <c r="AT82" i="12"/>
  <c r="AU82" i="12"/>
  <c r="AT45" i="12"/>
  <c r="AU45" i="12"/>
  <c r="AR39" i="12"/>
  <c r="AT39" i="12"/>
  <c r="BL12" i="12"/>
  <c r="BJ12" i="12"/>
  <c r="BK12" i="12"/>
  <c r="AR28" i="12"/>
  <c r="AR82" i="12"/>
  <c r="AR45" i="12"/>
  <c r="AR26" i="12"/>
  <c r="AR33" i="12"/>
  <c r="AR27" i="12"/>
  <c r="BP77" i="12"/>
  <c r="AH77" i="12"/>
  <c r="AQ77" i="12" s="1"/>
  <c r="BP48" i="12"/>
  <c r="AH48" i="12"/>
  <c r="AQ48" i="12" s="1"/>
  <c r="BP85" i="12"/>
  <c r="AH85" i="12"/>
  <c r="AQ85" i="12" s="1"/>
  <c r="BP16" i="12" l="1"/>
  <c r="AQ16" i="12"/>
  <c r="AR16" i="12" s="1"/>
  <c r="AQ18" i="12"/>
  <c r="BP18" i="12"/>
  <c r="BP17" i="12"/>
  <c r="AH17" i="12"/>
  <c r="AQ17" i="12" s="1"/>
  <c r="BP14" i="12"/>
  <c r="AH14" i="12"/>
  <c r="AQ14" i="12" s="1"/>
  <c r="AU15" i="12"/>
  <c r="AR15" i="12"/>
  <c r="AT15" i="12"/>
  <c r="BN13" i="12"/>
  <c r="AK13" i="12" s="1"/>
  <c r="BP20" i="12"/>
  <c r="AT43" i="12"/>
  <c r="AU43" i="12"/>
  <c r="AT74" i="12"/>
  <c r="AU74" i="12"/>
  <c r="AT29" i="12"/>
  <c r="AU29" i="12"/>
  <c r="AT78" i="12"/>
  <c r="AU78" i="12"/>
  <c r="AT50" i="12"/>
  <c r="AU50" i="12"/>
  <c r="AT30" i="12"/>
  <c r="AU30" i="12"/>
  <c r="AT44" i="12"/>
  <c r="AU44" i="12"/>
  <c r="AT81" i="12"/>
  <c r="AU81" i="12"/>
  <c r="AT49" i="12"/>
  <c r="AU49" i="12"/>
  <c r="AT84" i="12"/>
  <c r="AU84" i="12"/>
  <c r="AT37" i="12"/>
  <c r="AU37" i="12"/>
  <c r="AT72" i="12"/>
  <c r="AU72" i="12"/>
  <c r="AT35" i="12"/>
  <c r="AU35" i="12"/>
  <c r="AT25" i="12"/>
  <c r="AU25" i="12"/>
  <c r="AT42" i="12"/>
  <c r="AU42" i="12"/>
  <c r="AT79" i="12"/>
  <c r="AU79" i="12"/>
  <c r="AT32" i="12"/>
  <c r="AU32" i="12"/>
  <c r="AT86" i="12"/>
  <c r="AU86" i="12"/>
  <c r="AT76" i="12"/>
  <c r="AU76" i="12"/>
  <c r="AT80" i="12"/>
  <c r="AU80" i="12"/>
  <c r="AT34" i="12"/>
  <c r="AU34" i="12"/>
  <c r="AT75" i="12"/>
  <c r="AU75" i="12"/>
  <c r="AT40" i="12"/>
  <c r="AU40" i="12"/>
  <c r="AT41" i="12"/>
  <c r="AU41" i="12"/>
  <c r="AT73" i="12"/>
  <c r="AU73" i="12"/>
  <c r="AT47" i="12"/>
  <c r="AU47" i="12"/>
  <c r="AT71" i="12"/>
  <c r="AU71" i="12"/>
  <c r="AT36" i="12"/>
  <c r="AU36" i="12"/>
  <c r="BM12" i="12"/>
  <c r="AR72" i="12"/>
  <c r="AR74" i="12"/>
  <c r="AR43" i="12"/>
  <c r="AR79" i="12"/>
  <c r="AR76" i="12"/>
  <c r="AR35" i="12"/>
  <c r="AR25" i="12"/>
  <c r="AR32" i="12"/>
  <c r="AR80" i="12"/>
  <c r="AR29" i="12"/>
  <c r="AR34" i="12"/>
  <c r="AR50" i="12"/>
  <c r="AR44" i="12"/>
  <c r="AR41" i="12"/>
  <c r="AR81" i="12"/>
  <c r="AR73" i="12"/>
  <c r="AR47" i="12"/>
  <c r="AR71" i="12"/>
  <c r="AR84" i="12"/>
  <c r="AR42" i="12"/>
  <c r="AR86" i="12"/>
  <c r="AR78" i="12"/>
  <c r="AR75" i="12"/>
  <c r="AR30" i="12"/>
  <c r="AR40" i="12"/>
  <c r="AR49" i="12"/>
  <c r="AR36" i="12"/>
  <c r="AR37" i="12"/>
  <c r="AI13" i="12" l="1"/>
  <c r="AG13" i="12"/>
  <c r="AT16" i="12"/>
  <c r="AU16" i="12"/>
  <c r="AT17" i="12"/>
  <c r="AU17" i="12"/>
  <c r="AR17" i="12"/>
  <c r="AT18" i="12"/>
  <c r="AU18" i="12"/>
  <c r="AR18" i="12"/>
  <c r="AR14" i="12"/>
  <c r="AU14" i="12"/>
  <c r="AT14" i="12"/>
  <c r="AL13" i="12"/>
  <c r="BO13" i="12"/>
  <c r="AH13" i="12" s="1"/>
  <c r="BN12" i="12"/>
  <c r="AK12" i="12" s="1"/>
  <c r="AT85" i="12"/>
  <c r="AU85" i="12"/>
  <c r="AT77" i="12"/>
  <c r="AU77" i="12"/>
  <c r="AT48" i="12"/>
  <c r="AU48" i="12"/>
  <c r="AR77" i="12"/>
  <c r="AR48" i="12"/>
  <c r="AR85" i="12"/>
  <c r="AQ13" i="12" l="1"/>
  <c r="AT13" i="12" s="1"/>
  <c r="BP13" i="12"/>
  <c r="AI12" i="12"/>
  <c r="AL12" i="12"/>
  <c r="AR13" i="12"/>
  <c r="AG12" i="12"/>
  <c r="BO12" i="12"/>
  <c r="AH12" i="12" s="1"/>
  <c r="AU13" i="12" l="1"/>
  <c r="AQ12" i="12"/>
  <c r="AQ11" i="12" s="1"/>
  <c r="BP12" i="12"/>
  <c r="AT12" i="12" l="1"/>
  <c r="AR12" i="12"/>
  <c r="AR11" i="12" s="1"/>
  <c r="AU12" i="12"/>
  <c r="AT11" i="12"/>
  <c r="O4" i="12" s="1"/>
  <c r="AU11" i="12" l="1"/>
</calcChain>
</file>

<file path=xl/comments1.xml><?xml version="1.0" encoding="utf-8"?>
<comments xmlns="http://schemas.openxmlformats.org/spreadsheetml/2006/main">
  <authors>
    <author>Bé Keizer</author>
    <author>Keizer</author>
    <author>B Keizer</author>
  </authors>
  <commentList>
    <comment ref="E20" authorId="0" shapeId="0">
      <text>
        <r>
          <rPr>
            <sz val="8"/>
            <color indexed="81"/>
            <rFont val="Tahoma"/>
            <family val="2"/>
          </rPr>
          <t xml:space="preserve">
Alleen bij de functie ID1 geldt dat er sprake is van een aanloopschaal van twee regels. Deze aanloopschalen zijn in dit instrument buiten beschouwing gelaten, gestart wordt met regel 1. 
</t>
        </r>
      </text>
    </comment>
    <comment ref="E31" authorId="1" shapeId="0">
      <text>
        <r>
          <rPr>
            <sz val="9"/>
            <color indexed="81"/>
            <rFont val="Tahoma"/>
            <family val="2"/>
          </rPr>
          <t xml:space="preserve">
Deze toeslag wordt toegekend aan leraren die voldoen aan artikel 6.13 van de cao po, zie tabellen.</t>
        </r>
      </text>
    </comment>
    <comment ref="E32" authorId="0" shapeId="0">
      <text>
        <r>
          <rPr>
            <sz val="9"/>
            <color indexed="81"/>
            <rFont val="Tahoma"/>
            <family val="2"/>
          </rPr>
          <t xml:space="preserve">
Geldt voor de directeuren verbonden aan een school PO die benoemd zijn in de schalen DA t/m DCuitloop (incl. meerhoofdig).</t>
        </r>
      </text>
    </comment>
    <comment ref="E33" authorId="2" shapeId="0">
      <text>
        <r>
          <rPr>
            <sz val="9"/>
            <color indexed="81"/>
            <rFont val="Tahoma"/>
            <family val="2"/>
          </rPr>
          <t xml:space="preserve">
Deze compensatie / inkomenstoelage geldt alleen voor OOP-ers.</t>
        </r>
      </text>
    </comment>
    <comment ref="E34" authorId="1" shapeId="0">
      <text>
        <r>
          <rPr>
            <sz val="9"/>
            <color indexed="81"/>
            <rFont val="Tahoma"/>
            <family val="2"/>
          </rPr>
          <t xml:space="preserve">
Deze eindejaarsuitkering wordt toegekend aan de schalen 1  t/m 8. Zie tabellen.</t>
        </r>
      </text>
    </comment>
    <comment ref="E35" authorId="0" shapeId="0">
      <text>
        <r>
          <rPr>
            <sz val="9"/>
            <color indexed="81"/>
            <rFont val="Tahoma"/>
            <family val="2"/>
          </rPr>
          <t xml:space="preserve">
Deze uitkering (op de dag van de leraar) bedraagt bij een normbetrekking 200 euro die in de maanden januari t/m oktober wordt opgebouwd en uitgekeerd in oktober. De uitkering geldt voor iedereen die werkzaam is in het primair onderwijs (dus ook  onderwijsondersteunend personeel en directieleden).</t>
        </r>
      </text>
    </comment>
    <comment ref="E36" authorId="1" shapeId="0">
      <text>
        <r>
          <rPr>
            <sz val="9"/>
            <color indexed="81"/>
            <rFont val="Tahoma"/>
            <family val="2"/>
          </rPr>
          <t xml:space="preserve">
De 0,8% wordt berekend over het bruto-loon en de uitlooptoeslag, en is niet pensioengevend. Daarom worden er ook geen pensioenpremies over berekend, wel de andere premies.
(Overgangsrecht VPL is nu vervallen).</t>
        </r>
      </text>
    </comment>
    <comment ref="E41" authorId="1" shapeId="0">
      <text>
        <r>
          <rPr>
            <sz val="9"/>
            <color indexed="81"/>
            <rFont val="Tahoma"/>
            <family val="2"/>
          </rPr>
          <t xml:space="preserve">
Het jaarinkomen ABP wordt in januari van elk jaar bepaald.</t>
        </r>
      </text>
    </comment>
    <comment ref="E55" authorId="0" shapeId="0">
      <text>
        <r>
          <rPr>
            <sz val="9"/>
            <color indexed="81"/>
            <rFont val="Tahoma"/>
            <family val="2"/>
          </rPr>
          <t xml:space="preserve">
Zie toelichting:
1 = premie verplichte verzekering (6,25%)
2 = premie vrijwillige verzekering (6,25%)
3 = eigenrisicodrager (0,22%)
4 = geen aansluiting (0%)
5 = ERD WD14 (3,85%)
6 = ERD WD42 (3,25%)
7 = ERD SL80 (0,85%)
8 = ERD SL100 (0,55%)
</t>
        </r>
      </text>
    </comment>
    <comment ref="H61" authorId="2" shapeId="0">
      <text>
        <r>
          <rPr>
            <sz val="9"/>
            <color indexed="81"/>
            <rFont val="Tahoma"/>
            <family val="2"/>
          </rPr>
          <t xml:space="preserve">
Voor het eigen beleid dient de opgave op jaarbasis plaats te vinden. Het bedrag per maand wordt dan berekend door deling door 12. </t>
        </r>
      </text>
    </comment>
  </commentList>
</comments>
</file>

<file path=xl/comments2.xml><?xml version="1.0" encoding="utf-8"?>
<comments xmlns="http://schemas.openxmlformats.org/spreadsheetml/2006/main">
  <authors>
    <author>B Keizer</author>
    <author>Bé Keizer</author>
    <author>Keizer</author>
    <author>Annemarie van Groenestijn</author>
  </authors>
  <commentList>
    <comment ref="H8" authorId="0" shapeId="0">
      <text>
        <r>
          <rPr>
            <sz val="9"/>
            <color indexed="81"/>
            <rFont val="Tahoma"/>
            <family val="2"/>
          </rPr>
          <t xml:space="preserve">
Moet groter dan 0,00 zijn.</t>
        </r>
      </text>
    </comment>
    <comment ref="J8" authorId="1" shapeId="0">
      <text>
        <r>
          <rPr>
            <sz val="11"/>
            <color indexed="81"/>
            <rFont val="Tahoma"/>
            <family val="2"/>
          </rPr>
          <t xml:space="preserve">
Zie toelichting:
1 = premie verplichte verzekering (6,25%)
2 = premie vrijwillige verzekering (6,25%)
3 = eigenrisicodrager (0,22%)
4 = geen aansluiting (0%)
5 = ERD WD14 (3,85%)
6 = ERD WD42 (3,25%)
7 = ERD SL80 (0,85%)
8 = ERD SL100 (0,55%)</t>
        </r>
      </text>
    </comment>
    <comment ref="AM8" authorId="2" shapeId="0">
      <text>
        <r>
          <rPr>
            <sz val="9"/>
            <color indexed="81"/>
            <rFont val="Tahoma"/>
            <family val="2"/>
          </rPr>
          <t xml:space="preserve">
Een bestuur dat voor het VF (deels) eigenrisicodrager is kan een schatting van de eigen kosten voor vervanging </t>
        </r>
        <r>
          <rPr>
            <b/>
            <sz val="9"/>
            <color indexed="81"/>
            <rFont val="Tahoma"/>
            <family val="2"/>
          </rPr>
          <t>per maand</t>
        </r>
        <r>
          <rPr>
            <sz val="9"/>
            <color indexed="81"/>
            <rFont val="Tahoma"/>
            <family val="2"/>
          </rPr>
          <t xml:space="preserve"> opvoeren bij "kosten vervanging eigen beleid </t>
        </r>
      </text>
    </comment>
    <comment ref="AO8" authorId="3" shapeId="0">
      <text>
        <r>
          <rPr>
            <sz val="9"/>
            <color indexed="81"/>
            <rFont val="Tahoma"/>
            <family val="2"/>
          </rPr>
          <t xml:space="preserve">
Er kan in dit werkgeverslastenoverzicht rekening gehouden worden met overige kosten die niet geautomatiseerd zijn opgenomen omdat ze per individu sterk kunnen verschillen. Zie extra toelichting tabblad 'werkgeverslasten'. 
Hier dient u het totaal aan overige kosten </t>
        </r>
        <r>
          <rPr>
            <b/>
            <sz val="9"/>
            <color indexed="81"/>
            <rFont val="Tahoma"/>
            <family val="2"/>
          </rPr>
          <t>per maand</t>
        </r>
        <r>
          <rPr>
            <sz val="9"/>
            <color indexed="81"/>
            <rFont val="Tahoma"/>
            <family val="2"/>
          </rPr>
          <t xml:space="preserve"> op te nemen die worden gespecificeerd onder 'D' in het werkblad 'werkgeverslasten'. </t>
        </r>
      </text>
    </comment>
    <comment ref="I9" authorId="0" shapeId="0">
      <text>
        <r>
          <rPr>
            <sz val="9"/>
            <color indexed="81"/>
            <rFont val="Tahoma"/>
            <family val="2"/>
          </rPr>
          <t xml:space="preserve">
Kan alleen met "j" worden ingevuld als het een leraar betreft, die voldoet aan art. 6.13 cao po.</t>
        </r>
      </text>
    </comment>
    <comment ref="BE1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1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1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1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1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1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1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1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2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2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2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2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2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2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2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2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2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2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3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3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3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3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3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3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3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3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3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3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4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4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4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4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4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4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4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4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4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4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5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5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5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5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5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5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5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5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5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5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6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6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6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6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6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6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6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6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6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6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7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7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7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7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7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7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7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77"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78"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79"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80"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81"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82"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83"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84"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85"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 ref="BE86" authorId="1" shapeId="0">
      <text>
        <r>
          <rPr>
            <sz val="9"/>
            <color indexed="81"/>
            <rFont val="Tahoma"/>
            <family val="2"/>
          </rPr>
          <t xml:space="preserve">
Geldt voor de leraren schaal LA op de basisschool resp. LB op de SBO / (V)SO die op 1 jan. 2016 op regel 15 van hun schaal zijn dan wel per 1 aug. 2016 daar komen.</t>
        </r>
      </text>
    </comment>
  </commentList>
</comments>
</file>

<file path=xl/comments3.xml><?xml version="1.0" encoding="utf-8"?>
<comments xmlns="http://schemas.openxmlformats.org/spreadsheetml/2006/main">
  <authors>
    <author>Keizer</author>
    <author>B. Keizer</author>
    <author>B Keizer</author>
    <author>Bé Keizer</author>
  </authors>
  <commentList>
    <comment ref="A9" authorId="0" shapeId="0">
      <text>
        <r>
          <rPr>
            <sz val="9"/>
            <color indexed="81"/>
            <rFont val="Tahoma"/>
            <family val="2"/>
          </rPr>
          <t xml:space="preserve">
De premie voor KinderOpvang is hier ondergebracht.</t>
        </r>
      </text>
    </comment>
    <comment ref="A10" authorId="0"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C15" authorId="1" shapeId="0">
      <text>
        <r>
          <rPr>
            <sz val="9"/>
            <color indexed="81"/>
            <rFont val="Tahoma"/>
            <family val="2"/>
          </rPr>
          <t xml:space="preserve">
Bij geen volledige ERD kan men hier het van toepassing zijnde percentage invullen.</t>
        </r>
      </text>
    </comment>
    <comment ref="J16" authorId="2" shapeId="0">
      <text>
        <r>
          <rPr>
            <sz val="9"/>
            <color indexed="81"/>
            <rFont val="Tahoma"/>
            <family val="2"/>
          </rPr>
          <t xml:space="preserve">
WPO art. 183 lid 3: Van de in het eerste juncto tweede lid bedoelde verplichting kan Onze minister op aanvraag van het bevoegd gezag ontheffing verlenen op grond van bezwaren van godsdienstige of levensbeschouwelijke aard. Onze minister verleent de ontheffing slechts indien het bevoegd gezag aantoont dat een afdoende andere voorziening is getroffen met betrekking tot de gevolgen van vervanging bij afwezigheid van personeel. Onze minister besluit binnen zes maanden na ontvangst van een aanvraag als bedoeld in de eerste volzin.</t>
        </r>
      </text>
    </comment>
    <comment ref="A37" authorId="2" shapeId="0">
      <text>
        <r>
          <rPr>
            <sz val="9"/>
            <color indexed="81"/>
            <rFont val="Tahoma"/>
            <family val="2"/>
          </rPr>
          <t xml:space="preserve">
Eenmalige uitkering werknemers van 750 euro (rato wtf en aanstellingsduur 2018 t/m augustus in 2018).</t>
        </r>
      </text>
    </comment>
    <comment ref="A39" authorId="2" shapeId="0">
      <text>
        <r>
          <rPr>
            <sz val="9"/>
            <color indexed="81"/>
            <rFont val="Tahoma"/>
            <family val="2"/>
          </rPr>
          <t xml:space="preserve">
Uitkering van 42% van maandsalaris in oktober 2018 naar rato aanstellingsduur en wtf t/m augustus 2018.</t>
        </r>
      </text>
    </comment>
    <comment ref="A41" authorId="2" shapeId="0">
      <text>
        <r>
          <rPr>
            <sz val="9"/>
            <color indexed="81"/>
            <rFont val="Tahoma"/>
            <family val="2"/>
          </rPr>
          <t xml:space="preserve">
Betreft inkomenstoelage voor alleen OOP-ers.</t>
        </r>
      </text>
    </comment>
    <comment ref="A45" authorId="2" shapeId="0">
      <text>
        <r>
          <rPr>
            <sz val="9"/>
            <color indexed="81"/>
            <rFont val="Tahoma"/>
            <family val="2"/>
          </rPr>
          <t xml:space="preserve">
Eenmalige uitkering werknemers van 750 euro (rato wtf en aanstellingsduur 2018 t/m augustus in 2018).</t>
        </r>
      </text>
    </comment>
    <comment ref="A46" authorId="2" shapeId="0">
      <text>
        <r>
          <rPr>
            <sz val="9"/>
            <color indexed="81"/>
            <rFont val="Tahoma"/>
            <family val="2"/>
          </rPr>
          <t xml:space="preserve">
Uitkering van 42% van maandsalaris in oktober 2018 naar rato aanstellingsduur en wtf t/m augustus 2018.</t>
        </r>
      </text>
    </comment>
    <comment ref="A59" authorId="3" shapeId="0">
      <text>
        <r>
          <rPr>
            <sz val="9"/>
            <color indexed="81"/>
            <rFont val="Tahoma"/>
            <family val="2"/>
          </rPr>
          <t xml:space="preserve">
Geldt voor de directeuren verbonden aan een school PO die benoemd zijn in de schalen DA t/m DCuitloop (incl. meerhoofdig).</t>
        </r>
      </text>
    </comment>
    <comment ref="A93" authorId="3" shapeId="0">
      <text>
        <r>
          <rPr>
            <sz val="9"/>
            <color indexed="81"/>
            <rFont val="Tahoma"/>
            <family val="2"/>
          </rPr>
          <t xml:space="preserve">
Aanloopschalen a1 en a2 achterwege gelaten. Aanpassing min. loon per 1-7-2018 zorgt dat de aanloopschalen dan tenminste 1578 zijn. </t>
        </r>
      </text>
    </comment>
    <comment ref="A138" authorId="3" shapeId="0">
      <text>
        <r>
          <rPr>
            <sz val="9"/>
            <color indexed="81"/>
            <rFont val="Tahoma"/>
            <family val="2"/>
          </rPr>
          <t xml:space="preserve">
Aanloopschalen a1 en a2 achterwege gelaten. Aanpassing min. loon per 1-7-2019 zorgt dat de aanloopschalen dan tenminste 1635,60 zijn. </t>
        </r>
      </text>
    </comment>
    <comment ref="A183" authorId="3" shapeId="0">
      <text>
        <r>
          <rPr>
            <sz val="9"/>
            <color indexed="81"/>
            <rFont val="Tahoma"/>
            <family val="2"/>
          </rPr>
          <t xml:space="preserve">
Aanloopschalen a1 en a2 achterwege gelaten. Aanpassing min. loon per 1-7-2019 zorgt dat de aanloopschalen dan tenminste 1635,60 zijn. </t>
        </r>
      </text>
    </comment>
  </commentList>
</comments>
</file>

<file path=xl/sharedStrings.xml><?xml version="1.0" encoding="utf-8"?>
<sst xmlns="http://schemas.openxmlformats.org/spreadsheetml/2006/main" count="594" uniqueCount="388">
  <si>
    <t>salaristabellen</t>
  </si>
  <si>
    <t>schaal / regel</t>
  </si>
  <si>
    <t>DA</t>
  </si>
  <si>
    <t>DB</t>
  </si>
  <si>
    <t>DBuit</t>
  </si>
  <si>
    <t>DC</t>
  </si>
  <si>
    <t>DCuit</t>
  </si>
  <si>
    <t>DD</t>
  </si>
  <si>
    <t>DE</t>
  </si>
  <si>
    <t>AB</t>
  </si>
  <si>
    <t>AC</t>
  </si>
  <si>
    <t>AD</t>
  </si>
  <si>
    <t>AE</t>
  </si>
  <si>
    <t>LIOa</t>
  </si>
  <si>
    <t>LIOb</t>
  </si>
  <si>
    <t>schaal</t>
  </si>
  <si>
    <t>regel</t>
  </si>
  <si>
    <t>Salarisgegevens</t>
  </si>
  <si>
    <t>norm maandsalaris</t>
  </si>
  <si>
    <t>Werktijdfactor</t>
  </si>
  <si>
    <t>regels</t>
  </si>
  <si>
    <t>P. Werknemer</t>
  </si>
  <si>
    <t>Toelichting</t>
  </si>
  <si>
    <t>Werkblad Tabellen</t>
  </si>
  <si>
    <t>De werkbladen zijn beveiligd met het wachtwoord:</t>
  </si>
  <si>
    <t>vakantieuitkering</t>
  </si>
  <si>
    <t>OP/NP</t>
  </si>
  <si>
    <t>werkgever</t>
  </si>
  <si>
    <t>werknemer</t>
  </si>
  <si>
    <t>Tabel premiepercentages</t>
  </si>
  <si>
    <t>max. bedrag</t>
  </si>
  <si>
    <t>maand</t>
  </si>
  <si>
    <t>UFO</t>
  </si>
  <si>
    <t>premie Vf</t>
  </si>
  <si>
    <t>premie Pf</t>
  </si>
  <si>
    <t>Jaarinkomen ABP</t>
  </si>
  <si>
    <t>per maand</t>
  </si>
  <si>
    <t>per jaar</t>
  </si>
  <si>
    <t>Vervolgens worden de werkgeverslasten berekend.</t>
  </si>
  <si>
    <t>Uitlooptoeslag</t>
  </si>
  <si>
    <t>leraar</t>
  </si>
  <si>
    <t>Werknemer</t>
  </si>
  <si>
    <t>Overige loonkosten</t>
  </si>
  <si>
    <t>Participatiefonds</t>
  </si>
  <si>
    <t>Structurele eindejaarsuitkering</t>
  </si>
  <si>
    <t>eindejaarsuitkering</t>
  </si>
  <si>
    <t>Minimum vakantietoelage, fulltimer</t>
  </si>
  <si>
    <t>meerh sbo DB10</t>
  </si>
  <si>
    <t>meerh sbo DB11</t>
  </si>
  <si>
    <t>meerh sbo DC 13</t>
  </si>
  <si>
    <t>meerh sbo DCuit15</t>
  </si>
  <si>
    <t>meerh bas DA11</t>
  </si>
  <si>
    <t>ID1</t>
  </si>
  <si>
    <t>ID2</t>
  </si>
  <si>
    <t>ID3</t>
  </si>
  <si>
    <t>ZVW</t>
  </si>
  <si>
    <t>Loon voor de loonbelasting</t>
  </si>
  <si>
    <t>franchise jr</t>
  </si>
  <si>
    <t>franchise mnd</t>
  </si>
  <si>
    <t>NB: Uitsluitend gebruik gemaakt van onderstaande tabellen</t>
  </si>
  <si>
    <t>Schijf</t>
  </si>
  <si>
    <t>Belasting</t>
  </si>
  <si>
    <t>Heffingskortingen</t>
  </si>
  <si>
    <t>algemene heffingskorting</t>
  </si>
  <si>
    <t>arbeidskorting</t>
  </si>
  <si>
    <t>geboren</t>
  </si>
  <si>
    <t>percentage</t>
  </si>
  <si>
    <t>maximaal</t>
  </si>
  <si>
    <t>Compensatie ziektekosten</t>
  </si>
  <si>
    <t>eindejaarsuitkering OOP</t>
  </si>
  <si>
    <t>Eindejaarsuitkering OOP</t>
  </si>
  <si>
    <t>0,8% levensloop</t>
  </si>
  <si>
    <t>Inkomsten</t>
  </si>
  <si>
    <t>totaal</t>
  </si>
  <si>
    <t>WAO/WIA</t>
  </si>
  <si>
    <t>Dag van de leraar (OP, OOP, Dir)</t>
  </si>
  <si>
    <t>AOP</t>
  </si>
  <si>
    <t>VF: premie verplichte aansluiting</t>
  </si>
  <si>
    <t>VF: premie vrijwillige aansluiting</t>
  </si>
  <si>
    <t>Inzet 0,8% levensloop</t>
  </si>
  <si>
    <t>Toelage directeuren</t>
  </si>
  <si>
    <t>toelage directeuren</t>
  </si>
  <si>
    <t>Twee aanloopschalen bij ID1 zijn achterwege gelaten (minder relevant en onnodig complicerend voor de uitwerking in dit instrument).</t>
  </si>
  <si>
    <t>bij een normbetrekking, per maand</t>
  </si>
  <si>
    <t>poraad</t>
  </si>
  <si>
    <t xml:space="preserve">Het bruto-netto traject geeft de informatie over de omvang van het bijdrage-inkomen (voorheen coördinatieloon) waarover </t>
  </si>
  <si>
    <t>Voor nadere informatie:</t>
  </si>
  <si>
    <t>schooljaar</t>
  </si>
  <si>
    <t>Geboortedatum</t>
  </si>
  <si>
    <t>WTF</t>
  </si>
  <si>
    <t xml:space="preserve">ten opzichte van het bruto salaris. Op die wijze kan het als kengetal worden gehanteerd bij de vaststelling van de totale loonkosten </t>
  </si>
  <si>
    <t xml:space="preserve">alle loonlasten enerzijds en de bruto salarissen anderzijds van het laatste school- resp. kalenderjaar. </t>
  </si>
  <si>
    <t>Aangevuld met de laatste ramingen omtrent de ontwikkelingen van de diverse werkgeverslasten zoals premies e.d.</t>
  </si>
  <si>
    <t xml:space="preserve">Echter de pensioenpremies en de premies van het VF/PF wijzigen momenteel vaker, waardoor de berekening dan een </t>
  </si>
  <si>
    <t>(1)</t>
  </si>
  <si>
    <t>(2)</t>
  </si>
  <si>
    <t>(3)</t>
  </si>
  <si>
    <t>(4)</t>
  </si>
  <si>
    <t>Overgangspremie VPL</t>
  </si>
  <si>
    <t>Jaarinkomen</t>
  </si>
  <si>
    <t>besl.regel</t>
  </si>
  <si>
    <t xml:space="preserve">compensatie </t>
  </si>
  <si>
    <t>eindejrs. uitk. OOP</t>
  </si>
  <si>
    <t>eindejrs. uitk.</t>
  </si>
  <si>
    <t>vakantieuitk.</t>
  </si>
  <si>
    <t>datum</t>
  </si>
  <si>
    <t>schaal-uitloop bedr.</t>
  </si>
  <si>
    <t>inschaling</t>
  </si>
  <si>
    <t xml:space="preserve">toelage </t>
  </si>
  <si>
    <t>directeuren</t>
  </si>
  <si>
    <t>Loon voor de</t>
  </si>
  <si>
    <t xml:space="preserve"> loonbelasting</t>
  </si>
  <si>
    <t>premie</t>
  </si>
  <si>
    <t xml:space="preserve">kosten </t>
  </si>
  <si>
    <t>levensloop</t>
  </si>
  <si>
    <t xml:space="preserve">Jaarinkomen </t>
  </si>
  <si>
    <t>ABP</t>
  </si>
  <si>
    <t>jaar</t>
  </si>
  <si>
    <t>norm</t>
  </si>
  <si>
    <t xml:space="preserve"> mnd.sal.</t>
  </si>
  <si>
    <t>salarisgegevens</t>
  </si>
  <si>
    <t>uitloop</t>
  </si>
  <si>
    <t>toeslag</t>
  </si>
  <si>
    <t>vakantie</t>
  </si>
  <si>
    <t>uitk.</t>
  </si>
  <si>
    <t xml:space="preserve">eindejrs. </t>
  </si>
  <si>
    <t>uitk. OOP</t>
  </si>
  <si>
    <t xml:space="preserve">uitlooptoesl. </t>
  </si>
  <si>
    <t>ZVW premie werkgever</t>
  </si>
  <si>
    <t xml:space="preserve">ZVW premie </t>
  </si>
  <si>
    <t>Werkblad Werkgeverslasten</t>
  </si>
  <si>
    <t>de premie vastgesteld als een gewogen gemiddelde van de sectorale en de individuele premie.</t>
  </si>
  <si>
    <t xml:space="preserve">Op grond van het bruto salaris per maand wordt het jaarinkomen berekend. </t>
  </si>
  <si>
    <t>de sociale premies berekend moeten worden.</t>
  </si>
  <si>
    <t xml:space="preserve">Ten opzichte van het jaarinkomen wordt dat in een percentage omgerekend, maar belangrijker: ook in een opslagpercentage </t>
  </si>
  <si>
    <t>helpdesk@poraad.nl</t>
  </si>
  <si>
    <t>De gegevens omtrent de grondslag van uitkeringen e.d. zijn ontleend aan de Internetpublicaties van de Belastingdienst, ABP, UWV en OCW, en</t>
  </si>
  <si>
    <t>FPU (VUT/FPU basis)</t>
  </si>
  <si>
    <t>WAO/WIA-basispremie (AOF, incl. KO)</t>
  </si>
  <si>
    <t>UFO-premie</t>
  </si>
  <si>
    <t xml:space="preserve">Ingevuld is de premie voor kleine werkgevers. Voor middelgrote en grote werkgevers dient u zelf de percentages in te vullen die u van de </t>
  </si>
  <si>
    <t>datum nu</t>
  </si>
  <si>
    <t>te geven in de opbouw daarvan. Als zodanig is het een hulpmiddel voor het management bij het ramen van de personele kosten.</t>
  </si>
  <si>
    <t>Whk-gediferentieerd</t>
  </si>
  <si>
    <t>Premie Whk-gedifferentieerd</t>
  </si>
  <si>
    <t xml:space="preserve">zijn de gedifferentieerde premies per sector vastgesteld. Voor grote werkgevers gebeurt dat individueel. Voor middelgrote werkgevers wordt </t>
  </si>
  <si>
    <r>
      <t xml:space="preserve">in de werkorganisatie. Per 1 januari 2014 moet nu ook een gedifferentieerde premie betaald worden voor </t>
    </r>
    <r>
      <rPr>
        <b/>
        <sz val="10"/>
        <rFont val="Calibri"/>
        <family val="2"/>
      </rPr>
      <t>flexwerkers</t>
    </r>
    <r>
      <rPr>
        <sz val="10"/>
        <rFont val="Calibri"/>
        <family val="2"/>
      </rPr>
      <t xml:space="preserve">. Omdat verwerking </t>
    </r>
  </si>
  <si>
    <t>Doelgroep Eigen RisicoDrager (ERD)</t>
  </si>
  <si>
    <t>ERD WD14</t>
  </si>
  <si>
    <t>ERD WD42</t>
  </si>
  <si>
    <t>ERD SL80</t>
  </si>
  <si>
    <t>ERD SL100</t>
  </si>
  <si>
    <t>Volledig ERD</t>
  </si>
  <si>
    <t>VF: ERD</t>
  </si>
  <si>
    <t>Volledig ERD:</t>
  </si>
  <si>
    <t>ERD WD14:</t>
  </si>
  <si>
    <t>ERD WD42:</t>
  </si>
  <si>
    <t>ERD SL80:</t>
  </si>
  <si>
    <t>ERD SL100:</t>
  </si>
  <si>
    <t xml:space="preserve"> (14 wachtdagen)</t>
  </si>
  <si>
    <t xml:space="preserve"> (42 wachtdagen)</t>
  </si>
  <si>
    <t xml:space="preserve"> (Stop Los 80)</t>
  </si>
  <si>
    <t xml:space="preserve"> (Stop Los 100)</t>
  </si>
  <si>
    <r>
      <t xml:space="preserve">bijgestelde versie van dit instrument vergt. In die gevallen komt er dus een </t>
    </r>
    <r>
      <rPr>
        <b/>
        <sz val="10"/>
        <rFont val="Calibri"/>
        <family val="2"/>
      </rPr>
      <t>bijgestelde versie</t>
    </r>
    <r>
      <rPr>
        <sz val="10"/>
        <rFont val="Calibri"/>
        <family val="2"/>
      </rPr>
      <t>.</t>
    </r>
  </si>
  <si>
    <t xml:space="preserve">Door in werkblad 'wgl' te varieren naar omvang werktijdfactor, per schaal en in een schaal wat betreft de inschaling naar regel van laag naar </t>
  </si>
  <si>
    <t xml:space="preserve">hoog verkrijgt men inzicht in het percentage wat voor die betreffende schaal van toepassing is. Dat is van belang voor het financieel </t>
  </si>
  <si>
    <t xml:space="preserve">voor een werkgever. </t>
  </si>
  <si>
    <t>Bijdrage-inkomen</t>
  </si>
  <si>
    <t>ZVW premie</t>
  </si>
  <si>
    <t>idem</t>
  </si>
  <si>
    <t>meer info</t>
  </si>
  <si>
    <t>BRUTO-NETTO TRAJECT WERKNEMER (indicatief)</t>
  </si>
  <si>
    <t>BASISGEGEVENS</t>
  </si>
  <si>
    <t>2018/2019</t>
  </si>
  <si>
    <t>L10</t>
  </si>
  <si>
    <t>L11</t>
  </si>
  <si>
    <t>L12</t>
  </si>
  <si>
    <t>L13</t>
  </si>
  <si>
    <t>L14</t>
  </si>
  <si>
    <t>De compensatie ziektekosten (inkomenstoelage) voor het OOP blijft echter wel van kracht.</t>
  </si>
  <si>
    <t>OOP</t>
  </si>
  <si>
    <t>VF: geen aansluiting</t>
  </si>
  <si>
    <t>uitlooptoeslag leraar</t>
  </si>
  <si>
    <t>Eenmalige nominale uitkering wn</t>
  </si>
  <si>
    <t>Eenmalige nominale uitkering leraar</t>
  </si>
  <si>
    <t>geb.dat</t>
  </si>
  <si>
    <t>Struct nomi</t>
  </si>
  <si>
    <t>nale uitker.</t>
  </si>
  <si>
    <t>naam</t>
  </si>
  <si>
    <t xml:space="preserve">uitl.toesl. </t>
  </si>
  <si>
    <t xml:space="preserve">eindejaarsuitkering per maand berekend. Het beoogt alleen een indicatie te geven van de omvang van de werkgeverspercentage en enig inzicht </t>
  </si>
  <si>
    <t>management. Op die wijze is het immers mogelijk om redelijk nauwkeurig de totale loonkosten te ramen van een werknemer.</t>
  </si>
  <si>
    <t>basis</t>
  </si>
  <si>
    <t>VUT/FPU</t>
  </si>
  <si>
    <t>Totale loonkosten euro</t>
  </si>
  <si>
    <t>besl. regel</t>
  </si>
  <si>
    <t>toelage direct.</t>
  </si>
  <si>
    <t>FPU basis</t>
  </si>
  <si>
    <t>Totaal pens.</t>
  </si>
  <si>
    <t>Bijdrage-ink.</t>
  </si>
  <si>
    <t xml:space="preserve">ZVW vergoed. </t>
  </si>
  <si>
    <t>ziektekn. OOP</t>
  </si>
  <si>
    <t>premie Participatiefonds (Pf)</t>
  </si>
  <si>
    <t>compensatie ziektekosten OOP</t>
  </si>
  <si>
    <t>structurele nominale uitkering (op dag van de leraar)</t>
  </si>
  <si>
    <t>totale loonkosten (excl. overige) t.o.v. kosten gerelateerd aan inkomen werkn.</t>
  </si>
  <si>
    <t>Totaal salaris en overige looncomponenten</t>
  </si>
  <si>
    <t>totaal werkgeverslasten</t>
  </si>
  <si>
    <t>datumnu</t>
  </si>
  <si>
    <t>Premies pensioen- en werknemersverzekeringen</t>
  </si>
  <si>
    <t>totaal overige looncomponenten</t>
  </si>
  <si>
    <t>totale loonkosten t.o.v. salaris en overige looncomponenten</t>
  </si>
  <si>
    <t>A. SALARIS</t>
  </si>
  <si>
    <t>B. OVERIGE LOONCOMPONENTEN</t>
  </si>
  <si>
    <t>C. WERKGEVERSLASTEN</t>
  </si>
  <si>
    <t>Pensioenpremies werknemer</t>
  </si>
  <si>
    <t>minus: Pensioenpremies werknemer</t>
  </si>
  <si>
    <t>bijdrage -inkomen</t>
  </si>
  <si>
    <t xml:space="preserve">loonkn t.o.v. </t>
  </si>
  <si>
    <t>looncompon</t>
  </si>
  <si>
    <t>n</t>
  </si>
  <si>
    <t>sal.en overige</t>
  </si>
  <si>
    <t>bruto-sal</t>
  </si>
  <si>
    <t>alle looncomp</t>
  </si>
  <si>
    <t>wtf*mnd.sal.</t>
  </si>
  <si>
    <t>bruto-salaris</t>
  </si>
  <si>
    <r>
      <rPr>
        <i/>
        <u/>
        <sz val="10"/>
        <rFont val="Calibri"/>
        <family val="2"/>
      </rPr>
      <t>Van</t>
    </r>
    <r>
      <rPr>
        <i/>
        <sz val="10"/>
        <rFont val="Calibri"/>
        <family val="2"/>
      </rPr>
      <t xml:space="preserve"> bruto-salaris (A), </t>
    </r>
    <r>
      <rPr>
        <i/>
        <u/>
        <sz val="10"/>
        <rFont val="Calibri"/>
        <family val="2"/>
      </rPr>
      <t>naar</t>
    </r>
    <r>
      <rPr>
        <i/>
        <sz val="10"/>
        <rFont val="Calibri"/>
        <family val="2"/>
      </rPr>
      <t xml:space="preserve"> totaal salaris en overige looncomponenten (B)</t>
    </r>
  </si>
  <si>
    <t>Totaal bruto-salaris (wtf x maandsalaris)</t>
  </si>
  <si>
    <t>Werkblad Werkgeverslasten totaal (wgl tot)</t>
  </si>
  <si>
    <t>In de cao 2018-2019 is een belangrijke verandering doorgevoerd doordat tal van toelagen nu ondergebracht zijn in de salarisschalen.</t>
  </si>
  <si>
    <t>Het schaal-uitloopbedrag, de bindingstoelage en de compensatie ziektekosten (inkomenstoelage) zijn nu in de salarisschalen verwerkt.</t>
  </si>
  <si>
    <t xml:space="preserve">Dit heeft tot gevolg dat het Werkgeverspercentage (= totale loonkosten t.o.v. bruto salaris) een forse verlaging ondergaat. </t>
  </si>
  <si>
    <t>Tegelijkertijd constateren we dat de premie van het VF sterk afhankelijk is van de keuze die gemaakt is omtrent het Eigen RisicoDragerschap (ERD).</t>
  </si>
  <si>
    <t xml:space="preserve">Ook zien we dat er in veel gevallen sprake is van eigen beleid bij het toekennen van extra vergoedingen. Denk hierbij aan reis- en verblijfkosten, </t>
  </si>
  <si>
    <t xml:space="preserve">een eventuele parkeervergoeding, EHBO- of telefoontoelage, eigen risico VF: vervangingskosten etc. en vanaf 1 jan. 2015 ook het </t>
  </si>
  <si>
    <t>rechtspositioneel verlof.</t>
  </si>
  <si>
    <t>Dit maakt het niet goed meer mogelijk om te werken met een algemeen geldend percentage voor de werkgeverslasten t.o.v. het salaris.</t>
  </si>
  <si>
    <t xml:space="preserve">Door alle werknemers in te voeren in werkblad 'wgl tot' verkrijgt men wel het juiste percentage WG-lasten voor alle personeelsleden en daarmee </t>
  </si>
  <si>
    <t>ook het percentage WG-lasten dat voor deze werkgever van toepassing is en dus gebruikt moet worden in de meerjarenbegroting.</t>
  </si>
  <si>
    <t>In de instrumenten MJB verwijzen we daarom ook nadrukkelijk naar dit instrument om het juiste percentage vast te stellen.</t>
  </si>
  <si>
    <t>Voor het overige verwijzen we naar de toelichting in het voorgaande werkblad.</t>
  </si>
  <si>
    <t>raming opslagpercentage</t>
  </si>
  <si>
    <t>raming opslagpercentage werkgever</t>
  </si>
  <si>
    <t>Opslag loonkosten t.o.v. bruto-salaris</t>
  </si>
  <si>
    <t>Opslag Werkgeverspercentage: totale loonkosten t.o.v. bruto salaris</t>
  </si>
  <si>
    <t>Dit percentage voor alle werknemers wordt weergegeven in cel O4 van dit werkblad.</t>
  </si>
  <si>
    <t xml:space="preserve"> vanaf 1 januari </t>
  </si>
  <si>
    <t>https://www.abp.nl/images/24.0006.18_premietabel_2019.pdf</t>
  </si>
  <si>
    <t>https://zoek.officielebekendmakingen.nl/stcrt-2018-64901.html</t>
  </si>
  <si>
    <t xml:space="preserve">https://www.uwv.nl/werkgevers/eigenrisicodrager/eigenrisicodrager-wga/premiewijzer-gedifferentieerde-premie-werkhervattingskas.aspx </t>
  </si>
  <si>
    <t xml:space="preserve">https://www.salarisnet.nl/?s=inkomensafhankelijke+bijdrage+Zorgverzekeringswet+2019 </t>
  </si>
  <si>
    <t xml:space="preserve">https://www.vervangingsfonds.nl/over-ons/nieuws/actueel/premies-per-1-januari-2019-bekend?state=online </t>
  </si>
  <si>
    <t xml:space="preserve">https://www.participatiefonds.nl/werkgevers/Premie+betalen </t>
  </si>
  <si>
    <r>
      <t xml:space="preserve">De keuze van eigen risicodragerschap geldt ook </t>
    </r>
    <r>
      <rPr>
        <sz val="10"/>
        <rFont val="Calibri"/>
        <family val="2"/>
      </rPr>
      <t>voor samenwerkingsverbanden van besturen.</t>
    </r>
  </si>
  <si>
    <r>
      <t>De premie van het PF per 1-1-2019 is 4</t>
    </r>
    <r>
      <rPr>
        <b/>
        <sz val="10"/>
        <rFont val="Calibri"/>
        <family val="2"/>
      </rPr>
      <t>,00%.</t>
    </r>
  </si>
  <si>
    <t xml:space="preserve">https://www.rijksoverheid.nl/ministeries/ministerie-van-financien/documenten/circulaires/2018/12/18/belangrijkste-wijzigingen-belastingen-2019 </t>
  </si>
  <si>
    <t>Tabel 1 Schijventarief inkomstenbelasting/premie volksverzekeringen 2019</t>
  </si>
  <si>
    <t>artikel 6 en 7</t>
  </si>
  <si>
    <t>kosten ziekte en vervanging</t>
  </si>
  <si>
    <t>(5)</t>
  </si>
  <si>
    <t>(6)</t>
  </si>
  <si>
    <t>(7)</t>
  </si>
  <si>
    <t>(8)</t>
  </si>
  <si>
    <t>VF: ERD WD14</t>
  </si>
  <si>
    <t>VF: ERD WD42</t>
  </si>
  <si>
    <t>VF: ERD SL80</t>
  </si>
  <si>
    <t>VF: ERD SL100</t>
  </si>
  <si>
    <t xml:space="preserve">overige toelagen </t>
  </si>
  <si>
    <t>tegemoetkoming reiskosten</t>
  </si>
  <si>
    <t xml:space="preserve">doorbetaald ouderschapsverlof </t>
  </si>
  <si>
    <t xml:space="preserve">de mogelijkheid EigenRisicoDrager (ERD) te zijn. Daarbij gelden enkele varianten: </t>
  </si>
  <si>
    <t>Bij het VF geldt naast de de mogelijkheid om verzekerd te zijn voor vervangingskosten bij ziekte tegen een premie van 6,25%,</t>
  </si>
  <si>
    <t xml:space="preserve">Dergelijke componenten zijn in dit model niet geautomatiseerd opgenomen omdat ze sterk afhankelijk zijn van individuele situaties van werknemers. </t>
  </si>
  <si>
    <t xml:space="preserve">kosten vervanging eigen beleid  </t>
  </si>
  <si>
    <t xml:space="preserve">kosten vervanging verlof </t>
  </si>
  <si>
    <t>overig eigen beleid</t>
  </si>
  <si>
    <t>Alleen de witte velden kunnen worden gewijzigd, en bevatten de op te geven variabelen voor de berekeningen.</t>
  </si>
  <si>
    <t xml:space="preserve">D. EIGEN BELEID </t>
  </si>
  <si>
    <t xml:space="preserve">totaal eigen beleid </t>
  </si>
  <si>
    <t>vervanging eigen beleid</t>
  </si>
  <si>
    <t>kosten eigen beleid</t>
  </si>
  <si>
    <t>Werkwijze</t>
  </si>
  <si>
    <t>Voor het maken van meerjarenformatiebeleid in relatie tot een meerjarenbegroting is deze informatie van belang.</t>
  </si>
  <si>
    <t>Brongegevens</t>
  </si>
  <si>
    <t>Belastingdienst krijgt toegestuurd in het werkblad 'tabellen', cel C10 .</t>
  </si>
  <si>
    <t>Opbouw WAO/ WIA</t>
  </si>
  <si>
    <t xml:space="preserve">De belastingdienst stelt de gedifferentieerde Whk premie per werkgever vast. De premie is afhankelijk van het arbeidsongeschiktheidsrisico </t>
  </si>
  <si>
    <t>daarvan te complex wordt voor dit instrument laten we deze premiebetaling voor flexwerkers buiten beschouwing.</t>
  </si>
  <si>
    <t xml:space="preserve">Kosten ziekte en vervanging </t>
  </si>
  <si>
    <t>Ontheffing: WPO artikel 183, lid 3</t>
  </si>
  <si>
    <t>Incidentele uitkering in 2018 m.h.o. op pensioengrondslag 2019:</t>
  </si>
  <si>
    <t>uitkeringen</t>
  </si>
  <si>
    <t>in blad wgl en blad wgl tot</t>
  </si>
  <si>
    <t xml:space="preserve">De salaristabellen zijn de tabellen van de cao po 2018/2019 die per 1 -1-2019 gelden. </t>
  </si>
  <si>
    <t xml:space="preserve">Het jaarinkomen ABP wordt bepaald op basis van de situatie in januari van het betreffende jaar. Incidentele toekenningen in het voorafgaande jaar </t>
  </si>
  <si>
    <t xml:space="preserve">worden ook meegenomen in de grondslag van het daarop volgende jaar in januari. Dit betekent voor 2019 dat de toekenningen in oktober 2018 </t>
  </si>
  <si>
    <t>worden meegenomen.</t>
  </si>
  <si>
    <t>E. Totale loonkosten</t>
  </si>
  <si>
    <r>
      <rPr>
        <i/>
        <u/>
        <sz val="10"/>
        <rFont val="Calibri"/>
        <family val="2"/>
      </rPr>
      <t>Van</t>
    </r>
    <r>
      <rPr>
        <i/>
        <sz val="10"/>
        <rFont val="Calibri"/>
        <family val="2"/>
      </rPr>
      <t xml:space="preserve"> salaris en overige looncomponenten (A+B), </t>
    </r>
    <r>
      <rPr>
        <i/>
        <u/>
        <sz val="10"/>
        <rFont val="Calibri"/>
        <family val="2"/>
      </rPr>
      <t>naar</t>
    </r>
    <r>
      <rPr>
        <i/>
        <sz val="10"/>
        <rFont val="Calibri"/>
        <family val="2"/>
      </rPr>
      <t xml:space="preserve"> totale loonkosten (D)</t>
    </r>
  </si>
  <si>
    <r>
      <rPr>
        <i/>
        <u/>
        <sz val="10"/>
        <rFont val="Calibri"/>
        <family val="2"/>
      </rPr>
      <t>Van</t>
    </r>
    <r>
      <rPr>
        <i/>
        <sz val="10"/>
        <rFont val="Calibri"/>
        <family val="2"/>
      </rPr>
      <t xml:space="preserve"> bruto-salaris (A), </t>
    </r>
    <r>
      <rPr>
        <i/>
        <u/>
        <sz val="10"/>
        <rFont val="Calibri"/>
        <family val="2"/>
      </rPr>
      <t>naar</t>
    </r>
    <r>
      <rPr>
        <i/>
        <sz val="10"/>
        <rFont val="Calibri"/>
        <family val="2"/>
      </rPr>
      <t xml:space="preserve"> totale loonkosten (E)</t>
    </r>
  </si>
  <si>
    <t>premie Vervangingsfonds (Vf)</t>
  </si>
  <si>
    <t>De uitlooptoeslag voor leraren (toegekend volgens artikel 6.13 van de cao PO) blijft ook bestaan.</t>
  </si>
  <si>
    <t>de CAO PO 2018-2019. De algemene premies zijn van toepassing vanaf 1 januari 2019.</t>
  </si>
  <si>
    <t xml:space="preserve">(eenmalige nominale uitkering wn € 750, eenmalige nominale uitkering leraar 42%) in de bepaling van de pensioengrondslag </t>
  </si>
  <si>
    <t>Kalenderjaar</t>
  </si>
  <si>
    <t xml:space="preserve">Dit werkblad heeft niet de pretentie een exacte salarisberekening te maken! Zo wordt ook de vakantieuitkering en de </t>
  </si>
  <si>
    <t>Het wordt aangeraden om zelf een berekening van de werkgeverspercentages te maken op basis van de verhouding tussen</t>
  </si>
  <si>
    <t>In het werkblad Werkgeverslasten/ werkgeverslasten totaal  kunt u een keuze maken in de bepaling van de premie VF.</t>
  </si>
  <si>
    <t>Belastingen 2019</t>
  </si>
  <si>
    <t>Tarieven, bedragen en percentages vanaf 1 januari 2019</t>
  </si>
  <si>
    <t>Extra toelichting kosten ziekte en vervanging:</t>
  </si>
  <si>
    <r>
      <t xml:space="preserve"> -</t>
    </r>
    <r>
      <rPr>
        <i/>
        <sz val="7"/>
        <color theme="1"/>
        <rFont val="Times New Roman"/>
        <family val="1"/>
      </rPr>
      <t xml:space="preserve">          </t>
    </r>
    <r>
      <rPr>
        <i/>
        <sz val="11"/>
        <color theme="1"/>
        <rFont val="Calibri"/>
        <family val="2"/>
      </rPr>
      <t xml:space="preserve">Bij het VF geldt de mogelijkheid om EigenRisicoDrager (ERD) te zijn middels </t>
    </r>
  </si>
  <si>
    <t xml:space="preserve">diverse varianten. Volledige (vrijwillige/verplichte) aansluiting kent een premie </t>
  </si>
  <si>
    <t>van 6,25%. Voor overige varianten, zie de toelichting</t>
  </si>
  <si>
    <t xml:space="preserve"> -          Een bestuur dat voor het VF eigenrisicodrager is, kan een schatting van de eigen </t>
  </si>
  <si>
    <t xml:space="preserve">            kosten voor vervanging [1] opvoeren bij ‘kosten vervanging eigen beleid’.</t>
  </si>
  <si>
    <t>Extra toelichting Eigen Beleid:</t>
  </si>
  <si>
    <t xml:space="preserve">Er kan in dit werkgeverslastenoverzicht rekening gehouden worden met overige </t>
  </si>
  <si>
    <t xml:space="preserve">kosten die niet geautomatiseerd zijn opgenomen omdat ze per individu sterk </t>
  </si>
  <si>
    <t>kunnen verschillen. Denk hierbij aan:</t>
  </si>
  <si>
    <r>
      <t xml:space="preserve"> -</t>
    </r>
    <r>
      <rPr>
        <i/>
        <sz val="7"/>
        <color theme="1"/>
        <rFont val="Times New Roman"/>
        <family val="1"/>
      </rPr>
      <t xml:space="preserve">          </t>
    </r>
    <r>
      <rPr>
        <i/>
        <sz val="11"/>
        <color theme="1"/>
        <rFont val="Calibri"/>
        <family val="2"/>
      </rPr>
      <t xml:space="preserve">Overige toelagen (jubileumgratificaties (cao 6.18), incidentele beloning </t>
    </r>
  </si>
  <si>
    <t>(cao 6.19), ehbo toelage</t>
  </si>
  <si>
    <r>
      <t xml:space="preserve"> -</t>
    </r>
    <r>
      <rPr>
        <i/>
        <sz val="7"/>
        <color theme="1"/>
        <rFont val="Times New Roman"/>
        <family val="1"/>
      </rPr>
      <t xml:space="preserve">          </t>
    </r>
    <r>
      <rPr>
        <i/>
        <sz val="11"/>
        <color theme="1"/>
        <rFont val="Calibri"/>
        <family val="2"/>
      </rPr>
      <t>Tegemoetkoming reiskosten woon-werkverkeer cao tabel A10)</t>
    </r>
  </si>
  <si>
    <r>
      <t xml:space="preserve"> -</t>
    </r>
    <r>
      <rPr>
        <i/>
        <sz val="7"/>
        <color theme="1"/>
        <rFont val="Times New Roman"/>
        <family val="1"/>
      </rPr>
      <t xml:space="preserve">          </t>
    </r>
    <r>
      <rPr>
        <i/>
        <sz val="11"/>
        <color theme="1"/>
        <rFont val="Calibri"/>
        <family val="2"/>
      </rPr>
      <t xml:space="preserve">Kosten vervanging verlof : kosten voor o.a. vervanging bij duurzame </t>
    </r>
  </si>
  <si>
    <t>inzetbaarheid, ouderschapsverlof (cao 8A.4 t/m 8A.8, cao art. 8.21)</t>
  </si>
  <si>
    <r>
      <t xml:space="preserve"> -</t>
    </r>
    <r>
      <rPr>
        <i/>
        <sz val="7"/>
        <color theme="1"/>
        <rFont val="Times New Roman"/>
        <family val="1"/>
      </rPr>
      <t xml:space="preserve">          </t>
    </r>
    <r>
      <rPr>
        <i/>
        <sz val="11"/>
        <color theme="1"/>
        <rFont val="Calibri"/>
        <family val="2"/>
      </rPr>
      <t>Kosten voor professionalisering (cao 9.7 t/m 9.11)</t>
    </r>
  </si>
  <si>
    <r>
      <t xml:space="preserve"> -</t>
    </r>
    <r>
      <rPr>
        <i/>
        <sz val="7"/>
        <color theme="1"/>
        <rFont val="Times New Roman"/>
        <family val="1"/>
      </rPr>
      <t xml:space="preserve">          </t>
    </r>
    <r>
      <rPr>
        <i/>
        <sz val="11"/>
        <color theme="1"/>
        <rFont val="Calibri"/>
        <family val="2"/>
      </rPr>
      <t>Overig eigen beleid (reis- en verblijfkosten, parkeervergoeding e.d.)</t>
    </r>
  </si>
  <si>
    <r>
      <t>[1]</t>
    </r>
    <r>
      <rPr>
        <i/>
        <sz val="11"/>
        <color theme="1"/>
        <rFont val="Calibri"/>
        <family val="2"/>
      </rPr>
      <t xml:space="preserve"> NB: U kunt ervoor kiezen de kosten van vervanging (bij ziekte en/of verlof) te </t>
    </r>
  </si>
  <si>
    <t xml:space="preserve">verwerken in dit overzicht. U kunt deze kosten ook weglaten in dit overzicht en een </t>
  </si>
  <si>
    <t>fictief extra personeelslid opnemen met de omvang van de vervanging onder tabblad ‘wgl tot’.</t>
  </si>
  <si>
    <t xml:space="preserve">De pensioenpremies zijn aangepast per 1 januari 2019. Een wijziging van de </t>
  </si>
  <si>
    <t xml:space="preserve">pensioenpremies in de marktsector wordt via de referentiesystematiek 2019 meegenomen </t>
  </si>
  <si>
    <t xml:space="preserve">in de indexering van de personele bekostiging. Deze indexering wordt in september </t>
  </si>
  <si>
    <t>2019 door OCW gepubliceerd en dan in de bekostiging verwerkt.</t>
  </si>
  <si>
    <t xml:space="preserve">extra toelichting kosten ziekte en vervanging: </t>
  </si>
  <si>
    <t>extra toelichting Eigen Beleid:</t>
  </si>
  <si>
    <t xml:space="preserve"> * Overige toelagen (jubileumgratificaties (cao 12.8), incidentele beloning, ehbo toelage </t>
  </si>
  <si>
    <t xml:space="preserve"> *  Tegemoetkoming reiskosten woon-werkverkeer (cao 13.1) </t>
  </si>
  <si>
    <t xml:space="preserve"> * kosten voor professionalisering (cao 9.7 t/m 9.11) </t>
  </si>
  <si>
    <t xml:space="preserve"> * kosten voor doorbetaald ouderschapsverlof (cao 8.21)</t>
  </si>
  <si>
    <t xml:space="preserve"> * overig eigen beleid (reis- en verblijfkosten, parkeervergoeding e.d.)</t>
  </si>
  <si>
    <t xml:space="preserve"> - Bij het VF geldt de mogelijkheid om Eigen Risico Drager (ERD) te zijn middels diverse </t>
  </si>
  <si>
    <t xml:space="preserve">varianten. Volledige (vrijwillige/verplichte) kent een premie van 6,25%. Voor overige </t>
  </si>
  <si>
    <t xml:space="preserve">varianten , zie de toelichting. </t>
  </si>
  <si>
    <t xml:space="preserve"> - Eenbestuur dat voor het VF eigenrisicodrager is, kan een schatting van de eigen kosten </t>
  </si>
  <si>
    <t>voor vervanging  opvoeren bij "kosten vervanging eigen beleid[1]”.</t>
  </si>
  <si>
    <t xml:space="preserve">kosten die niet geautomatiseerd zijn opgenomen omdat ze per individu sterk kunnen </t>
  </si>
  <si>
    <t>verschillen. Denk hierbij aan:</t>
  </si>
  <si>
    <t xml:space="preserve"> *  kosten vervanging verlof: kosten voor o.a. vervanging levensfasebewust </t>
  </si>
  <si>
    <t xml:space="preserve">    personeelsbeleid (cao 8A.4 t/m 8A.8, cao art. 8.21). </t>
  </si>
  <si>
    <r>
      <t>1</t>
    </r>
    <r>
      <rPr>
        <i/>
        <sz val="11"/>
        <rFont val="Calibri"/>
        <family val="2"/>
      </rPr>
      <t xml:space="preserve">NB: U kunt ervoor kiezen de kosten voor vervanging (bij ziekte en/of verlof) te </t>
    </r>
  </si>
  <si>
    <t xml:space="preserve">fictief extra personeelslid opnemen met de omvang van de vervanging onder </t>
  </si>
  <si>
    <t>tabblad 'wgl tot'.</t>
  </si>
  <si>
    <t xml:space="preserve"> - De pensioenpremies zijn aangepast per 1 januari 2019. Een wijziging van de </t>
  </si>
  <si>
    <t xml:space="preserve">   pensioenpremies in de marktsector wordt via de referentiesystematiek 2019 </t>
  </si>
  <si>
    <t xml:space="preserve">  meegenomen in de indexering van de personele bekostiging. Deze indexering wordt in </t>
  </si>
  <si>
    <t xml:space="preserve">  september 2019 door OCW gepubliceerd en dan in de bekostiging verwerkt.</t>
  </si>
  <si>
    <t xml:space="preserve"> - Bij het VF geldt de mogelijkheid om Eigen Risico Drager (ERD) te zijn middels </t>
  </si>
  <si>
    <t xml:space="preserve">diverse varianten. Volledige (vrijwillige/verplichte) kent een premie van 6,25%. </t>
  </si>
  <si>
    <t xml:space="preserve">Voor overige varianten, zie de toelichting. </t>
  </si>
  <si>
    <t xml:space="preserve"> - Een bestuur dat voor het VF eigenrisicodrager is, kan een schatting van de eigen </t>
  </si>
  <si>
    <t>kosten voor vervanging  opvoeren bij "kosten vervanging eigen beleid[1]”.</t>
  </si>
  <si>
    <t xml:space="preserve"> * Overige toelagen (jubileumgratificaties (cao 12.8), incidentele beloning, </t>
  </si>
  <si>
    <t xml:space="preserve">     ehbo toelage </t>
  </si>
  <si>
    <t xml:space="preserve">  meegenomen in de indexering van de personele bekostiging. Deze indexering wordt </t>
  </si>
  <si>
    <t xml:space="preserve">  in september 2019 door OCW gepubliceerd en dan in de bekostiging verwerkt.</t>
  </si>
  <si>
    <t>werkgeverslasten t.o.v. salaris en overige looncomponenten</t>
  </si>
  <si>
    <t>excl overige werkgeverslasten</t>
  </si>
  <si>
    <t>j</t>
  </si>
  <si>
    <t xml:space="preserve">    personeelsbeleid (cao 8A.4 t/m 8A.8). </t>
  </si>
  <si>
    <t>nee</t>
  </si>
  <si>
    <t xml:space="preserve">eenmalige </t>
  </si>
  <si>
    <t>nomin. uitk.</t>
  </si>
  <si>
    <t>leraar 1 okt</t>
  </si>
  <si>
    <t xml:space="preserve">Een uitvoerige beschrijving van de inhoud van de betreffende tabbladen vindt u verderop in dit werklad. </t>
  </si>
  <si>
    <r>
      <t xml:space="preserve">Omdat de premies aangepast zijn per 1 januari hebben de berekeningen Werkgeverslasten betrekking op het </t>
    </r>
    <r>
      <rPr>
        <b/>
        <sz val="10"/>
        <rFont val="Calibri"/>
        <family val="2"/>
      </rPr>
      <t>kalenderjaar</t>
    </r>
    <r>
      <rPr>
        <sz val="10"/>
        <rFont val="Calibri"/>
        <family val="2"/>
      </rPr>
      <t>.</t>
    </r>
  </si>
  <si>
    <t xml:space="preserve">Voor het vaststellen van het percentage is van belang of er sprake is van een grote, middelgrote of kleine werkgever. Voor kleine werkgevers </t>
  </si>
  <si>
    <t>Deze zijn nader aangegeven en voor zover nodig nader toegelicht in  het tekstvak in het werkblad werkgeverszaken</t>
  </si>
  <si>
    <t>In het tabblad werkgeverslasten (wgl) kunt u op individueel werknemersniveau de werkgeverslasten berekenen, en het bijbehorende werkgevers-</t>
  </si>
  <si>
    <t xml:space="preserve">percentage. In het tabblad werkgeverslasten totaal (wgl tot), kunt u ten behoeve van een (meerjaren)begroting uw complete formatie invoeren.  </t>
  </si>
  <si>
    <t xml:space="preserve">Het schaal-uitloopbedrag, de bindingstoelage en de compensatie ziektekosten (inkomenstoelage) zijn in de salarisschalen verwerkt vanaf </t>
  </si>
  <si>
    <t>1 september 2018. De compensatie ziektekosten (inkomenstoelage, 6.14a cao PO) voor het OOP blijft echter wel van kracht.</t>
  </si>
  <si>
    <t xml:space="preserve">Onderdeel van de WAO/ WIA is de basispremie arbeidsongeschiktheidsfonds,  de opslag tot dekking kinderopvangtoeslag en de gedifferentieerde </t>
  </si>
  <si>
    <t xml:space="preserve">WGA premie (=Whk premie) </t>
  </si>
  <si>
    <t xml:space="preserve">De opsomming kan u echter helpen bij het zo volledig mogelijk maken van de werkgeverslasten behorende bij een individuele werknemer </t>
  </si>
  <si>
    <t xml:space="preserve">voor begrotingsdoeleinden. </t>
  </si>
  <si>
    <t>van toepassing vanaf 1 juli 2019</t>
  </si>
  <si>
    <r>
      <t xml:space="preserve">Dit werkblad bevat relevante tabellen, conform de gegevens zoals die vanaf </t>
    </r>
    <r>
      <rPr>
        <b/>
        <sz val="10"/>
        <color rgb="FFFF0000"/>
        <rFont val="Calibri"/>
        <family val="2"/>
      </rPr>
      <t xml:space="preserve">1 juli 2019 </t>
    </r>
    <r>
      <rPr>
        <sz val="10"/>
        <rFont val="Calibri"/>
        <family val="2"/>
      </rPr>
      <t>gelden.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</si>
</sst>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quot;€&quot;\ * #,##0_ ;_ &quot;€&quot;\ * \-#,##0_ ;_ &quot;€&quot;\ * &quot;-&quot;_ ;_ @_ "/>
    <numFmt numFmtId="44" formatCode="_ &quot;€&quot;\ * #,##0.00_ ;_ &quot;€&quot;\ * \-#,##0.00_ ;_ &quot;€&quot;\ * &quot;-&quot;??_ ;_ @_ "/>
    <numFmt numFmtId="164" formatCode="_-&quot;€&quot;\ * #,##0.00_-;_-&quot;€&quot;\ * #,##0.00\-;_-&quot;€&quot;\ * &quot;-&quot;??_-;_-@_-"/>
    <numFmt numFmtId="165" formatCode="_-&quot;fl&quot;\ * #,##0.00_-;_-&quot;fl&quot;\ * #,##0.00\-;_-&quot;fl&quot;\ * &quot;-&quot;??_-;_-@_-"/>
    <numFmt numFmtId="166" formatCode="0.0000"/>
    <numFmt numFmtId="167" formatCode="0.000%"/>
    <numFmt numFmtId="168" formatCode="#,##0.00_ ;[Red]\-#,##0.00\ "/>
    <numFmt numFmtId="169" formatCode="0.0%"/>
    <numFmt numFmtId="170" formatCode="_-&quot;€&quot;\ * #,##0_-;_-&quot;€&quot;\ * #,##0\-;_-&quot;€&quot;\ * &quot;-&quot;??_-;_-@_-"/>
    <numFmt numFmtId="171" formatCode="0_ ;\-0\ "/>
    <numFmt numFmtId="172" formatCode="_ [$€-413]\ * #,##0.00_ ;_ [$€-413]\ * \-#,##0.00_ ;_ [$€-413]\ * &quot;-&quot;??_ ;_ @_ "/>
    <numFmt numFmtId="173" formatCode="d\ mmmm\ yyyy"/>
    <numFmt numFmtId="174" formatCode="_ &quot;€&quot;\ * #,##0_ ;_ &quot;€&quot;\ * \-#,##0_ ;_ &quot;€&quot;\ * &quot;-&quot;??_ ;_ @_ "/>
    <numFmt numFmtId="175" formatCode="0.0"/>
    <numFmt numFmtId="176" formatCode="0.000"/>
  </numFmts>
  <fonts count="107" x14ac:knownFonts="1">
    <font>
      <sz val="10"/>
      <name val="Arial"/>
    </font>
    <font>
      <sz val="10"/>
      <name val="Arial"/>
      <family val="2"/>
    </font>
    <font>
      <u/>
      <sz val="10"/>
      <color indexed="12"/>
      <name val="Arial"/>
      <family val="2"/>
    </font>
    <font>
      <sz val="9"/>
      <color indexed="81"/>
      <name val="Tahoma"/>
      <family val="2"/>
    </font>
    <font>
      <sz val="8"/>
      <color indexed="81"/>
      <name val="Tahoma"/>
      <family val="2"/>
    </font>
    <font>
      <sz val="8"/>
      <name val="Arial"/>
      <family val="2"/>
    </font>
    <font>
      <sz val="11"/>
      <name val="Calibri"/>
      <family val="2"/>
    </font>
    <font>
      <sz val="10"/>
      <name val="Calibri"/>
      <family val="2"/>
    </font>
    <font>
      <b/>
      <sz val="10"/>
      <name val="Calibri"/>
      <family val="2"/>
    </font>
    <font>
      <b/>
      <i/>
      <sz val="10"/>
      <name val="Calibri"/>
      <family val="2"/>
    </font>
    <font>
      <b/>
      <sz val="11"/>
      <name val="Calibri"/>
      <family val="2"/>
    </font>
    <font>
      <b/>
      <sz val="12"/>
      <color indexed="9"/>
      <name val="Calibri"/>
      <family val="2"/>
    </font>
    <font>
      <sz val="10"/>
      <name val="Calibri"/>
      <family val="2"/>
    </font>
    <font>
      <b/>
      <sz val="10"/>
      <name val="Calibri"/>
      <family val="2"/>
    </font>
    <font>
      <i/>
      <sz val="12"/>
      <name val="Calibri"/>
      <family val="2"/>
    </font>
    <font>
      <b/>
      <sz val="10"/>
      <color indexed="10"/>
      <name val="Calibri"/>
      <family val="2"/>
    </font>
    <font>
      <sz val="10"/>
      <color indexed="10"/>
      <name val="Calibri"/>
      <family val="2"/>
    </font>
    <font>
      <i/>
      <sz val="10"/>
      <name val="Calibri"/>
      <family val="2"/>
    </font>
    <font>
      <u/>
      <sz val="10"/>
      <color indexed="12"/>
      <name val="Calibri"/>
      <family val="2"/>
    </font>
    <font>
      <sz val="10"/>
      <name val="Calibri"/>
      <family val="2"/>
    </font>
    <font>
      <sz val="10"/>
      <color indexed="10"/>
      <name val="Calibri"/>
      <family val="2"/>
    </font>
    <font>
      <sz val="10"/>
      <color indexed="22"/>
      <name val="Calibri"/>
      <family val="2"/>
    </font>
    <font>
      <sz val="10"/>
      <color indexed="8"/>
      <name val="Calibri"/>
      <family val="2"/>
    </font>
    <font>
      <sz val="11"/>
      <color indexed="9"/>
      <name val="Calibri"/>
      <family val="2"/>
    </font>
    <font>
      <b/>
      <sz val="10"/>
      <color indexed="60"/>
      <name val="Calibri"/>
      <family val="2"/>
    </font>
    <font>
      <sz val="10"/>
      <color indexed="60"/>
      <name val="Calibri"/>
      <family val="2"/>
    </font>
    <font>
      <sz val="10"/>
      <color indexed="22"/>
      <name val="Calibri"/>
      <family val="2"/>
    </font>
    <font>
      <i/>
      <sz val="10"/>
      <color indexed="22"/>
      <name val="Calibri"/>
      <family val="2"/>
    </font>
    <font>
      <sz val="14"/>
      <name val="Calibri"/>
      <family val="2"/>
    </font>
    <font>
      <i/>
      <sz val="14"/>
      <name val="Calibri"/>
      <family val="2"/>
    </font>
    <font>
      <sz val="14"/>
      <color indexed="10"/>
      <name val="Calibri"/>
      <family val="2"/>
    </font>
    <font>
      <sz val="12"/>
      <name val="Calibri"/>
      <family val="2"/>
    </font>
    <font>
      <b/>
      <sz val="12"/>
      <color indexed="60"/>
      <name val="Calibri"/>
      <family val="2"/>
    </font>
    <font>
      <sz val="14"/>
      <color indexed="60"/>
      <name val="Calibri"/>
      <family val="2"/>
    </font>
    <font>
      <sz val="11"/>
      <color indexed="81"/>
      <name val="Tahoma"/>
      <family val="2"/>
    </font>
    <font>
      <sz val="12"/>
      <name val="Calibri"/>
      <family val="2"/>
    </font>
    <font>
      <sz val="10"/>
      <color indexed="10"/>
      <name val="Calibri"/>
      <family val="2"/>
      <scheme val="minor"/>
    </font>
    <font>
      <sz val="14"/>
      <color indexed="10"/>
      <name val="Calibri"/>
      <family val="2"/>
      <scheme val="minor"/>
    </font>
    <font>
      <sz val="10"/>
      <name val="Calibri"/>
      <family val="2"/>
      <scheme val="minor"/>
    </font>
    <font>
      <sz val="10"/>
      <color indexed="8"/>
      <name val="Calibri"/>
      <family val="2"/>
      <scheme val="minor"/>
    </font>
    <font>
      <b/>
      <i/>
      <sz val="10"/>
      <name val="Calibri"/>
      <family val="2"/>
      <scheme val="minor"/>
    </font>
    <font>
      <u/>
      <sz val="10"/>
      <color indexed="12"/>
      <name val="Calibri"/>
      <family val="2"/>
      <scheme val="minor"/>
    </font>
    <font>
      <sz val="10"/>
      <color rgb="FFC00000"/>
      <name val="Calibri"/>
      <family val="2"/>
    </font>
    <font>
      <b/>
      <i/>
      <sz val="10"/>
      <color theme="5"/>
      <name val="Calibri"/>
      <family val="2"/>
    </font>
    <font>
      <sz val="10"/>
      <color theme="5"/>
      <name val="Calibri"/>
      <family val="2"/>
    </font>
    <font>
      <i/>
      <sz val="10"/>
      <color theme="0" tint="-0.249977111117893"/>
      <name val="Calibri"/>
      <family val="2"/>
    </font>
    <font>
      <i/>
      <sz val="12"/>
      <color indexed="8"/>
      <name val="Calibri"/>
      <family val="2"/>
    </font>
    <font>
      <b/>
      <sz val="10"/>
      <color rgb="FFFF0000"/>
      <name val="Calibri"/>
      <family val="2"/>
    </font>
    <font>
      <sz val="10"/>
      <color theme="1" tint="0.34998626667073579"/>
      <name val="Calibri"/>
      <family val="2"/>
    </font>
    <font>
      <i/>
      <sz val="10"/>
      <color theme="1" tint="0.34998626667073579"/>
      <name val="Calibri"/>
      <family val="2"/>
    </font>
    <font>
      <b/>
      <sz val="10"/>
      <color theme="1" tint="0.34998626667073579"/>
      <name val="Calibri"/>
      <family val="2"/>
    </font>
    <font>
      <sz val="14"/>
      <color theme="1" tint="0.34998626667073579"/>
      <name val="Calibri"/>
      <family val="2"/>
    </font>
    <font>
      <sz val="14"/>
      <color rgb="FFC00000"/>
      <name val="Calibri"/>
      <family val="2"/>
    </font>
    <font>
      <sz val="10"/>
      <color theme="0" tint="-0.249977111117893"/>
      <name val="Calibri"/>
      <family val="2"/>
    </font>
    <font>
      <sz val="10"/>
      <color rgb="FF2B2B2B"/>
      <name val="Calibri"/>
      <family val="2"/>
      <scheme val="minor"/>
    </font>
    <font>
      <b/>
      <sz val="10"/>
      <name val="Calibri"/>
      <family val="2"/>
      <scheme val="minor"/>
    </font>
    <font>
      <sz val="10"/>
      <color indexed="55"/>
      <name val="Calibri"/>
      <family val="2"/>
      <scheme val="minor"/>
    </font>
    <font>
      <b/>
      <sz val="10"/>
      <color indexed="10"/>
      <name val="Calibri"/>
      <family val="2"/>
      <scheme val="minor"/>
    </font>
    <font>
      <sz val="10"/>
      <color theme="0" tint="-0.14999847407452621"/>
      <name val="Calibri"/>
      <family val="2"/>
      <scheme val="minor"/>
    </font>
    <font>
      <sz val="11"/>
      <color theme="0" tint="-0.249977111117893"/>
      <name val="Calibri"/>
      <family val="2"/>
    </font>
    <font>
      <b/>
      <sz val="10"/>
      <color rgb="FFC00000"/>
      <name val="Calibri"/>
      <family val="2"/>
    </font>
    <font>
      <b/>
      <sz val="10"/>
      <color indexed="8"/>
      <name val="Calibri"/>
      <family val="2"/>
    </font>
    <font>
      <sz val="10"/>
      <color rgb="FFFF0000"/>
      <name val="Calibri"/>
      <family val="2"/>
    </font>
    <font>
      <sz val="10"/>
      <color rgb="FFFF0000"/>
      <name val="Calibri"/>
      <family val="2"/>
      <scheme val="minor"/>
    </font>
    <font>
      <b/>
      <sz val="14"/>
      <color theme="5"/>
      <name val="Calibri"/>
      <family val="2"/>
    </font>
    <font>
      <b/>
      <sz val="9"/>
      <name val="Calibri"/>
      <family val="2"/>
    </font>
    <font>
      <sz val="9"/>
      <name val="Calibri"/>
      <family val="2"/>
    </font>
    <font>
      <i/>
      <sz val="9"/>
      <name val="Calibri"/>
      <family val="2"/>
    </font>
    <font>
      <i/>
      <sz val="10"/>
      <name val="Calibri"/>
      <family val="2"/>
      <scheme val="minor"/>
    </font>
    <font>
      <sz val="10"/>
      <color theme="1" tint="0.499984740745262"/>
      <name val="Calibri"/>
      <family val="2"/>
    </font>
    <font>
      <sz val="9"/>
      <color indexed="10"/>
      <name val="Calibri"/>
      <family val="2"/>
    </font>
    <font>
      <sz val="9"/>
      <color indexed="10"/>
      <name val="Calibri"/>
      <family val="2"/>
      <scheme val="minor"/>
    </font>
    <font>
      <sz val="9"/>
      <color theme="1" tint="0.34998626667073579"/>
      <name val="Calibri"/>
      <family val="2"/>
    </font>
    <font>
      <sz val="9"/>
      <color indexed="60"/>
      <name val="Calibri"/>
      <family val="2"/>
    </font>
    <font>
      <b/>
      <sz val="9"/>
      <color indexed="60"/>
      <name val="Calibri"/>
      <family val="2"/>
    </font>
    <font>
      <i/>
      <sz val="9"/>
      <color indexed="60"/>
      <name val="Calibri"/>
      <family val="2"/>
    </font>
    <font>
      <sz val="9"/>
      <name val="Calibri"/>
      <family val="2"/>
      <scheme val="minor"/>
    </font>
    <font>
      <sz val="9"/>
      <color indexed="8"/>
      <name val="Calibri"/>
      <family val="2"/>
      <scheme val="minor"/>
    </font>
    <font>
      <sz val="9"/>
      <color indexed="8"/>
      <name val="Calibri"/>
      <family val="2"/>
    </font>
    <font>
      <i/>
      <sz val="9"/>
      <color theme="1" tint="0.34998626667073579"/>
      <name val="Calibri"/>
      <family val="2"/>
    </font>
    <font>
      <i/>
      <sz val="10"/>
      <color theme="0" tint="-4.9989318521683403E-2"/>
      <name val="Calibri"/>
      <family val="2"/>
    </font>
    <font>
      <sz val="10"/>
      <color theme="0" tint="-4.9989318521683403E-2"/>
      <name val="Calibri"/>
      <family val="2"/>
    </font>
    <font>
      <b/>
      <sz val="10"/>
      <color theme="0" tint="-4.9989318521683403E-2"/>
      <name val="Calibri"/>
      <family val="2"/>
    </font>
    <font>
      <sz val="10"/>
      <color rgb="FF7030A0"/>
      <name val="Calibri"/>
      <family val="2"/>
    </font>
    <font>
      <b/>
      <i/>
      <sz val="10"/>
      <color theme="0" tint="-4.9989318521683403E-2"/>
      <name val="Calibri"/>
      <family val="2"/>
    </font>
    <font>
      <i/>
      <u/>
      <sz val="10"/>
      <name val="Calibri"/>
      <family val="2"/>
    </font>
    <font>
      <b/>
      <i/>
      <sz val="9"/>
      <name val="Calibri"/>
      <family val="2"/>
    </font>
    <font>
      <i/>
      <sz val="10"/>
      <color indexed="10"/>
      <name val="Calibri"/>
      <family val="2"/>
    </font>
    <font>
      <i/>
      <sz val="14"/>
      <color indexed="10"/>
      <name val="Calibri"/>
      <family val="2"/>
    </font>
    <font>
      <i/>
      <sz val="9"/>
      <color indexed="10"/>
      <name val="Calibri"/>
      <family val="2"/>
    </font>
    <font>
      <i/>
      <sz val="9"/>
      <color indexed="8"/>
      <name val="Calibri"/>
      <family val="2"/>
      <scheme val="minor"/>
    </font>
    <font>
      <i/>
      <sz val="9"/>
      <color indexed="8"/>
      <name val="Calibri"/>
      <family val="2"/>
    </font>
    <font>
      <b/>
      <sz val="14"/>
      <color rgb="FFC00000"/>
      <name val="Calibri"/>
      <family val="2"/>
    </font>
    <font>
      <sz val="11"/>
      <name val="Arial"/>
      <family val="2"/>
    </font>
    <font>
      <b/>
      <sz val="10"/>
      <name val="Arial"/>
      <family val="2"/>
    </font>
    <font>
      <b/>
      <sz val="10"/>
      <color rgb="FFFF0000"/>
      <name val="Calibri"/>
      <family val="2"/>
      <scheme val="minor"/>
    </font>
    <font>
      <b/>
      <sz val="9"/>
      <color indexed="81"/>
      <name val="Tahoma"/>
      <family val="2"/>
    </font>
    <font>
      <b/>
      <i/>
      <sz val="11"/>
      <color theme="1"/>
      <name val="Calibri"/>
      <family val="2"/>
    </font>
    <font>
      <i/>
      <sz val="10"/>
      <color theme="1"/>
      <name val="Arial"/>
      <family val="2"/>
    </font>
    <font>
      <i/>
      <sz val="11"/>
      <color theme="1"/>
      <name val="Calibri"/>
      <family val="2"/>
    </font>
    <font>
      <i/>
      <sz val="7"/>
      <color theme="1"/>
      <name val="Times New Roman"/>
      <family val="1"/>
    </font>
    <font>
      <i/>
      <vertAlign val="superscript"/>
      <sz val="11"/>
      <color theme="1"/>
      <name val="Calibri"/>
      <family val="2"/>
    </font>
    <font>
      <i/>
      <sz val="11"/>
      <color theme="1"/>
      <name val="Calibri"/>
      <family val="2"/>
      <scheme val="minor"/>
    </font>
    <font>
      <b/>
      <i/>
      <sz val="11"/>
      <name val="Calibri"/>
      <family val="2"/>
    </font>
    <font>
      <i/>
      <sz val="11"/>
      <name val="Calibri"/>
      <family val="2"/>
    </font>
    <font>
      <i/>
      <vertAlign val="superscript"/>
      <sz val="11"/>
      <name val="Calibri"/>
      <family val="2"/>
    </font>
    <font>
      <i/>
      <sz val="10"/>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CC"/>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theme="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double">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right/>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5">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xf numFmtId="0" fontId="1" fillId="0" borderId="0"/>
  </cellStyleXfs>
  <cellXfs count="431">
    <xf numFmtId="0" fontId="0" fillId="0" borderId="0" xfId="0"/>
    <xf numFmtId="0" fontId="19" fillId="2" borderId="0" xfId="0" applyFont="1" applyFill="1" applyAlignment="1">
      <alignment horizontal="left"/>
    </xf>
    <xf numFmtId="0" fontId="20" fillId="3" borderId="0" xfId="0" applyFont="1" applyFill="1" applyAlignment="1">
      <alignment horizontal="center"/>
    </xf>
    <xf numFmtId="0" fontId="19" fillId="2" borderId="0" xfId="0" applyFont="1" applyFill="1" applyAlignment="1">
      <alignment horizontal="center"/>
    </xf>
    <xf numFmtId="0" fontId="19" fillId="2" borderId="4" xfId="0" applyFont="1" applyFill="1" applyBorder="1" applyAlignment="1">
      <alignment horizontal="center"/>
    </xf>
    <xf numFmtId="0" fontId="19" fillId="2" borderId="5" xfId="0" applyFont="1" applyFill="1" applyBorder="1" applyAlignment="1">
      <alignment horizontal="center"/>
    </xf>
    <xf numFmtId="0" fontId="19" fillId="2" borderId="5" xfId="0" applyFont="1" applyFill="1" applyBorder="1" applyAlignment="1">
      <alignment horizontal="left"/>
    </xf>
    <xf numFmtId="0" fontId="19" fillId="2" borderId="6" xfId="0" applyFont="1" applyFill="1" applyBorder="1" applyAlignment="1">
      <alignment horizontal="center"/>
    </xf>
    <xf numFmtId="0" fontId="20" fillId="2" borderId="5" xfId="0" applyFont="1" applyFill="1" applyBorder="1" applyAlignment="1">
      <alignment horizontal="center"/>
    </xf>
    <xf numFmtId="0" fontId="19" fillId="3" borderId="0" xfId="0" applyFont="1" applyFill="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xf numFmtId="0" fontId="20" fillId="2" borderId="0" xfId="0" applyFont="1" applyFill="1" applyAlignment="1">
      <alignment horizontal="center"/>
    </xf>
    <xf numFmtId="0" fontId="28" fillId="2" borderId="7" xfId="0" applyFont="1" applyFill="1" applyBorder="1" applyAlignment="1">
      <alignment horizontal="center"/>
    </xf>
    <xf numFmtId="0" fontId="28" fillId="2" borderId="0" xfId="0" applyFont="1" applyFill="1" applyAlignment="1">
      <alignment horizontal="left"/>
    </xf>
    <xf numFmtId="0" fontId="28" fillId="2" borderId="0" xfId="0" applyFont="1" applyFill="1" applyAlignment="1">
      <alignment horizontal="center"/>
    </xf>
    <xf numFmtId="0" fontId="28" fillId="2" borderId="8" xfId="0" applyFont="1" applyFill="1" applyBorder="1" applyAlignment="1">
      <alignment horizontal="center"/>
    </xf>
    <xf numFmtId="0" fontId="29" fillId="2" borderId="0" xfId="0" applyFont="1" applyFill="1" applyAlignment="1">
      <alignment horizontal="center"/>
    </xf>
    <xf numFmtId="0" fontId="30" fillId="2" borderId="0" xfId="0" applyFont="1" applyFill="1" applyAlignment="1">
      <alignment horizontal="center"/>
    </xf>
    <xf numFmtId="0" fontId="28" fillId="3" borderId="0" xfId="0" applyFont="1" applyFill="1" applyAlignment="1">
      <alignment horizontal="center"/>
    </xf>
    <xf numFmtId="0" fontId="19" fillId="3" borderId="0" xfId="0" applyFont="1" applyFill="1" applyAlignment="1">
      <alignment horizontal="left"/>
    </xf>
    <xf numFmtId="0" fontId="35" fillId="2" borderId="0" xfId="0" applyFont="1" applyFill="1" applyAlignment="1">
      <alignment horizontal="left"/>
    </xf>
    <xf numFmtId="0" fontId="7" fillId="5" borderId="0" xfId="0" applyFont="1" applyFill="1"/>
    <xf numFmtId="0" fontId="9" fillId="5" borderId="0" xfId="0" applyFont="1" applyFill="1"/>
    <xf numFmtId="0" fontId="7" fillId="2" borderId="0" xfId="0" applyFont="1" applyFill="1" applyAlignment="1">
      <alignment horizontal="center"/>
    </xf>
    <xf numFmtId="0" fontId="36" fillId="2" borderId="5" xfId="0" applyFont="1" applyFill="1" applyBorder="1" applyAlignment="1">
      <alignment horizontal="center"/>
    </xf>
    <xf numFmtId="0" fontId="36" fillId="2" borderId="0" xfId="0" applyFont="1" applyFill="1" applyAlignment="1">
      <alignment horizontal="center"/>
    </xf>
    <xf numFmtId="0" fontId="37" fillId="2" borderId="0" xfId="0" applyFont="1" applyFill="1" applyAlignment="1">
      <alignment horizontal="center"/>
    </xf>
    <xf numFmtId="0" fontId="36" fillId="3" borderId="0" xfId="0" applyFont="1" applyFill="1" applyAlignment="1">
      <alignment horizontal="center"/>
    </xf>
    <xf numFmtId="0" fontId="8" fillId="5" borderId="0" xfId="0" applyFont="1" applyFill="1"/>
    <xf numFmtId="0" fontId="19" fillId="7" borderId="0" xfId="0" applyFont="1" applyFill="1" applyAlignment="1">
      <alignment horizontal="center"/>
    </xf>
    <xf numFmtId="0" fontId="28" fillId="7" borderId="0" xfId="0" applyFont="1" applyFill="1" applyAlignment="1">
      <alignment horizontal="center"/>
    </xf>
    <xf numFmtId="0" fontId="26" fillId="7" borderId="0" xfId="0" applyFont="1" applyFill="1" applyAlignment="1">
      <alignment horizontal="center"/>
    </xf>
    <xf numFmtId="0" fontId="19" fillId="7" borderId="0" xfId="0" applyFont="1" applyFill="1" applyAlignment="1">
      <alignment horizontal="left"/>
    </xf>
    <xf numFmtId="0" fontId="20" fillId="7" borderId="0" xfId="0" applyFont="1" applyFill="1" applyAlignment="1">
      <alignment horizontal="center"/>
    </xf>
    <xf numFmtId="0" fontId="36" fillId="7" borderId="0" xfId="0" applyFont="1" applyFill="1" applyAlignment="1">
      <alignment horizontal="center"/>
    </xf>
    <xf numFmtId="0" fontId="48" fillId="7" borderId="0" xfId="0" applyFont="1" applyFill="1" applyAlignment="1">
      <alignment horizontal="center"/>
    </xf>
    <xf numFmtId="0" fontId="48" fillId="7" borderId="0" xfId="0" applyFont="1" applyFill="1"/>
    <xf numFmtId="0" fontId="51" fillId="7" borderId="0" xfId="0" applyFont="1" applyFill="1" applyAlignment="1">
      <alignment horizontal="center"/>
    </xf>
    <xf numFmtId="0" fontId="51" fillId="7" borderId="0" xfId="0" applyFont="1" applyFill="1"/>
    <xf numFmtId="0" fontId="26" fillId="7" borderId="0" xfId="0" applyFont="1" applyFill="1" applyAlignment="1">
      <alignment horizontal="left"/>
    </xf>
    <xf numFmtId="0" fontId="27" fillId="7" borderId="0" xfId="0" applyFont="1" applyFill="1" applyAlignment="1">
      <alignment horizontal="center"/>
    </xf>
    <xf numFmtId="49" fontId="53" fillId="7" borderId="0" xfId="0" applyNumberFormat="1" applyFont="1" applyFill="1" applyAlignment="1">
      <alignment horizontal="left"/>
    </xf>
    <xf numFmtId="0" fontId="53" fillId="7" borderId="0" xfId="0" applyFont="1" applyFill="1" applyAlignment="1">
      <alignment horizontal="left"/>
    </xf>
    <xf numFmtId="0" fontId="7" fillId="3" borderId="0" xfId="0" applyFont="1" applyFill="1" applyAlignment="1">
      <alignment horizontal="center"/>
    </xf>
    <xf numFmtId="0" fontId="2" fillId="0" borderId="0" xfId="1" applyAlignment="1" applyProtection="1">
      <alignment horizontal="left"/>
    </xf>
    <xf numFmtId="0" fontId="55" fillId="0" borderId="0" xfId="0" applyFont="1" applyAlignment="1">
      <alignment horizontal="left"/>
    </xf>
    <xf numFmtId="0" fontId="38" fillId="0" borderId="0" xfId="0" applyFont="1" applyAlignment="1">
      <alignment horizontal="left"/>
    </xf>
    <xf numFmtId="0" fontId="40" fillId="0" borderId="0" xfId="0" applyFont="1" applyAlignment="1">
      <alignment horizontal="left"/>
    </xf>
    <xf numFmtId="0" fontId="38" fillId="8" borderId="0" xfId="0" applyFont="1" applyFill="1" applyAlignment="1">
      <alignment horizontal="left"/>
    </xf>
    <xf numFmtId="4" fontId="38" fillId="0" borderId="0" xfId="0" applyNumberFormat="1" applyFont="1" applyAlignment="1">
      <alignment horizontal="left"/>
    </xf>
    <xf numFmtId="0" fontId="41" fillId="0" borderId="0" xfId="1" applyFont="1" applyAlignment="1" applyProtection="1">
      <alignment horizontal="left"/>
    </xf>
    <xf numFmtId="3" fontId="38" fillId="0" borderId="0" xfId="0" applyNumberFormat="1" applyFont="1" applyAlignment="1">
      <alignment horizontal="left"/>
    </xf>
    <xf numFmtId="0" fontId="38" fillId="11" borderId="0" xfId="0" applyFont="1" applyFill="1" applyAlignment="1">
      <alignment horizontal="left"/>
    </xf>
    <xf numFmtId="9" fontId="38" fillId="0" borderId="0" xfId="0" applyNumberFormat="1" applyFont="1" applyAlignment="1">
      <alignment horizontal="left"/>
    </xf>
    <xf numFmtId="10" fontId="38" fillId="0" borderId="0" xfId="0" applyNumberFormat="1" applyFont="1" applyAlignment="1">
      <alignment horizontal="left"/>
    </xf>
    <xf numFmtId="0" fontId="38" fillId="12" borderId="0" xfId="0" applyFont="1" applyFill="1" applyAlignment="1">
      <alignment horizontal="left"/>
    </xf>
    <xf numFmtId="49" fontId="38" fillId="0" borderId="0" xfId="0" applyNumberFormat="1" applyFont="1" applyAlignment="1">
      <alignment horizontal="center"/>
    </xf>
    <xf numFmtId="3" fontId="41" fillId="0" borderId="0" xfId="1" applyNumberFormat="1" applyFont="1" applyAlignment="1" applyProtection="1">
      <alignment horizontal="left"/>
    </xf>
    <xf numFmtId="0" fontId="38" fillId="10" borderId="0" xfId="0" applyFont="1" applyFill="1" applyAlignment="1">
      <alignment horizontal="left"/>
    </xf>
    <xf numFmtId="0" fontId="38" fillId="0" borderId="0" xfId="0" applyFont="1" applyAlignment="1">
      <alignment horizontal="right"/>
    </xf>
    <xf numFmtId="10" fontId="38" fillId="0" borderId="0" xfId="0" applyNumberFormat="1" applyFont="1" applyAlignment="1">
      <alignment horizontal="right"/>
    </xf>
    <xf numFmtId="0" fontId="56" fillId="0" borderId="0" xfId="0" applyFont="1" applyAlignment="1">
      <alignment horizontal="left"/>
    </xf>
    <xf numFmtId="2" fontId="56" fillId="0" borderId="0" xfId="0" applyNumberFormat="1" applyFont="1" applyAlignment="1">
      <alignment horizontal="left"/>
    </xf>
    <xf numFmtId="2" fontId="38" fillId="0" borderId="0" xfId="0" applyNumberFormat="1" applyFont="1" applyAlignment="1">
      <alignment horizontal="left"/>
    </xf>
    <xf numFmtId="0" fontId="36" fillId="0" borderId="0" xfId="0" applyFont="1" applyAlignment="1">
      <alignment horizontal="left"/>
    </xf>
    <xf numFmtId="0" fontId="57" fillId="0" borderId="0" xfId="0" applyFont="1" applyAlignment="1">
      <alignment horizontal="left"/>
    </xf>
    <xf numFmtId="3" fontId="38" fillId="6" borderId="0" xfId="0" applyNumberFormat="1" applyFont="1" applyFill="1" applyAlignment="1">
      <alignment horizontal="left"/>
    </xf>
    <xf numFmtId="0" fontId="58" fillId="0" borderId="0" xfId="0" applyFont="1" applyAlignment="1">
      <alignment horizontal="left"/>
    </xf>
    <xf numFmtId="167" fontId="58" fillId="0" borderId="0" xfId="0" applyNumberFormat="1" applyFont="1" applyAlignment="1">
      <alignment horizontal="left"/>
    </xf>
    <xf numFmtId="3" fontId="58" fillId="0" borderId="0" xfId="0" applyNumberFormat="1" applyFont="1" applyAlignment="1">
      <alignment horizontal="left"/>
    </xf>
    <xf numFmtId="167" fontId="38" fillId="0" borderId="0" xfId="0" applyNumberFormat="1" applyFont="1" applyAlignment="1">
      <alignment horizontal="left"/>
    </xf>
    <xf numFmtId="10" fontId="38" fillId="6" borderId="0" xfId="0" applyNumberFormat="1" applyFont="1" applyFill="1" applyAlignment="1">
      <alignment horizontal="left"/>
    </xf>
    <xf numFmtId="0" fontId="12" fillId="5" borderId="0" xfId="0" applyFont="1" applyFill="1"/>
    <xf numFmtId="0" fontId="15" fillId="5" borderId="0" xfId="0" applyFont="1" applyFill="1"/>
    <xf numFmtId="0" fontId="24" fillId="5" borderId="0" xfId="0" applyFont="1" applyFill="1"/>
    <xf numFmtId="0" fontId="32" fillId="5" borderId="0" xfId="0" applyFont="1" applyFill="1" applyAlignment="1">
      <alignment horizontal="center"/>
    </xf>
    <xf numFmtId="0" fontId="15" fillId="5" borderId="0" xfId="0" applyFont="1" applyFill="1" applyAlignment="1">
      <alignment horizontal="right"/>
    </xf>
    <xf numFmtId="0" fontId="46" fillId="5" borderId="0" xfId="0" applyFont="1" applyFill="1" applyAlignment="1">
      <alignment horizontal="left"/>
    </xf>
    <xf numFmtId="0" fontId="13" fillId="5" borderId="0" xfId="0" applyFont="1" applyFill="1" applyAlignment="1">
      <alignment horizontal="right"/>
    </xf>
    <xf numFmtId="0" fontId="13" fillId="5" borderId="0" xfId="0" applyFont="1" applyFill="1"/>
    <xf numFmtId="0" fontId="16" fillId="5" borderId="0" xfId="0" applyFont="1" applyFill="1"/>
    <xf numFmtId="0" fontId="8" fillId="5" borderId="0" xfId="0" applyFont="1" applyFill="1" applyAlignment="1">
      <alignment horizontal="center"/>
    </xf>
    <xf numFmtId="0" fontId="17" fillId="5" borderId="0" xfId="0" applyFont="1" applyFill="1"/>
    <xf numFmtId="10" fontId="7" fillId="5" borderId="0" xfId="0" applyNumberFormat="1" applyFont="1" applyFill="1" applyAlignment="1">
      <alignment horizontal="left"/>
    </xf>
    <xf numFmtId="0" fontId="7" fillId="5" borderId="10" xfId="0" applyFont="1" applyFill="1" applyBorder="1"/>
    <xf numFmtId="164" fontId="7" fillId="5" borderId="0" xfId="0" applyNumberFormat="1" applyFont="1" applyFill="1"/>
    <xf numFmtId="0" fontId="44" fillId="5" borderId="0" xfId="0" applyFont="1" applyFill="1"/>
    <xf numFmtId="164" fontId="44" fillId="5" borderId="0" xfId="0" applyNumberFormat="1" applyFont="1" applyFill="1"/>
    <xf numFmtId="0" fontId="42" fillId="5" borderId="0" xfId="0" applyFont="1" applyFill="1"/>
    <xf numFmtId="0" fontId="43" fillId="5" borderId="0" xfId="0" applyFont="1" applyFill="1"/>
    <xf numFmtId="0" fontId="2" fillId="5" borderId="0" xfId="1" applyFill="1" applyAlignment="1" applyProtection="1"/>
    <xf numFmtId="0" fontId="18" fillId="5" borderId="0" xfId="1" applyFont="1" applyFill="1" applyAlignment="1" applyProtection="1"/>
    <xf numFmtId="0" fontId="12" fillId="5" borderId="11" xfId="0" applyFont="1" applyFill="1" applyBorder="1"/>
    <xf numFmtId="0" fontId="12" fillId="5" borderId="12" xfId="0" applyFont="1" applyFill="1" applyBorder="1"/>
    <xf numFmtId="0" fontId="12" fillId="5" borderId="13" xfId="0" applyFont="1" applyFill="1" applyBorder="1"/>
    <xf numFmtId="0" fontId="12" fillId="5" borderId="14" xfId="0" applyFont="1" applyFill="1" applyBorder="1"/>
    <xf numFmtId="0" fontId="12" fillId="5" borderId="15" xfId="0" applyFont="1" applyFill="1" applyBorder="1"/>
    <xf numFmtId="0" fontId="15" fillId="5" borderId="14" xfId="0" applyFont="1" applyFill="1" applyBorder="1"/>
    <xf numFmtId="0" fontId="15" fillId="5" borderId="15" xfId="0" applyFont="1" applyFill="1" applyBorder="1"/>
    <xf numFmtId="0" fontId="16" fillId="5" borderId="15" xfId="0" applyFont="1" applyFill="1" applyBorder="1"/>
    <xf numFmtId="0" fontId="7" fillId="5" borderId="14" xfId="0" applyFont="1" applyFill="1" applyBorder="1"/>
    <xf numFmtId="0" fontId="7" fillId="5" borderId="15" xfId="0" applyFont="1" applyFill="1" applyBorder="1"/>
    <xf numFmtId="0" fontId="40" fillId="5" borderId="0" xfId="0" applyFont="1" applyFill="1"/>
    <xf numFmtId="0" fontId="38" fillId="5" borderId="0" xfId="0" applyFont="1" applyFill="1"/>
    <xf numFmtId="0" fontId="8" fillId="5" borderId="14" xfId="0" applyFont="1" applyFill="1" applyBorder="1" applyAlignment="1">
      <alignment horizontal="right"/>
    </xf>
    <xf numFmtId="0" fontId="11" fillId="5" borderId="15" xfId="0" applyFont="1" applyFill="1" applyBorder="1" applyAlignment="1">
      <alignment horizontal="right"/>
    </xf>
    <xf numFmtId="0" fontId="7" fillId="5" borderId="16" xfId="0" applyFont="1" applyFill="1" applyBorder="1"/>
    <xf numFmtId="0" fontId="8" fillId="5" borderId="17" xfId="0" applyFont="1" applyFill="1" applyBorder="1"/>
    <xf numFmtId="0" fontId="7" fillId="5" borderId="17" xfId="0" applyFont="1" applyFill="1" applyBorder="1"/>
    <xf numFmtId="0" fontId="41" fillId="5" borderId="17" xfId="1" applyFont="1" applyFill="1" applyBorder="1" applyAlignment="1" applyProtection="1"/>
    <xf numFmtId="0" fontId="12" fillId="5" borderId="18" xfId="0" applyFont="1" applyFill="1" applyBorder="1"/>
    <xf numFmtId="0" fontId="60"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1" fontId="8" fillId="0" borderId="0" xfId="0" applyNumberFormat="1" applyFont="1" applyAlignment="1">
      <alignment horizontal="left" vertical="center"/>
    </xf>
    <xf numFmtId="49" fontId="7" fillId="0" borderId="0" xfId="0" applyNumberFormat="1" applyFont="1" applyAlignment="1">
      <alignment horizontal="left" vertical="center"/>
    </xf>
    <xf numFmtId="3" fontId="7" fillId="0" borderId="0" xfId="0" applyNumberFormat="1" applyFont="1" applyAlignment="1">
      <alignment horizontal="center"/>
    </xf>
    <xf numFmtId="0" fontId="7" fillId="0" borderId="0" xfId="0" applyFont="1" applyAlignment="1">
      <alignment horizontal="left"/>
    </xf>
    <xf numFmtId="0" fontId="64" fillId="5" borderId="0" xfId="0" applyFont="1" applyFill="1"/>
    <xf numFmtId="0" fontId="68" fillId="0" borderId="0" xfId="0" applyFont="1" applyAlignment="1">
      <alignment horizontal="center"/>
    </xf>
    <xf numFmtId="0" fontId="66" fillId="7" borderId="0" xfId="0" applyFont="1" applyFill="1" applyAlignment="1">
      <alignment horizontal="center"/>
    </xf>
    <xf numFmtId="0" fontId="66" fillId="2" borderId="7" xfId="0" applyFont="1" applyFill="1" applyBorder="1" applyAlignment="1">
      <alignment horizontal="center"/>
    </xf>
    <xf numFmtId="0" fontId="66" fillId="2" borderId="0" xfId="0" applyFont="1" applyFill="1" applyAlignment="1">
      <alignment horizontal="left"/>
    </xf>
    <xf numFmtId="0" fontId="65" fillId="2" borderId="0" xfId="0" applyFont="1" applyFill="1" applyAlignment="1">
      <alignment horizontal="center"/>
    </xf>
    <xf numFmtId="0" fontId="67" fillId="2" borderId="0" xfId="0" applyFont="1" applyFill="1" applyAlignment="1">
      <alignment horizontal="center"/>
    </xf>
    <xf numFmtId="164" fontId="66" fillId="2" borderId="0" xfId="0" applyNumberFormat="1" applyFont="1" applyFill="1" applyAlignment="1">
      <alignment horizontal="center"/>
    </xf>
    <xf numFmtId="0" fontId="70" fillId="2" borderId="0" xfId="0" applyFont="1" applyFill="1" applyAlignment="1">
      <alignment horizontal="center"/>
    </xf>
    <xf numFmtId="0" fontId="71" fillId="2" borderId="0" xfId="0" applyFont="1" applyFill="1" applyAlignment="1">
      <alignment horizontal="center"/>
    </xf>
    <xf numFmtId="0" fontId="66" fillId="2" borderId="8" xfId="0" applyFont="1" applyFill="1" applyBorder="1" applyAlignment="1">
      <alignment horizontal="center"/>
    </xf>
    <xf numFmtId="0" fontId="72" fillId="7" borderId="0" xfId="0" applyFont="1" applyFill="1" applyAlignment="1">
      <alignment horizontal="center"/>
    </xf>
    <xf numFmtId="0" fontId="72" fillId="7" borderId="0" xfId="0" applyFont="1" applyFill="1"/>
    <xf numFmtId="0" fontId="66" fillId="3" borderId="0" xfId="0" applyFont="1" applyFill="1" applyAlignment="1">
      <alignment horizontal="center"/>
    </xf>
    <xf numFmtId="0" fontId="73" fillId="7" borderId="0" xfId="0" applyFont="1" applyFill="1" applyAlignment="1">
      <alignment horizontal="center"/>
    </xf>
    <xf numFmtId="0" fontId="73" fillId="2" borderId="7" xfId="0" applyFont="1" applyFill="1" applyBorder="1" applyAlignment="1">
      <alignment horizontal="center"/>
    </xf>
    <xf numFmtId="0" fontId="73" fillId="2" borderId="0" xfId="0" applyFont="1" applyFill="1" applyAlignment="1">
      <alignment horizontal="center"/>
    </xf>
    <xf numFmtId="0" fontId="74" fillId="2" borderId="0" xfId="0" applyFont="1" applyFill="1"/>
    <xf numFmtId="0" fontId="71" fillId="5" borderId="0" xfId="0" applyFont="1" applyFill="1" applyAlignment="1">
      <alignment horizontal="center"/>
    </xf>
    <xf numFmtId="0" fontId="73" fillId="5" borderId="0" xfId="0" applyFont="1" applyFill="1" applyAlignment="1">
      <alignment horizontal="center"/>
    </xf>
    <xf numFmtId="0" fontId="73" fillId="2" borderId="8" xfId="0" applyFont="1" applyFill="1" applyBorder="1" applyAlignment="1">
      <alignment horizontal="center"/>
    </xf>
    <xf numFmtId="0" fontId="72" fillId="7" borderId="0" xfId="0" applyFont="1" applyFill="1" applyAlignment="1">
      <alignment horizontal="left"/>
    </xf>
    <xf numFmtId="0" fontId="73" fillId="3" borderId="0" xfId="0" applyFont="1" applyFill="1" applyAlignment="1">
      <alignment horizontal="center"/>
    </xf>
    <xf numFmtId="0" fontId="76" fillId="2" borderId="0" xfId="0" applyFont="1" applyFill="1" applyAlignment="1">
      <alignment horizontal="center"/>
    </xf>
    <xf numFmtId="0" fontId="76" fillId="5" borderId="0" xfId="0" applyFont="1" applyFill="1"/>
    <xf numFmtId="0" fontId="76" fillId="2" borderId="0" xfId="0" applyFont="1" applyFill="1" applyAlignment="1">
      <alignment horizontal="left"/>
    </xf>
    <xf numFmtId="0" fontId="77" fillId="2" borderId="0" xfId="0" applyFont="1" applyFill="1" applyAlignment="1">
      <alignment horizontal="center"/>
    </xf>
    <xf numFmtId="0" fontId="77" fillId="5" borderId="0" xfId="0" applyFont="1" applyFill="1" applyAlignment="1">
      <alignment horizontal="center"/>
    </xf>
    <xf numFmtId="0" fontId="67" fillId="5" borderId="0" xfId="0" applyFont="1" applyFill="1" applyAlignment="1">
      <alignment horizontal="center"/>
    </xf>
    <xf numFmtId="14" fontId="72" fillId="7" borderId="0" xfId="0" applyNumberFormat="1" applyFont="1" applyFill="1" applyAlignment="1">
      <alignment horizontal="center"/>
    </xf>
    <xf numFmtId="0" fontId="79" fillId="7" borderId="0" xfId="0" applyFont="1" applyFill="1" applyAlignment="1">
      <alignment horizontal="center"/>
    </xf>
    <xf numFmtId="0" fontId="78" fillId="2" borderId="0" xfId="0" applyFont="1" applyFill="1" applyAlignment="1">
      <alignment horizontal="center"/>
    </xf>
    <xf numFmtId="0" fontId="66" fillId="3" borderId="1" xfId="0" applyFont="1" applyFill="1" applyBorder="1" applyAlignment="1">
      <alignment horizontal="center"/>
    </xf>
    <xf numFmtId="0" fontId="66" fillId="3" borderId="1" xfId="0" applyFont="1" applyFill="1" applyBorder="1" applyAlignment="1">
      <alignment horizontal="left"/>
    </xf>
    <xf numFmtId="0" fontId="67" fillId="3" borderId="1" xfId="0" applyFont="1" applyFill="1" applyBorder="1" applyAlignment="1">
      <alignment horizontal="center"/>
    </xf>
    <xf numFmtId="0" fontId="70" fillId="3" borderId="1" xfId="0" applyFont="1" applyFill="1" applyBorder="1" applyAlignment="1">
      <alignment horizontal="center"/>
    </xf>
    <xf numFmtId="0" fontId="78" fillId="3" borderId="1" xfId="0" applyFont="1" applyFill="1" applyBorder="1" applyAlignment="1">
      <alignment horizontal="center"/>
    </xf>
    <xf numFmtId="0" fontId="77" fillId="3" borderId="1" xfId="0" applyFont="1" applyFill="1" applyBorder="1" applyAlignment="1">
      <alignment horizontal="center"/>
    </xf>
    <xf numFmtId="0" fontId="66" fillId="2" borderId="1" xfId="0" applyFont="1" applyFill="1" applyBorder="1" applyAlignment="1" applyProtection="1">
      <alignment horizontal="left"/>
      <protection locked="0"/>
    </xf>
    <xf numFmtId="14" fontId="66" fillId="2" borderId="1" xfId="0" applyNumberFormat="1" applyFont="1" applyFill="1" applyBorder="1" applyAlignment="1" applyProtection="1">
      <alignment horizontal="center"/>
      <protection locked="0"/>
    </xf>
    <xf numFmtId="0" fontId="66" fillId="2" borderId="1" xfId="0" applyFont="1" applyFill="1" applyBorder="1" applyAlignment="1" applyProtection="1">
      <alignment horizontal="center"/>
      <protection locked="0"/>
    </xf>
    <xf numFmtId="166" fontId="66" fillId="2" borderId="1" xfId="0" applyNumberFormat="1" applyFont="1" applyFill="1" applyBorder="1" applyAlignment="1" applyProtection="1">
      <alignment horizontal="center"/>
      <protection locked="0"/>
    </xf>
    <xf numFmtId="0" fontId="66" fillId="2" borderId="1" xfId="2" applyNumberFormat="1" applyFont="1" applyFill="1" applyBorder="1" applyAlignment="1" applyProtection="1">
      <alignment horizontal="center"/>
      <protection locked="0"/>
    </xf>
    <xf numFmtId="170" fontId="65" fillId="9" borderId="1" xfId="0" applyNumberFormat="1" applyFont="1" applyFill="1" applyBorder="1" applyAlignment="1">
      <alignment horizontal="center"/>
    </xf>
    <xf numFmtId="170" fontId="66" fillId="9" borderId="1" xfId="0" applyNumberFormat="1" applyFont="1" applyFill="1" applyBorder="1" applyAlignment="1">
      <alignment horizontal="center"/>
    </xf>
    <xf numFmtId="169" fontId="65" fillId="9" borderId="1" xfId="2" applyNumberFormat="1" applyFont="1" applyFill="1" applyBorder="1" applyAlignment="1">
      <alignment horizontal="center"/>
    </xf>
    <xf numFmtId="1" fontId="72" fillId="7" borderId="0" xfId="0" applyNumberFormat="1" applyFont="1" applyFill="1" applyAlignment="1">
      <alignment horizontal="center"/>
    </xf>
    <xf numFmtId="9" fontId="72" fillId="7" borderId="0" xfId="0" applyNumberFormat="1" applyFont="1" applyFill="1" applyAlignment="1">
      <alignment horizontal="center"/>
    </xf>
    <xf numFmtId="10" fontId="72" fillId="7" borderId="0" xfId="0" applyNumberFormat="1" applyFont="1" applyFill="1" applyAlignment="1">
      <alignment horizontal="center"/>
    </xf>
    <xf numFmtId="2" fontId="72" fillId="7" borderId="0" xfId="0" applyNumberFormat="1" applyFont="1" applyFill="1" applyAlignment="1">
      <alignment horizontal="center"/>
    </xf>
    <xf numFmtId="164" fontId="72" fillId="7" borderId="0" xfId="0" applyNumberFormat="1" applyFont="1" applyFill="1" applyAlignment="1">
      <alignment horizontal="left"/>
    </xf>
    <xf numFmtId="164" fontId="72" fillId="7" borderId="0" xfId="0" applyNumberFormat="1" applyFont="1" applyFill="1" applyAlignment="1">
      <alignment horizontal="right"/>
    </xf>
    <xf numFmtId="164" fontId="72" fillId="7" borderId="0" xfId="0" applyNumberFormat="1" applyFont="1" applyFill="1"/>
    <xf numFmtId="171" fontId="72" fillId="7" borderId="0" xfId="0" applyNumberFormat="1" applyFont="1" applyFill="1"/>
    <xf numFmtId="0" fontId="71" fillId="3" borderId="1" xfId="0" applyFont="1" applyFill="1" applyBorder="1" applyAlignment="1">
      <alignment horizontal="center"/>
    </xf>
    <xf numFmtId="0" fontId="66" fillId="2" borderId="2" xfId="0" applyFont="1" applyFill="1" applyBorder="1" applyAlignment="1">
      <alignment horizontal="center"/>
    </xf>
    <xf numFmtId="0" fontId="66" fillId="2" borderId="3" xfId="0" applyFont="1" applyFill="1" applyBorder="1" applyAlignment="1">
      <alignment horizontal="center"/>
    </xf>
    <xf numFmtId="0" fontId="66" fillId="2" borderId="3" xfId="0" applyFont="1" applyFill="1" applyBorder="1" applyAlignment="1">
      <alignment horizontal="left"/>
    </xf>
    <xf numFmtId="0" fontId="67" fillId="2" borderId="3" xfId="0" applyFont="1" applyFill="1" applyBorder="1" applyAlignment="1">
      <alignment horizontal="center"/>
    </xf>
    <xf numFmtId="0" fontId="70" fillId="2" borderId="3" xfId="0" applyFont="1" applyFill="1" applyBorder="1" applyAlignment="1">
      <alignment horizontal="center"/>
    </xf>
    <xf numFmtId="0" fontId="71" fillId="2" borderId="3" xfId="0" applyFont="1" applyFill="1" applyBorder="1" applyAlignment="1">
      <alignment horizontal="center"/>
    </xf>
    <xf numFmtId="0" fontId="66" fillId="2" borderId="9" xfId="0" applyFont="1" applyFill="1" applyBorder="1" applyAlignment="1">
      <alignment horizontal="center"/>
    </xf>
    <xf numFmtId="170" fontId="66" fillId="6" borderId="1" xfId="0" applyNumberFormat="1" applyFont="1" applyFill="1" applyBorder="1" applyAlignment="1">
      <alignment horizontal="center"/>
    </xf>
    <xf numFmtId="170" fontId="67" fillId="6" borderId="1" xfId="0" applyNumberFormat="1" applyFont="1" applyFill="1" applyBorder="1" applyAlignment="1">
      <alignment horizontal="center"/>
    </xf>
    <xf numFmtId="170" fontId="78" fillId="6" borderId="1" xfId="0" applyNumberFormat="1" applyFont="1" applyFill="1" applyBorder="1" applyAlignment="1">
      <alignment horizontal="center"/>
    </xf>
    <xf numFmtId="0" fontId="7" fillId="7" borderId="0" xfId="0" applyFont="1" applyFill="1" applyAlignment="1">
      <alignment horizontal="center"/>
    </xf>
    <xf numFmtId="0" fontId="7" fillId="2" borderId="5" xfId="0" applyFont="1" applyFill="1" applyBorder="1" applyAlignment="1">
      <alignment horizontal="center"/>
    </xf>
    <xf numFmtId="0" fontId="21" fillId="7" borderId="0" xfId="0" applyFont="1" applyFill="1" applyAlignment="1">
      <alignment horizontal="center"/>
    </xf>
    <xf numFmtId="169" fontId="66" fillId="9" borderId="1" xfId="2" applyNumberFormat="1" applyFont="1" applyFill="1" applyBorder="1" applyAlignment="1">
      <alignment horizontal="center"/>
    </xf>
    <xf numFmtId="9" fontId="7" fillId="0" borderId="0" xfId="0" applyNumberFormat="1" applyFont="1" applyAlignment="1">
      <alignment horizontal="center"/>
    </xf>
    <xf numFmtId="0" fontId="8" fillId="0" borderId="0" xfId="0" applyFont="1" applyAlignment="1">
      <alignment horizontal="left"/>
    </xf>
    <xf numFmtId="9" fontId="7" fillId="6" borderId="0" xfId="0" applyNumberFormat="1" applyFont="1" applyFill="1" applyAlignment="1">
      <alignment horizontal="center"/>
    </xf>
    <xf numFmtId="14" fontId="7" fillId="0" borderId="0" xfId="0" applyNumberFormat="1" applyFont="1"/>
    <xf numFmtId="0" fontId="2" fillId="7" borderId="0" xfId="1" applyFill="1" applyProtection="1">
      <alignment vertical="top"/>
    </xf>
    <xf numFmtId="0" fontId="7" fillId="5" borderId="20" xfId="0" applyFont="1" applyFill="1" applyBorder="1" applyAlignment="1" applyProtection="1">
      <alignment horizontal="center" vertical="top"/>
      <protection locked="0"/>
    </xf>
    <xf numFmtId="0" fontId="22" fillId="5" borderId="20" xfId="0" applyFont="1" applyFill="1" applyBorder="1" applyAlignment="1" applyProtection="1">
      <alignment horizontal="center" vertical="top"/>
      <protection locked="0"/>
    </xf>
    <xf numFmtId="14" fontId="22" fillId="5" borderId="20" xfId="0" applyNumberFormat="1" applyFont="1" applyFill="1" applyBorder="1" applyAlignment="1" applyProtection="1">
      <alignment horizontal="center" vertical="top"/>
      <protection locked="0"/>
    </xf>
    <xf numFmtId="166" fontId="22" fillId="5" borderId="20" xfId="0" applyNumberFormat="1" applyFont="1" applyFill="1" applyBorder="1" applyAlignment="1" applyProtection="1">
      <alignment horizontal="center" vertical="top"/>
      <protection locked="0"/>
    </xf>
    <xf numFmtId="0" fontId="22" fillId="5" borderId="20" xfId="0" applyFont="1" applyFill="1" applyBorder="1" applyAlignment="1" applyProtection="1">
      <alignment horizontal="left" vertical="top"/>
      <protection locked="0"/>
    </xf>
    <xf numFmtId="0" fontId="17" fillId="7" borderId="0" xfId="0" applyFont="1" applyFill="1" applyAlignment="1">
      <alignment horizontal="center"/>
    </xf>
    <xf numFmtId="0" fontId="17" fillId="2" borderId="5" xfId="0" applyFont="1" applyFill="1" applyBorder="1" applyAlignment="1">
      <alignment horizontal="center"/>
    </xf>
    <xf numFmtId="0" fontId="17" fillId="2" borderId="0" xfId="0" applyFont="1" applyFill="1" applyAlignment="1">
      <alignment horizontal="center"/>
    </xf>
    <xf numFmtId="164" fontId="67" fillId="2" borderId="0" xfId="0" applyNumberFormat="1" applyFont="1" applyFill="1" applyAlignment="1">
      <alignment horizontal="center"/>
    </xf>
    <xf numFmtId="164" fontId="75" fillId="2" borderId="0" xfId="0" applyNumberFormat="1" applyFont="1" applyFill="1" applyAlignment="1">
      <alignment horizontal="center"/>
    </xf>
    <xf numFmtId="0" fontId="17" fillId="3" borderId="0" xfId="0" applyFont="1" applyFill="1" applyAlignment="1">
      <alignment horizontal="center"/>
    </xf>
    <xf numFmtId="10" fontId="86" fillId="2" borderId="0" xfId="0" applyNumberFormat="1" applyFont="1" applyFill="1" applyAlignment="1">
      <alignment horizontal="center"/>
    </xf>
    <xf numFmtId="0" fontId="86" fillId="5" borderId="0" xfId="0" applyFont="1" applyFill="1" applyAlignment="1">
      <alignment horizontal="center"/>
    </xf>
    <xf numFmtId="0" fontId="75" fillId="2" borderId="0" xfId="0" applyFont="1" applyFill="1" applyAlignment="1">
      <alignment horizontal="left"/>
    </xf>
    <xf numFmtId="10" fontId="66" fillId="2" borderId="0" xfId="0" applyNumberFormat="1" applyFont="1" applyFill="1" applyAlignment="1">
      <alignment horizontal="center"/>
    </xf>
    <xf numFmtId="0" fontId="87" fillId="7" borderId="0" xfId="0" applyFont="1" applyFill="1" applyAlignment="1">
      <alignment horizontal="center"/>
    </xf>
    <xf numFmtId="0" fontId="87" fillId="2" borderId="5" xfId="0" applyFont="1" applyFill="1" applyBorder="1" applyAlignment="1">
      <alignment horizontal="center"/>
    </xf>
    <xf numFmtId="0" fontId="87" fillId="2" borderId="0" xfId="0" applyFont="1" applyFill="1" applyAlignment="1">
      <alignment horizontal="center"/>
    </xf>
    <xf numFmtId="0" fontId="88" fillId="2" borderId="0" xfId="0" applyFont="1" applyFill="1" applyAlignment="1">
      <alignment horizontal="center"/>
    </xf>
    <xf numFmtId="0" fontId="89" fillId="2" borderId="0" xfId="0" applyFont="1" applyFill="1" applyAlignment="1">
      <alignment horizontal="center"/>
    </xf>
    <xf numFmtId="0" fontId="89" fillId="5" borderId="0" xfId="0" applyFont="1" applyFill="1" applyAlignment="1">
      <alignment horizontal="center"/>
    </xf>
    <xf numFmtId="0" fontId="90" fillId="5" borderId="0" xfId="0" applyFont="1" applyFill="1" applyAlignment="1">
      <alignment horizontal="center"/>
    </xf>
    <xf numFmtId="0" fontId="91" fillId="2" borderId="0" xfId="0" applyFont="1" applyFill="1" applyAlignment="1">
      <alignment horizontal="center"/>
    </xf>
    <xf numFmtId="0" fontId="91" fillId="3" borderId="1" xfId="0" applyFont="1" applyFill="1" applyBorder="1" applyAlignment="1">
      <alignment horizontal="center"/>
    </xf>
    <xf numFmtId="170" fontId="91" fillId="6" borderId="1" xfId="0" applyNumberFormat="1" applyFont="1" applyFill="1" applyBorder="1" applyAlignment="1">
      <alignment horizontal="center"/>
    </xf>
    <xf numFmtId="0" fontId="89" fillId="3" borderId="1" xfId="0" applyFont="1" applyFill="1" applyBorder="1" applyAlignment="1">
      <alignment horizontal="center"/>
    </xf>
    <xf numFmtId="0" fontId="89" fillId="2" borderId="3" xfId="0" applyFont="1" applyFill="1" applyBorder="1" applyAlignment="1">
      <alignment horizontal="center"/>
    </xf>
    <xf numFmtId="0" fontId="87" fillId="3" borderId="0" xfId="0" applyFont="1" applyFill="1" applyAlignment="1">
      <alignment horizontal="center"/>
    </xf>
    <xf numFmtId="0" fontId="92" fillId="2" borderId="0" xfId="0" applyFont="1" applyFill="1" applyAlignment="1">
      <alignment horizontal="left"/>
    </xf>
    <xf numFmtId="169" fontId="92" fillId="2" borderId="0" xfId="0" applyNumberFormat="1" applyFont="1" applyFill="1" applyAlignment="1">
      <alignment horizontal="center"/>
    </xf>
    <xf numFmtId="169" fontId="92" fillId="0" borderId="0" xfId="0" applyNumberFormat="1" applyFont="1" applyAlignment="1">
      <alignment horizontal="center"/>
    </xf>
    <xf numFmtId="0" fontId="2" fillId="0" borderId="0" xfId="1" applyAlignment="1" applyProtection="1"/>
    <xf numFmtId="3" fontId="2" fillId="0" borderId="0" xfId="1" applyNumberFormat="1" applyAlignment="1" applyProtection="1">
      <alignment horizontal="left"/>
    </xf>
    <xf numFmtId="0" fontId="94" fillId="5" borderId="0" xfId="0" applyFont="1" applyFill="1" applyAlignment="1">
      <alignment horizontal="left" vertical="center"/>
    </xf>
    <xf numFmtId="0" fontId="0" fillId="5" borderId="0" xfId="0" applyFill="1" applyAlignment="1">
      <alignment vertical="center"/>
    </xf>
    <xf numFmtId="0" fontId="93" fillId="5" borderId="0" xfId="0" applyFont="1" applyFill="1" applyAlignment="1">
      <alignment vertical="center"/>
    </xf>
    <xf numFmtId="0" fontId="95" fillId="0" borderId="0" xfId="0" applyFont="1" applyAlignment="1">
      <alignment horizontal="left"/>
    </xf>
    <xf numFmtId="44" fontId="95" fillId="0" borderId="0" xfId="0" applyNumberFormat="1" applyFont="1" applyAlignment="1">
      <alignment horizontal="left"/>
    </xf>
    <xf numFmtId="0" fontId="66" fillId="2" borderId="0" xfId="0" applyFont="1" applyFill="1" applyAlignment="1">
      <alignment horizontal="center"/>
    </xf>
    <xf numFmtId="17" fontId="66" fillId="2" borderId="0" xfId="0" applyNumberFormat="1" applyFont="1" applyFill="1" applyAlignment="1">
      <alignment horizontal="center"/>
    </xf>
    <xf numFmtId="170" fontId="22" fillId="5" borderId="20" xfId="3" applyNumberFormat="1" applyFont="1" applyFill="1" applyBorder="1" applyAlignment="1" applyProtection="1">
      <alignment horizontal="center" vertical="top"/>
      <protection locked="0"/>
    </xf>
    <xf numFmtId="170" fontId="7" fillId="5" borderId="20" xfId="0" applyNumberFormat="1" applyFont="1" applyFill="1" applyBorder="1" applyAlignment="1" applyProtection="1">
      <alignment horizontal="center" vertical="top"/>
      <protection locked="0"/>
    </xf>
    <xf numFmtId="170" fontId="28" fillId="2" borderId="0" xfId="0" applyNumberFormat="1" applyFont="1" applyFill="1" applyAlignment="1">
      <alignment horizontal="center"/>
    </xf>
    <xf numFmtId="170" fontId="51" fillId="7" borderId="0" xfId="0" applyNumberFormat="1" applyFont="1" applyFill="1" applyAlignment="1">
      <alignment horizontal="center"/>
    </xf>
    <xf numFmtId="170" fontId="77" fillId="0" borderId="1" xfId="0" applyNumberFormat="1" applyFont="1" applyBorder="1" applyAlignment="1" applyProtection="1">
      <alignment horizontal="center"/>
      <protection locked="0"/>
    </xf>
    <xf numFmtId="0" fontId="55" fillId="4" borderId="0" xfId="0" applyFont="1" applyFill="1" applyAlignment="1">
      <alignment horizontal="left"/>
    </xf>
    <xf numFmtId="0" fontId="38" fillId="4" borderId="0" xfId="0" applyFont="1" applyFill="1" applyAlignment="1">
      <alignment horizontal="left"/>
    </xf>
    <xf numFmtId="10" fontId="38" fillId="4" borderId="0" xfId="0" applyNumberFormat="1" applyFont="1" applyFill="1" applyAlignment="1">
      <alignment horizontal="left"/>
    </xf>
    <xf numFmtId="167" fontId="38" fillId="4" borderId="0" xfId="0" applyNumberFormat="1" applyFont="1" applyFill="1" applyAlignment="1">
      <alignment horizontal="left"/>
    </xf>
    <xf numFmtId="3" fontId="38" fillId="4" borderId="0" xfId="0" applyNumberFormat="1" applyFont="1" applyFill="1" applyAlignment="1">
      <alignment horizontal="left"/>
    </xf>
    <xf numFmtId="4" fontId="38" fillId="4" borderId="0" xfId="0" applyNumberFormat="1" applyFont="1" applyFill="1" applyAlignment="1">
      <alignment horizontal="left"/>
    </xf>
    <xf numFmtId="10" fontId="54" fillId="0" borderId="0" xfId="0" applyNumberFormat="1" applyFont="1" applyAlignment="1">
      <alignment horizontal="left" vertical="top" wrapText="1"/>
    </xf>
    <xf numFmtId="2" fontId="38" fillId="4" borderId="0" xfId="0" applyNumberFormat="1" applyFont="1" applyFill="1" applyAlignment="1">
      <alignment horizontal="left"/>
    </xf>
    <xf numFmtId="2" fontId="38" fillId="6" borderId="0" xfId="0" applyNumberFormat="1" applyFont="1" applyFill="1" applyAlignment="1">
      <alignment horizontal="left"/>
    </xf>
    <xf numFmtId="9" fontId="38" fillId="6" borderId="0" xfId="0" applyNumberFormat="1" applyFont="1" applyFill="1" applyAlignment="1">
      <alignment horizontal="left"/>
    </xf>
    <xf numFmtId="168" fontId="38" fillId="4" borderId="0" xfId="0" applyNumberFormat="1" applyFont="1" applyFill="1" applyAlignment="1">
      <alignment horizontal="left"/>
    </xf>
    <xf numFmtId="3" fontId="7" fillId="4" borderId="0" xfId="0" applyNumberFormat="1" applyFont="1" applyFill="1" applyAlignment="1">
      <alignment horizontal="left"/>
    </xf>
    <xf numFmtId="3" fontId="7" fillId="6" borderId="0" xfId="0" applyNumberFormat="1" applyFont="1" applyFill="1" applyAlignment="1">
      <alignment horizontal="left"/>
    </xf>
    <xf numFmtId="3" fontId="62" fillId="6" borderId="0" xfId="0" applyNumberFormat="1" applyFont="1" applyFill="1" applyAlignment="1">
      <alignment horizontal="left"/>
    </xf>
    <xf numFmtId="3" fontId="68" fillId="0" borderId="0" xfId="0" applyNumberFormat="1" applyFont="1" applyAlignment="1">
      <alignment horizontal="center"/>
    </xf>
    <xf numFmtId="3" fontId="8" fillId="6" borderId="0" xfId="0" applyNumberFormat="1" applyFont="1" applyFill="1" applyAlignment="1">
      <alignment horizontal="left"/>
    </xf>
    <xf numFmtId="3" fontId="47" fillId="6" borderId="0" xfId="0" applyNumberFormat="1" applyFont="1" applyFill="1" applyAlignment="1">
      <alignment horizontal="left"/>
    </xf>
    <xf numFmtId="3" fontId="63" fillId="6" borderId="0" xfId="0" applyNumberFormat="1" applyFont="1" applyFill="1" applyAlignment="1">
      <alignment horizontal="left"/>
    </xf>
    <xf numFmtId="3" fontId="39" fillId="6" borderId="0" xfId="0" applyNumberFormat="1" applyFont="1" applyFill="1" applyAlignment="1">
      <alignment horizontal="left"/>
    </xf>
    <xf numFmtId="0" fontId="6" fillId="7" borderId="0" xfId="0" applyFont="1" applyFill="1" applyAlignment="1" applyProtection="1">
      <alignment vertical="top"/>
    </xf>
    <xf numFmtId="0" fontId="6" fillId="7" borderId="0" xfId="0" applyFont="1" applyFill="1" applyAlignment="1" applyProtection="1">
      <alignment horizontal="center" vertical="top"/>
    </xf>
    <xf numFmtId="0" fontId="6" fillId="2" borderId="11" xfId="0" applyFont="1" applyFill="1" applyBorder="1" applyAlignment="1" applyProtection="1">
      <alignment vertical="top"/>
    </xf>
    <xf numFmtId="0" fontId="6" fillId="2" borderId="12" xfId="0" applyFont="1" applyFill="1" applyBorder="1" applyAlignment="1" applyProtection="1">
      <alignment vertical="top"/>
    </xf>
    <xf numFmtId="0" fontId="6" fillId="2" borderId="12" xfId="0" applyFont="1" applyFill="1" applyBorder="1" applyAlignment="1" applyProtection="1">
      <alignment horizontal="center" vertical="top"/>
    </xf>
    <xf numFmtId="0" fontId="6" fillId="2" borderId="13" xfId="0" applyFont="1" applyFill="1" applyBorder="1" applyAlignment="1" applyProtection="1">
      <alignment vertical="top"/>
    </xf>
    <xf numFmtId="0" fontId="6" fillId="3" borderId="0" xfId="0" applyFont="1" applyFill="1" applyAlignment="1" applyProtection="1">
      <alignment vertical="top"/>
    </xf>
    <xf numFmtId="0" fontId="6" fillId="2" borderId="14" xfId="0" applyFont="1" applyFill="1" applyBorder="1" applyAlignment="1" applyProtection="1">
      <alignment vertical="top"/>
    </xf>
    <xf numFmtId="0" fontId="6" fillId="2" borderId="0" xfId="0" applyFont="1" applyFill="1" applyAlignment="1" applyProtection="1">
      <alignment vertical="top"/>
    </xf>
    <xf numFmtId="0" fontId="6" fillId="2" borderId="0" xfId="0" applyFont="1" applyFill="1" applyAlignment="1" applyProtection="1">
      <alignment horizontal="center" vertical="top"/>
    </xf>
    <xf numFmtId="0" fontId="6" fillId="2" borderId="15" xfId="0" applyFont="1" applyFill="1" applyBorder="1" applyAlignment="1" applyProtection="1">
      <alignment vertical="top"/>
    </xf>
    <xf numFmtId="0" fontId="33" fillId="7" borderId="0" xfId="0" applyFont="1" applyFill="1" applyAlignment="1" applyProtection="1">
      <alignment vertical="top"/>
    </xf>
    <xf numFmtId="0" fontId="33" fillId="2" borderId="14" xfId="0" applyFont="1" applyFill="1" applyBorder="1" applyAlignment="1" applyProtection="1">
      <alignment vertical="top"/>
    </xf>
    <xf numFmtId="0" fontId="52" fillId="2" borderId="0" xfId="0" applyFont="1" applyFill="1" applyAlignment="1" applyProtection="1">
      <alignment vertical="top"/>
    </xf>
    <xf numFmtId="0" fontId="33" fillId="2" borderId="0" xfId="0" applyFont="1" applyFill="1" applyAlignment="1" applyProtection="1">
      <alignment vertical="top"/>
    </xf>
    <xf numFmtId="0" fontId="33" fillId="2" borderId="0" xfId="0" applyFont="1" applyFill="1" applyAlignment="1" applyProtection="1">
      <alignment horizontal="center" vertical="top"/>
    </xf>
    <xf numFmtId="0" fontId="33" fillId="2" borderId="15" xfId="0" applyFont="1" applyFill="1" applyBorder="1" applyAlignment="1" applyProtection="1">
      <alignment vertical="top"/>
    </xf>
    <xf numFmtId="0" fontId="33" fillId="3" borderId="0" xfId="0" applyFont="1" applyFill="1" applyAlignment="1" applyProtection="1">
      <alignment vertical="top"/>
    </xf>
    <xf numFmtId="0" fontId="31" fillId="7" borderId="0" xfId="0" applyFont="1" applyFill="1" applyAlignment="1" applyProtection="1">
      <alignment vertical="top"/>
    </xf>
    <xf numFmtId="0" fontId="31" fillId="2" borderId="14" xfId="0" applyFont="1" applyFill="1" applyBorder="1" applyAlignment="1" applyProtection="1">
      <alignment vertical="top"/>
    </xf>
    <xf numFmtId="0" fontId="14" fillId="2" borderId="0" xfId="0" applyFont="1" applyFill="1" applyAlignment="1" applyProtection="1">
      <alignment vertical="top"/>
    </xf>
    <xf numFmtId="0" fontId="31" fillId="2" borderId="0" xfId="0" applyFont="1" applyFill="1" applyAlignment="1" applyProtection="1">
      <alignment vertical="top"/>
    </xf>
    <xf numFmtId="0" fontId="31" fillId="2" borderId="0" xfId="0" applyFont="1" applyFill="1" applyAlignment="1" applyProtection="1">
      <alignment horizontal="center" vertical="top"/>
    </xf>
    <xf numFmtId="14" fontId="31" fillId="2" borderId="0" xfId="0" applyNumberFormat="1" applyFont="1" applyFill="1" applyAlignment="1" applyProtection="1">
      <alignment horizontal="center" vertical="top"/>
    </xf>
    <xf numFmtId="0" fontId="31" fillId="2" borderId="15" xfId="0" applyFont="1" applyFill="1" applyBorder="1" applyAlignment="1" applyProtection="1">
      <alignment vertical="top"/>
    </xf>
    <xf numFmtId="0" fontId="31" fillId="3" borderId="0" xfId="0" applyFont="1" applyFill="1" applyAlignment="1" applyProtection="1">
      <alignment vertical="top"/>
    </xf>
    <xf numFmtId="14" fontId="6" fillId="2" borderId="0" xfId="0" applyNumberFormat="1" applyFont="1" applyFill="1" applyAlignment="1" applyProtection="1">
      <alignment horizontal="center" vertical="top"/>
    </xf>
    <xf numFmtId="0" fontId="7" fillId="7" borderId="0" xfId="0" applyFont="1" applyFill="1" applyAlignment="1" applyProtection="1">
      <alignment vertical="top"/>
    </xf>
    <xf numFmtId="0" fontId="7" fillId="2" borderId="14" xfId="0" applyFont="1" applyFill="1" applyBorder="1" applyAlignment="1" applyProtection="1">
      <alignment vertical="top"/>
    </xf>
    <xf numFmtId="0" fontId="7" fillId="7" borderId="20" xfId="0" applyFont="1" applyFill="1" applyBorder="1" applyAlignment="1" applyProtection="1">
      <alignment vertical="top"/>
    </xf>
    <xf numFmtId="0" fontId="22" fillId="7" borderId="20" xfId="0" applyFont="1" applyFill="1" applyBorder="1" applyAlignment="1" applyProtection="1">
      <alignment horizontal="center" vertical="top"/>
    </xf>
    <xf numFmtId="0" fontId="22" fillId="7" borderId="20" xfId="0" applyFont="1" applyFill="1" applyBorder="1" applyAlignment="1" applyProtection="1">
      <alignment vertical="top"/>
    </xf>
    <xf numFmtId="0" fontId="7" fillId="2" borderId="0" xfId="0" applyFont="1" applyFill="1" applyAlignment="1" applyProtection="1">
      <alignment vertical="top"/>
    </xf>
    <xf numFmtId="0" fontId="8" fillId="7" borderId="20" xfId="0" applyFont="1" applyFill="1" applyBorder="1" applyAlignment="1" applyProtection="1">
      <alignment vertical="top"/>
    </xf>
    <xf numFmtId="1" fontId="7" fillId="7" borderId="20" xfId="0" applyNumberFormat="1" applyFont="1" applyFill="1" applyBorder="1" applyAlignment="1" applyProtection="1">
      <alignment vertical="top"/>
    </xf>
    <xf numFmtId="0" fontId="81" fillId="7" borderId="20" xfId="0" applyFont="1" applyFill="1" applyBorder="1" applyAlignment="1" applyProtection="1">
      <alignment vertical="top"/>
    </xf>
    <xf numFmtId="0" fontId="81" fillId="7" borderId="20" xfId="0" applyFont="1" applyFill="1" applyBorder="1" applyAlignment="1" applyProtection="1">
      <alignment horizontal="center" vertical="top"/>
    </xf>
    <xf numFmtId="0" fontId="7" fillId="7" borderId="20" xfId="0" applyFont="1" applyFill="1" applyBorder="1" applyAlignment="1" applyProtection="1">
      <alignment horizontal="center" vertical="top"/>
    </xf>
    <xf numFmtId="0" fontId="7" fillId="2" borderId="15" xfId="0" applyFont="1" applyFill="1" applyBorder="1" applyAlignment="1" applyProtection="1">
      <alignment vertical="top"/>
    </xf>
    <xf numFmtId="0" fontId="7" fillId="3" borderId="0" xfId="0" applyFont="1" applyFill="1" applyAlignment="1" applyProtection="1">
      <alignment vertical="top"/>
    </xf>
    <xf numFmtId="0" fontId="10" fillId="7" borderId="20" xfId="0" applyFont="1" applyFill="1" applyBorder="1" applyAlignment="1" applyProtection="1">
      <alignment vertical="top"/>
    </xf>
    <xf numFmtId="0" fontId="6" fillId="7" borderId="20" xfId="0" applyFont="1" applyFill="1" applyBorder="1" applyAlignment="1" applyProtection="1">
      <alignment vertical="top"/>
    </xf>
    <xf numFmtId="169" fontId="10" fillId="9" borderId="20" xfId="2" applyNumberFormat="1" applyFont="1" applyFill="1" applyBorder="1" applyAlignment="1" applyProtection="1">
      <alignment horizontal="center" vertical="top"/>
    </xf>
    <xf numFmtId="0" fontId="50" fillId="7" borderId="20" xfId="0" applyFont="1" applyFill="1" applyBorder="1" applyAlignment="1" applyProtection="1">
      <alignment vertical="top"/>
    </xf>
    <xf numFmtId="0" fontId="21" fillId="7" borderId="20" xfId="0" applyFont="1" applyFill="1" applyBorder="1" applyAlignment="1" applyProtection="1">
      <alignment vertical="top"/>
    </xf>
    <xf numFmtId="0" fontId="7" fillId="7" borderId="0" xfId="0" applyFont="1" applyFill="1" applyAlignment="1" applyProtection="1">
      <alignment horizontal="center" vertical="top"/>
    </xf>
    <xf numFmtId="0" fontId="80" fillId="7" borderId="20" xfId="0" applyFont="1" applyFill="1" applyBorder="1" applyAlignment="1" applyProtection="1">
      <alignment vertical="top"/>
    </xf>
    <xf numFmtId="0" fontId="82" fillId="7" borderId="20" xfId="0" applyFont="1" applyFill="1" applyBorder="1" applyAlignment="1" applyProtection="1">
      <alignment vertical="top"/>
    </xf>
    <xf numFmtId="169" fontId="80" fillId="7" borderId="20" xfId="2" applyNumberFormat="1" applyFont="1" applyFill="1" applyBorder="1" applyAlignment="1" applyProtection="1">
      <alignment horizontal="center" vertical="top"/>
    </xf>
    <xf numFmtId="0" fontId="17" fillId="7" borderId="20" xfId="0" applyFont="1" applyFill="1" applyBorder="1" applyAlignment="1" applyProtection="1">
      <alignment vertical="top"/>
    </xf>
    <xf numFmtId="0" fontId="84" fillId="7" borderId="20" xfId="0" applyFont="1" applyFill="1" applyBorder="1" applyAlignment="1" applyProtection="1">
      <alignment vertical="top"/>
    </xf>
    <xf numFmtId="0" fontId="80" fillId="7" borderId="20" xfId="0" applyFont="1" applyFill="1" applyBorder="1" applyAlignment="1" applyProtection="1">
      <alignment horizontal="center" vertical="top"/>
    </xf>
    <xf numFmtId="176" fontId="17" fillId="7" borderId="20" xfId="2" applyNumberFormat="1" applyFont="1" applyFill="1" applyBorder="1" applyAlignment="1" applyProtection="1">
      <alignment horizontal="center" vertical="top"/>
    </xf>
    <xf numFmtId="169" fontId="45" fillId="7" borderId="20" xfId="2" applyNumberFormat="1" applyFont="1" applyFill="1" applyBorder="1" applyAlignment="1" applyProtection="1">
      <alignment vertical="top"/>
    </xf>
    <xf numFmtId="0" fontId="8" fillId="2" borderId="14" xfId="0" applyFont="1" applyFill="1" applyBorder="1" applyAlignment="1" applyProtection="1">
      <alignment vertical="top"/>
    </xf>
    <xf numFmtId="0" fontId="17" fillId="7" borderId="20" xfId="0" applyFont="1" applyFill="1" applyBorder="1" applyAlignment="1" applyProtection="1">
      <alignment horizontal="center" vertical="top"/>
    </xf>
    <xf numFmtId="176" fontId="17" fillId="7" borderId="20" xfId="0" applyNumberFormat="1" applyFont="1" applyFill="1" applyBorder="1" applyAlignment="1" applyProtection="1">
      <alignment horizontal="center" vertical="top"/>
    </xf>
    <xf numFmtId="1" fontId="81" fillId="7" borderId="20" xfId="0" applyNumberFormat="1" applyFont="1" applyFill="1" applyBorder="1" applyAlignment="1" applyProtection="1">
      <alignment horizontal="center" vertical="top"/>
    </xf>
    <xf numFmtId="0" fontId="7" fillId="5" borderId="0" xfId="0" applyFont="1" applyFill="1" applyAlignment="1" applyProtection="1">
      <alignment vertical="top"/>
    </xf>
    <xf numFmtId="0" fontId="7" fillId="5" borderId="0" xfId="0" applyFont="1" applyFill="1" applyAlignment="1" applyProtection="1">
      <alignment horizontal="center" vertical="top"/>
    </xf>
    <xf numFmtId="164" fontId="49" fillId="7" borderId="20" xfId="0" applyNumberFormat="1" applyFont="1" applyFill="1" applyBorder="1" applyAlignment="1" applyProtection="1">
      <alignment horizontal="center" vertical="top"/>
    </xf>
    <xf numFmtId="0" fontId="49" fillId="7" borderId="20" xfId="0" applyFont="1" applyFill="1" applyBorder="1" applyAlignment="1" applyProtection="1">
      <alignment horizontal="center" vertical="top"/>
    </xf>
    <xf numFmtId="0" fontId="25" fillId="7" borderId="20" xfId="0" applyFont="1" applyFill="1" applyBorder="1" applyAlignment="1" applyProtection="1">
      <alignment vertical="top"/>
    </xf>
    <xf numFmtId="1" fontId="49" fillId="7" borderId="20" xfId="0" applyNumberFormat="1" applyFont="1" applyFill="1" applyBorder="1" applyAlignment="1" applyProtection="1">
      <alignment horizontal="center" vertical="top"/>
    </xf>
    <xf numFmtId="0" fontId="62" fillId="7" borderId="0" xfId="0" applyFont="1" applyFill="1" applyAlignment="1" applyProtection="1">
      <alignment vertical="top"/>
    </xf>
    <xf numFmtId="0" fontId="83" fillId="7" borderId="20" xfId="0" applyFont="1" applyFill="1" applyBorder="1" applyAlignment="1" applyProtection="1">
      <alignment horizontal="center" vertical="top"/>
    </xf>
    <xf numFmtId="4" fontId="7" fillId="7" borderId="20" xfId="0" applyNumberFormat="1" applyFont="1" applyFill="1" applyBorder="1" applyAlignment="1" applyProtection="1">
      <alignment vertical="top"/>
    </xf>
    <xf numFmtId="170" fontId="7" fillId="13" borderId="20" xfId="0" applyNumberFormat="1" applyFont="1" applyFill="1" applyBorder="1" applyAlignment="1" applyProtection="1">
      <alignment horizontal="center" vertical="top"/>
    </xf>
    <xf numFmtId="170" fontId="22" fillId="9" borderId="20" xfId="0" applyNumberFormat="1" applyFont="1" applyFill="1" applyBorder="1" applyAlignment="1" applyProtection="1">
      <alignment horizontal="center" vertical="top"/>
    </xf>
    <xf numFmtId="0" fontId="62" fillId="7" borderId="20" xfId="0" applyFont="1" applyFill="1" applyBorder="1" applyAlignment="1" applyProtection="1">
      <alignment horizontal="center" vertical="top"/>
    </xf>
    <xf numFmtId="0" fontId="9" fillId="7" borderId="20" xfId="0" applyFont="1" applyFill="1" applyBorder="1" applyAlignment="1" applyProtection="1">
      <alignment vertical="top"/>
    </xf>
    <xf numFmtId="170" fontId="8" fillId="9" borderId="20" xfId="0" applyNumberFormat="1" applyFont="1" applyFill="1" applyBorder="1" applyAlignment="1" applyProtection="1">
      <alignment horizontal="center" vertical="top"/>
    </xf>
    <xf numFmtId="4" fontId="8" fillId="7" borderId="20" xfId="0" applyNumberFormat="1" applyFont="1" applyFill="1" applyBorder="1" applyAlignment="1" applyProtection="1">
      <alignment vertical="top"/>
    </xf>
    <xf numFmtId="0" fontId="8" fillId="7" borderId="22" xfId="0" applyFont="1" applyFill="1" applyBorder="1" applyAlignment="1" applyProtection="1">
      <alignment vertical="top"/>
    </xf>
    <xf numFmtId="0" fontId="7" fillId="7" borderId="22" xfId="0" applyFont="1" applyFill="1" applyBorder="1" applyAlignment="1" applyProtection="1">
      <alignment horizontal="center" vertical="top"/>
    </xf>
    <xf numFmtId="1" fontId="7" fillId="7" borderId="22" xfId="0" applyNumberFormat="1" applyFont="1" applyFill="1" applyBorder="1" applyAlignment="1" applyProtection="1">
      <alignment vertical="top"/>
    </xf>
    <xf numFmtId="0" fontId="8" fillId="7" borderId="19" xfId="0" applyFont="1" applyFill="1" applyBorder="1" applyAlignment="1" applyProtection="1">
      <alignment vertical="top"/>
    </xf>
    <xf numFmtId="0" fontId="7" fillId="7" borderId="19" xfId="0" applyFont="1" applyFill="1" applyBorder="1" applyAlignment="1" applyProtection="1">
      <alignment horizontal="center" vertical="top"/>
    </xf>
    <xf numFmtId="1" fontId="7" fillId="7" borderId="19" xfId="0" applyNumberFormat="1" applyFont="1" applyFill="1" applyBorder="1" applyAlignment="1" applyProtection="1">
      <alignment vertical="top"/>
    </xf>
    <xf numFmtId="4" fontId="9" fillId="7" borderId="20" xfId="0" applyNumberFormat="1" applyFont="1" applyFill="1" applyBorder="1" applyAlignment="1" applyProtection="1">
      <alignment vertical="top"/>
    </xf>
    <xf numFmtId="4" fontId="7" fillId="7" borderId="20" xfId="0" applyNumberFormat="1" applyFont="1" applyFill="1" applyBorder="1" applyAlignment="1" applyProtection="1">
      <alignment horizontal="center" vertical="top"/>
    </xf>
    <xf numFmtId="9" fontId="7" fillId="7" borderId="20" xfId="0" applyNumberFormat="1" applyFont="1" applyFill="1" applyBorder="1" applyAlignment="1" applyProtection="1">
      <alignment vertical="top"/>
    </xf>
    <xf numFmtId="170" fontId="9" fillId="7" borderId="20" xfId="0" applyNumberFormat="1" applyFont="1" applyFill="1" applyBorder="1" applyAlignment="1" applyProtection="1">
      <alignment horizontal="center" vertical="top"/>
    </xf>
    <xf numFmtId="10" fontId="7" fillId="7" borderId="20" xfId="0" applyNumberFormat="1" applyFont="1" applyFill="1" applyBorder="1" applyAlignment="1" applyProtection="1">
      <alignment vertical="top"/>
    </xf>
    <xf numFmtId="10" fontId="69" fillId="7" borderId="20" xfId="0" applyNumberFormat="1" applyFont="1" applyFill="1" applyBorder="1" applyAlignment="1" applyProtection="1">
      <alignment horizontal="center" vertical="top"/>
    </xf>
    <xf numFmtId="0" fontId="69" fillId="7" borderId="20" xfId="0" applyFont="1" applyFill="1" applyBorder="1" applyAlignment="1" applyProtection="1">
      <alignment horizontal="center" vertical="top"/>
    </xf>
    <xf numFmtId="1" fontId="69" fillId="7" borderId="20" xfId="0" applyNumberFormat="1" applyFont="1" applyFill="1" applyBorder="1" applyAlignment="1" applyProtection="1">
      <alignment horizontal="center" vertical="top"/>
    </xf>
    <xf numFmtId="0" fontId="8" fillId="7" borderId="20" xfId="0" applyFont="1" applyFill="1" applyBorder="1" applyAlignment="1" applyProtection="1">
      <alignment horizontal="center" vertical="top"/>
    </xf>
    <xf numFmtId="170" fontId="9" fillId="9" borderId="20" xfId="0" applyNumberFormat="1" applyFont="1" applyFill="1" applyBorder="1" applyAlignment="1" applyProtection="1">
      <alignment horizontal="center" vertical="top"/>
    </xf>
    <xf numFmtId="0" fontId="7" fillId="7" borderId="21" xfId="0" applyFont="1" applyFill="1" applyBorder="1" applyAlignment="1" applyProtection="1">
      <alignment vertical="top"/>
    </xf>
    <xf numFmtId="0" fontId="7" fillId="7" borderId="21" xfId="0" applyFont="1" applyFill="1" applyBorder="1" applyAlignment="1" applyProtection="1">
      <alignment horizontal="center" vertical="top"/>
    </xf>
    <xf numFmtId="174" fontId="8" fillId="9" borderId="20" xfId="0" applyNumberFormat="1" applyFont="1" applyFill="1" applyBorder="1" applyAlignment="1" applyProtection="1">
      <alignment horizontal="center" vertical="top"/>
    </xf>
    <xf numFmtId="0" fontId="7" fillId="7" borderId="19" xfId="0" applyFont="1" applyFill="1" applyBorder="1" applyAlignment="1" applyProtection="1">
      <alignment vertical="top"/>
    </xf>
    <xf numFmtId="170" fontId="17" fillId="7" borderId="20" xfId="0" applyNumberFormat="1" applyFont="1" applyFill="1" applyBorder="1" applyAlignment="1" applyProtection="1">
      <alignment horizontal="center" vertical="top"/>
    </xf>
    <xf numFmtId="170" fontId="10" fillId="9" borderId="20" xfId="0" applyNumberFormat="1" applyFont="1" applyFill="1" applyBorder="1" applyAlignment="1" applyProtection="1">
      <alignment horizontal="center" vertical="top"/>
    </xf>
    <xf numFmtId="175" fontId="7" fillId="7" borderId="0" xfId="0" applyNumberFormat="1" applyFont="1" applyFill="1" applyAlignment="1" applyProtection="1">
      <alignment vertical="top"/>
    </xf>
    <xf numFmtId="0" fontId="8" fillId="2" borderId="15" xfId="0" applyFont="1" applyFill="1" applyBorder="1" applyAlignment="1" applyProtection="1">
      <alignment vertical="top"/>
    </xf>
    <xf numFmtId="170" fontId="49" fillId="7" borderId="20" xfId="0" applyNumberFormat="1" applyFont="1" applyFill="1" applyBorder="1" applyAlignment="1" applyProtection="1">
      <alignment horizontal="center" vertical="top"/>
    </xf>
    <xf numFmtId="170" fontId="22" fillId="13" borderId="20" xfId="3" applyNumberFormat="1" applyFont="1" applyFill="1" applyBorder="1" applyAlignment="1" applyProtection="1">
      <alignment horizontal="center" vertical="top"/>
    </xf>
    <xf numFmtId="0" fontId="17" fillId="7" borderId="0" xfId="0" applyFont="1" applyFill="1" applyAlignment="1" applyProtection="1">
      <alignment vertical="top"/>
    </xf>
    <xf numFmtId="170" fontId="17" fillId="9" borderId="20" xfId="0" applyNumberFormat="1" applyFont="1" applyFill="1" applyBorder="1" applyAlignment="1" applyProtection="1">
      <alignment horizontal="center" vertical="top"/>
    </xf>
    <xf numFmtId="0" fontId="17" fillId="2" borderId="0" xfId="0" applyFont="1" applyFill="1" applyAlignment="1" applyProtection="1">
      <alignment vertical="top"/>
    </xf>
    <xf numFmtId="0" fontId="17" fillId="3" borderId="0" xfId="0" applyFont="1" applyFill="1" applyAlignment="1" applyProtection="1">
      <alignment vertical="top"/>
    </xf>
    <xf numFmtId="0" fontId="17" fillId="2" borderId="14" xfId="0" applyFont="1" applyFill="1" applyBorder="1" applyAlignment="1" applyProtection="1">
      <alignment vertical="top"/>
    </xf>
    <xf numFmtId="0" fontId="7" fillId="5" borderId="20" xfId="2" applyNumberFormat="1" applyFont="1" applyFill="1" applyBorder="1" applyAlignment="1" applyProtection="1">
      <alignment horizontal="center" vertical="top"/>
    </xf>
    <xf numFmtId="0" fontId="9" fillId="7" borderId="20" xfId="0" applyFont="1" applyFill="1" applyBorder="1" applyAlignment="1" applyProtection="1">
      <alignment horizontal="center" vertical="top"/>
    </xf>
    <xf numFmtId="0" fontId="45" fillId="5" borderId="0" xfId="0" applyFont="1" applyFill="1" applyAlignment="1" applyProtection="1">
      <alignment vertical="top"/>
    </xf>
    <xf numFmtId="0" fontId="45" fillId="5" borderId="0" xfId="0" applyFont="1" applyFill="1" applyAlignment="1" applyProtection="1">
      <alignment horizontal="center" vertical="top"/>
    </xf>
    <xf numFmtId="0" fontId="10" fillId="7" borderId="20" xfId="0" applyFont="1" applyFill="1" applyBorder="1" applyAlignment="1" applyProtection="1">
      <alignment horizontal="center" vertical="top"/>
    </xf>
    <xf numFmtId="0" fontId="6" fillId="5" borderId="0" xfId="0" applyFont="1" applyFill="1" applyAlignment="1" applyProtection="1">
      <alignment vertical="top"/>
    </xf>
    <xf numFmtId="0" fontId="6" fillId="2" borderId="16" xfId="0" applyFont="1" applyFill="1" applyBorder="1" applyAlignment="1" applyProtection="1">
      <alignment vertical="top"/>
    </xf>
    <xf numFmtId="0" fontId="6" fillId="2" borderId="17" xfId="0" applyFont="1" applyFill="1" applyBorder="1" applyAlignment="1" applyProtection="1">
      <alignment vertical="top"/>
    </xf>
    <xf numFmtId="0" fontId="6" fillId="2" borderId="17" xfId="0" applyFont="1" applyFill="1" applyBorder="1" applyAlignment="1" applyProtection="1">
      <alignment horizontal="center" vertical="top"/>
    </xf>
    <xf numFmtId="164" fontId="6" fillId="2" borderId="17" xfId="0" applyNumberFormat="1" applyFont="1" applyFill="1" applyBorder="1" applyAlignment="1" applyProtection="1">
      <alignment horizontal="center" vertical="top"/>
    </xf>
    <xf numFmtId="0" fontId="23" fillId="2" borderId="17" xfId="0" applyFont="1" applyFill="1" applyBorder="1" applyAlignment="1" applyProtection="1">
      <alignment vertical="top"/>
    </xf>
    <xf numFmtId="0" fontId="7" fillId="2" borderId="17" xfId="0" applyFont="1" applyFill="1" applyBorder="1" applyAlignment="1" applyProtection="1">
      <alignment vertical="top"/>
    </xf>
    <xf numFmtId="0" fontId="7" fillId="2" borderId="17" xfId="0" applyFont="1" applyFill="1" applyBorder="1" applyAlignment="1" applyProtection="1">
      <alignment horizontal="center" vertical="top"/>
    </xf>
    <xf numFmtId="0" fontId="6" fillId="2" borderId="18" xfId="0" applyFont="1" applyFill="1" applyBorder="1" applyAlignment="1" applyProtection="1">
      <alignment vertical="top"/>
    </xf>
    <xf numFmtId="0" fontId="59" fillId="7" borderId="0" xfId="0" applyFont="1" applyFill="1" applyAlignment="1" applyProtection="1">
      <alignment vertical="top"/>
    </xf>
    <xf numFmtId="0" fontId="59" fillId="7" borderId="0" xfId="0" applyFont="1" applyFill="1" applyAlignment="1" applyProtection="1">
      <alignment horizontal="center" vertical="top"/>
    </xf>
    <xf numFmtId="10" fontId="59" fillId="7" borderId="0" xfId="2" applyNumberFormat="1" applyFont="1" applyFill="1" applyAlignment="1" applyProtection="1">
      <alignment horizontal="center" vertical="top"/>
    </xf>
    <xf numFmtId="169" fontId="59" fillId="7" borderId="0" xfId="2" applyNumberFormat="1" applyFont="1" applyFill="1" applyAlignment="1" applyProtection="1">
      <alignment horizontal="center" vertical="top"/>
    </xf>
    <xf numFmtId="172" fontId="6" fillId="7" borderId="0" xfId="3" applyNumberFormat="1" applyFont="1" applyFill="1" applyAlignment="1" applyProtection="1">
      <alignment horizontal="center" vertical="top"/>
    </xf>
    <xf numFmtId="49" fontId="53" fillId="7" borderId="0" xfId="0" applyNumberFormat="1" applyFont="1" applyFill="1" applyAlignment="1" applyProtection="1">
      <alignment vertical="top"/>
    </xf>
    <xf numFmtId="0" fontId="53" fillId="7" borderId="0" xfId="0" applyFont="1" applyFill="1" applyAlignment="1" applyProtection="1">
      <alignment vertical="top"/>
    </xf>
    <xf numFmtId="0" fontId="21" fillId="7" borderId="0" xfId="0" applyFont="1" applyFill="1" applyAlignment="1" applyProtection="1">
      <alignment vertical="top"/>
    </xf>
    <xf numFmtId="0" fontId="6" fillId="3" borderId="0" xfId="0" applyFont="1" applyFill="1" applyAlignment="1" applyProtection="1">
      <alignment horizontal="center" vertical="top"/>
    </xf>
    <xf numFmtId="0" fontId="97" fillId="0" borderId="0" xfId="0" applyFont="1" applyAlignment="1">
      <alignment vertical="center"/>
    </xf>
    <xf numFmtId="0" fontId="98" fillId="0" borderId="0" xfId="0" applyFont="1"/>
    <xf numFmtId="0" fontId="99" fillId="0" borderId="0" xfId="0" applyFont="1" applyAlignment="1">
      <alignment horizontal="left" vertical="center" indent="2"/>
    </xf>
    <xf numFmtId="0" fontId="99" fillId="0" borderId="0" xfId="0" applyFont="1" applyAlignment="1">
      <alignment vertical="center"/>
    </xf>
    <xf numFmtId="0" fontId="101" fillId="0" borderId="0" xfId="0" applyFont="1" applyAlignment="1">
      <alignment vertical="center"/>
    </xf>
    <xf numFmtId="0" fontId="102" fillId="0" borderId="0" xfId="0" applyFont="1"/>
    <xf numFmtId="0" fontId="103" fillId="0" borderId="0" xfId="0" applyFont="1" applyAlignment="1">
      <alignment vertical="center"/>
    </xf>
    <xf numFmtId="0" fontId="104" fillId="0" borderId="0" xfId="0" applyFont="1" applyAlignment="1">
      <alignment vertical="center"/>
    </xf>
    <xf numFmtId="0" fontId="104" fillId="0" borderId="0" xfId="0" applyFont="1"/>
    <xf numFmtId="0" fontId="105" fillId="0" borderId="0" xfId="0" applyFont="1" applyAlignment="1">
      <alignment vertical="center"/>
    </xf>
    <xf numFmtId="0" fontId="1" fillId="0" borderId="0" xfId="0" applyFont="1"/>
    <xf numFmtId="0" fontId="1" fillId="0" borderId="0" xfId="1" applyFont="1" applyAlignment="1" applyProtection="1">
      <alignment vertical="center"/>
    </xf>
    <xf numFmtId="0" fontId="106" fillId="0" borderId="0" xfId="0" applyFont="1"/>
    <xf numFmtId="0" fontId="103" fillId="5" borderId="0" xfId="0" applyFont="1" applyFill="1" applyAlignment="1">
      <alignment vertical="center"/>
    </xf>
    <xf numFmtId="0" fontId="0" fillId="5" borderId="0" xfId="0" applyFill="1"/>
    <xf numFmtId="0" fontId="1" fillId="5" borderId="0" xfId="0" applyFont="1" applyFill="1"/>
    <xf numFmtId="0" fontId="7" fillId="5" borderId="15" xfId="0" applyFont="1" applyFill="1" applyBorder="1" applyAlignment="1" applyProtection="1">
      <alignment vertical="top"/>
    </xf>
    <xf numFmtId="0" fontId="103" fillId="5" borderId="24" xfId="0" applyFont="1" applyFill="1" applyBorder="1" applyAlignment="1">
      <alignment vertical="center"/>
    </xf>
    <xf numFmtId="0" fontId="0" fillId="5" borderId="25" xfId="0" applyFill="1" applyBorder="1"/>
    <xf numFmtId="0" fontId="0" fillId="5" borderId="26" xfId="0" applyFill="1" applyBorder="1"/>
    <xf numFmtId="0" fontId="104" fillId="5" borderId="7" xfId="0" applyFont="1" applyFill="1" applyBorder="1" applyAlignment="1">
      <alignment vertical="center"/>
    </xf>
    <xf numFmtId="0" fontId="0" fillId="5" borderId="0" xfId="0" applyFill="1" applyBorder="1"/>
    <xf numFmtId="0" fontId="0" fillId="5" borderId="8" xfId="0" applyFill="1" applyBorder="1"/>
    <xf numFmtId="0" fontId="106" fillId="5" borderId="7" xfId="0" applyFont="1" applyFill="1" applyBorder="1"/>
    <xf numFmtId="0" fontId="1" fillId="5" borderId="7" xfId="1" applyFont="1" applyFill="1" applyBorder="1" applyAlignment="1" applyProtection="1">
      <alignment vertical="center"/>
    </xf>
    <xf numFmtId="0" fontId="1" fillId="5" borderId="0" xfId="0" applyFont="1" applyFill="1" applyBorder="1"/>
    <xf numFmtId="0" fontId="1" fillId="5" borderId="8" xfId="0" applyFont="1" applyFill="1" applyBorder="1"/>
    <xf numFmtId="0" fontId="103" fillId="5" borderId="7" xfId="0" applyFont="1" applyFill="1" applyBorder="1" applyAlignment="1">
      <alignment vertical="center"/>
    </xf>
    <xf numFmtId="0" fontId="105" fillId="5" borderId="7" xfId="0" applyFont="1" applyFill="1" applyBorder="1" applyAlignment="1">
      <alignment vertical="center"/>
    </xf>
    <xf numFmtId="0" fontId="104" fillId="5" borderId="7" xfId="0" applyFont="1" applyFill="1" applyBorder="1"/>
    <xf numFmtId="0" fontId="106" fillId="5" borderId="0" xfId="0" applyFont="1" applyFill="1" applyBorder="1"/>
    <xf numFmtId="0" fontId="106" fillId="5" borderId="8" xfId="0" applyFont="1" applyFill="1" applyBorder="1"/>
    <xf numFmtId="0" fontId="106" fillId="5" borderId="27" xfId="0" applyFont="1" applyFill="1" applyBorder="1"/>
    <xf numFmtId="0" fontId="106" fillId="5" borderId="28" xfId="0" applyFont="1" applyFill="1" applyBorder="1"/>
    <xf numFmtId="0" fontId="106" fillId="5" borderId="29" xfId="0" applyFont="1" applyFill="1" applyBorder="1"/>
    <xf numFmtId="0" fontId="66" fillId="2" borderId="0" xfId="0" applyFont="1" applyFill="1" applyAlignment="1">
      <alignment horizontal="center"/>
    </xf>
    <xf numFmtId="170" fontId="17" fillId="2" borderId="0" xfId="0" applyNumberFormat="1" applyFont="1" applyFill="1" applyAlignment="1">
      <alignment horizontal="center"/>
    </xf>
    <xf numFmtId="0" fontId="19" fillId="2" borderId="25" xfId="0" applyFont="1" applyFill="1" applyBorder="1" applyAlignment="1">
      <alignment horizontal="center"/>
    </xf>
    <xf numFmtId="0" fontId="66" fillId="2" borderId="28" xfId="0" applyFont="1" applyFill="1" applyBorder="1" applyAlignment="1">
      <alignment horizontal="center"/>
    </xf>
    <xf numFmtId="42" fontId="53" fillId="7" borderId="19" xfId="0" applyNumberFormat="1" applyFont="1" applyFill="1" applyBorder="1" applyAlignment="1" applyProtection="1">
      <alignment horizontal="center" vertical="top"/>
    </xf>
    <xf numFmtId="0" fontId="65" fillId="5" borderId="0" xfId="0" applyFont="1" applyFill="1" applyAlignment="1">
      <alignment horizontal="center"/>
    </xf>
    <xf numFmtId="0" fontId="66" fillId="2" borderId="0" xfId="0" applyFont="1" applyFill="1" applyAlignment="1">
      <alignment horizontal="center"/>
    </xf>
    <xf numFmtId="0" fontId="76" fillId="5" borderId="0" xfId="0" applyFont="1" applyFill="1" applyAlignment="1">
      <alignment horizontal="center" wrapText="1"/>
    </xf>
    <xf numFmtId="0" fontId="76" fillId="5" borderId="23" xfId="0" applyFont="1" applyFill="1" applyBorder="1" applyAlignment="1">
      <alignment horizontal="center" wrapText="1"/>
    </xf>
    <xf numFmtId="0" fontId="66" fillId="2" borderId="0" xfId="0" applyFont="1" applyFill="1" applyAlignment="1">
      <alignment horizontal="center" wrapText="1"/>
    </xf>
    <xf numFmtId="0" fontId="66" fillId="2" borderId="23" xfId="0" applyFont="1" applyFill="1" applyBorder="1" applyAlignment="1">
      <alignment horizontal="center" wrapText="1"/>
    </xf>
    <xf numFmtId="173" fontId="61" fillId="4" borderId="0" xfId="0" applyNumberFormat="1" applyFont="1" applyFill="1" applyAlignment="1">
      <alignment horizontal="left"/>
    </xf>
  </cellXfs>
  <cellStyles count="5">
    <cellStyle name="Hyperlink" xfId="1" builtinId="8"/>
    <cellStyle name="Procent" xfId="2" builtinId="5"/>
    <cellStyle name="Standaard" xfId="0" builtinId="0"/>
    <cellStyle name="Standaard 2" xfId="4"/>
    <cellStyle name="Valuta" xfId="3" builtinId="4"/>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200025</xdr:colOff>
      <xdr:row>2</xdr:row>
      <xdr:rowOff>114300</xdr:rowOff>
    </xdr:from>
    <xdr:to>
      <xdr:col>12</xdr:col>
      <xdr:colOff>590550</xdr:colOff>
      <xdr:row>4</xdr:row>
      <xdr:rowOff>38100</xdr:rowOff>
    </xdr:to>
    <xdr:pic>
      <xdr:nvPicPr>
        <xdr:cNvPr id="14337" name="Picture 2">
          <a:extLst>
            <a:ext uri="{FF2B5EF4-FFF2-40B4-BE49-F238E27FC236}">
              <a16:creationId xmlns:a16="http://schemas.microsoft.com/office/drawing/2014/main" xmlns="" id="{00000000-0008-0000-0000-000001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438150"/>
          <a:ext cx="10382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poraad.n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vervangingsfonds.nl/over-ons/nieuws/actueel/premies-per-1-januari-2019-bekend?state=online" TargetMode="External"/><Relationship Id="rId3" Type="http://schemas.openxmlformats.org/officeDocument/2006/relationships/hyperlink" Target="https://www.uwv.nl/werkgevers/eigenrisicodrager/eigenrisicodrager-wga/premiewijzer-gedifferentieerde-premie-werkhervattingskas.aspx" TargetMode="External"/><Relationship Id="rId7" Type="http://schemas.openxmlformats.org/officeDocument/2006/relationships/hyperlink" Target="https://www.participatiefonds.nl/werkgevers/Premie+betalen" TargetMode="External"/><Relationship Id="rId12" Type="http://schemas.openxmlformats.org/officeDocument/2006/relationships/comments" Target="../comments3.xml"/><Relationship Id="rId2" Type="http://schemas.openxmlformats.org/officeDocument/2006/relationships/hyperlink" Target="https://zoek.officielebekendmakingen.nl/stcrt-2018-64901.html" TargetMode="External"/><Relationship Id="rId1" Type="http://schemas.openxmlformats.org/officeDocument/2006/relationships/hyperlink" Target="https://www.abp.nl/images/24.0006.18_premietabel_2019.pdf" TargetMode="External"/><Relationship Id="rId6" Type="http://schemas.openxmlformats.org/officeDocument/2006/relationships/hyperlink" Target="https://www.vervangingsfonds.nl/over-ons/nieuws/actueel/premies-per-1-januari-2019-bekend?state=online" TargetMode="External"/><Relationship Id="rId11" Type="http://schemas.openxmlformats.org/officeDocument/2006/relationships/vmlDrawing" Target="../drawings/vmlDrawing3.vml"/><Relationship Id="rId5" Type="http://schemas.openxmlformats.org/officeDocument/2006/relationships/hyperlink" Target="https://zoek.officielebekendmakingen.nl/stcrt-2018-64901.html" TargetMode="External"/><Relationship Id="rId10" Type="http://schemas.openxmlformats.org/officeDocument/2006/relationships/printerSettings" Target="../printerSettings/printerSettings4.bin"/><Relationship Id="rId4" Type="http://schemas.openxmlformats.org/officeDocument/2006/relationships/hyperlink" Target="https://www.salarisnet.nl/?s=inkomensafhankelijke+bijdrage+Zorgverzekeringswet+2019" TargetMode="External"/><Relationship Id="rId9" Type="http://schemas.openxmlformats.org/officeDocument/2006/relationships/hyperlink" Target="https://www.rijksoverheid.nl/ministeries/ministerie-van-financien/documenten/circulaires/2018/12/18/belangrijkste-wijzigingen-belastingen-201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12"/>
  <sheetViews>
    <sheetView zoomScale="115" zoomScaleNormal="115" workbookViewId="0">
      <selection activeCell="E5" sqref="E5"/>
    </sheetView>
  </sheetViews>
  <sheetFormatPr defaultColWidth="9.140625" defaultRowHeight="12.75" x14ac:dyDescent="0.2"/>
  <cols>
    <col min="1" max="1" width="3.7109375" style="73" customWidth="1"/>
    <col min="2" max="2" width="2.7109375" style="73" customWidth="1"/>
    <col min="3" max="4" width="9.140625" style="73"/>
    <col min="5" max="6" width="14.85546875" style="73" customWidth="1"/>
    <col min="7" max="11" width="9.140625" style="73"/>
    <col min="12" max="12" width="9.7109375" style="73" customWidth="1"/>
    <col min="13" max="13" width="9.140625" style="73"/>
    <col min="14" max="14" width="16" style="73" hidden="1" customWidth="1"/>
    <col min="15" max="16384" width="9.140625" style="73"/>
  </cols>
  <sheetData>
    <row r="2" spans="2:17" x14ac:dyDescent="0.2">
      <c r="B2" s="93"/>
      <c r="C2" s="94"/>
      <c r="D2" s="94"/>
      <c r="E2" s="94"/>
      <c r="F2" s="94"/>
      <c r="G2" s="94"/>
      <c r="H2" s="94"/>
      <c r="I2" s="94"/>
      <c r="J2" s="94"/>
      <c r="K2" s="94"/>
      <c r="L2" s="94"/>
      <c r="M2" s="94"/>
      <c r="N2" s="95"/>
    </row>
    <row r="3" spans="2:17" x14ac:dyDescent="0.2">
      <c r="B3" s="96"/>
      <c r="N3" s="97"/>
    </row>
    <row r="4" spans="2:17" s="74" customFormat="1" ht="18.75" x14ac:dyDescent="0.3">
      <c r="B4" s="98"/>
      <c r="C4" s="119" t="s">
        <v>22</v>
      </c>
      <c r="D4" s="75"/>
      <c r="E4" s="75"/>
      <c r="F4" s="75"/>
      <c r="G4" s="75"/>
      <c r="H4" s="76"/>
      <c r="L4" s="77"/>
      <c r="N4" s="99"/>
      <c r="Q4" s="22"/>
    </row>
    <row r="5" spans="2:17" ht="15.75" x14ac:dyDescent="0.25">
      <c r="B5" s="96"/>
      <c r="C5" s="78" t="s">
        <v>386</v>
      </c>
      <c r="L5" s="79"/>
      <c r="M5" s="80"/>
      <c r="N5" s="100"/>
      <c r="Q5" s="22"/>
    </row>
    <row r="6" spans="2:17" x14ac:dyDescent="0.2">
      <c r="B6" s="96"/>
      <c r="C6" s="80"/>
      <c r="L6" s="79"/>
      <c r="M6" s="80"/>
      <c r="N6" s="100"/>
    </row>
    <row r="7" spans="2:17" x14ac:dyDescent="0.2">
      <c r="B7" s="101"/>
      <c r="C7" s="22" t="s">
        <v>24</v>
      </c>
      <c r="D7" s="22"/>
      <c r="E7" s="22"/>
      <c r="F7" s="22"/>
      <c r="G7" s="82" t="s">
        <v>84</v>
      </c>
      <c r="I7" s="22"/>
      <c r="J7" s="22"/>
      <c r="K7" s="22"/>
      <c r="L7" s="22"/>
      <c r="M7" s="22"/>
      <c r="N7" s="100"/>
    </row>
    <row r="8" spans="2:17" x14ac:dyDescent="0.2">
      <c r="B8" s="101"/>
      <c r="C8" s="22" t="s">
        <v>276</v>
      </c>
      <c r="D8" s="22"/>
      <c r="E8" s="22"/>
      <c r="F8" s="22"/>
      <c r="G8" s="22"/>
      <c r="H8" s="22"/>
      <c r="I8" s="22"/>
      <c r="J8" s="22"/>
      <c r="K8" s="22"/>
      <c r="L8" s="22"/>
      <c r="M8" s="22"/>
      <c r="N8" s="97"/>
    </row>
    <row r="9" spans="2:17" x14ac:dyDescent="0.2">
      <c r="B9" s="101"/>
      <c r="C9" s="22"/>
      <c r="D9" s="22"/>
      <c r="E9" s="22"/>
      <c r="F9" s="22"/>
      <c r="G9" s="22"/>
      <c r="H9" s="22"/>
      <c r="I9" s="22"/>
      <c r="J9" s="22"/>
      <c r="K9" s="22"/>
      <c r="L9" s="22"/>
      <c r="M9" s="22"/>
      <c r="N9" s="97"/>
    </row>
    <row r="10" spans="2:17" x14ac:dyDescent="0.2">
      <c r="B10" s="101"/>
      <c r="C10" s="29" t="s">
        <v>281</v>
      </c>
      <c r="D10" s="22"/>
      <c r="E10" s="22"/>
      <c r="F10" s="22"/>
      <c r="G10" s="22"/>
      <c r="H10" s="22"/>
      <c r="I10" s="22"/>
      <c r="J10" s="22"/>
      <c r="K10" s="22"/>
      <c r="L10" s="22"/>
      <c r="M10" s="22"/>
      <c r="N10" s="97"/>
    </row>
    <row r="11" spans="2:17" x14ac:dyDescent="0.2">
      <c r="B11" s="101"/>
      <c r="C11" s="22" t="s">
        <v>378</v>
      </c>
      <c r="D11" s="22"/>
      <c r="E11" s="22"/>
      <c r="F11" s="22"/>
      <c r="G11" s="22"/>
      <c r="H11" s="22"/>
      <c r="I11" s="22"/>
      <c r="J11" s="22"/>
      <c r="K11" s="22"/>
      <c r="L11" s="22"/>
      <c r="M11" s="22"/>
      <c r="N11" s="97"/>
    </row>
    <row r="12" spans="2:17" x14ac:dyDescent="0.2">
      <c r="B12" s="101"/>
      <c r="C12" s="22" t="s">
        <v>379</v>
      </c>
      <c r="D12" s="22"/>
      <c r="E12" s="22"/>
      <c r="F12" s="22"/>
      <c r="G12" s="22"/>
      <c r="H12" s="22"/>
      <c r="I12" s="22"/>
      <c r="J12" s="22"/>
      <c r="K12" s="22"/>
      <c r="L12" s="22"/>
      <c r="M12" s="22"/>
      <c r="N12" s="97"/>
    </row>
    <row r="13" spans="2:17" x14ac:dyDescent="0.2">
      <c r="B13" s="101"/>
      <c r="C13" s="22" t="s">
        <v>374</v>
      </c>
      <c r="D13" s="22"/>
      <c r="E13" s="22"/>
      <c r="F13" s="22"/>
      <c r="G13" s="22"/>
      <c r="H13" s="22"/>
      <c r="I13" s="22"/>
      <c r="J13" s="22"/>
      <c r="K13" s="22"/>
      <c r="L13" s="22"/>
      <c r="M13" s="22"/>
      <c r="N13" s="97"/>
    </row>
    <row r="14" spans="2:17" x14ac:dyDescent="0.2">
      <c r="B14" s="101"/>
      <c r="D14" s="22"/>
      <c r="E14" s="22"/>
      <c r="F14" s="22"/>
      <c r="G14" s="22"/>
      <c r="H14" s="22"/>
      <c r="I14" s="22"/>
      <c r="J14" s="22"/>
      <c r="K14" s="22"/>
      <c r="L14" s="22"/>
      <c r="M14" s="22"/>
      <c r="N14" s="97"/>
    </row>
    <row r="15" spans="2:17" x14ac:dyDescent="0.2">
      <c r="B15" s="101"/>
      <c r="C15" s="29" t="s">
        <v>283</v>
      </c>
      <c r="D15" s="22"/>
      <c r="E15" s="22"/>
      <c r="F15" s="22"/>
      <c r="G15" s="22"/>
      <c r="H15" s="22"/>
      <c r="I15" s="22"/>
      <c r="J15" s="22"/>
      <c r="K15" s="22"/>
      <c r="L15" s="22"/>
      <c r="M15" s="22"/>
      <c r="N15" s="97"/>
    </row>
    <row r="16" spans="2:17" x14ac:dyDescent="0.2">
      <c r="B16" s="101"/>
      <c r="C16" s="22" t="s">
        <v>293</v>
      </c>
      <c r="D16" s="22"/>
      <c r="E16" s="22"/>
      <c r="F16" s="22"/>
      <c r="G16" s="22"/>
      <c r="H16" s="22"/>
      <c r="I16" s="22"/>
      <c r="J16" s="22"/>
      <c r="K16" s="22"/>
      <c r="L16" s="22"/>
      <c r="M16" s="22"/>
      <c r="N16" s="97"/>
    </row>
    <row r="17" spans="1:23" x14ac:dyDescent="0.2">
      <c r="B17" s="101"/>
      <c r="C17" s="22"/>
      <c r="D17" s="22"/>
      <c r="E17" s="22"/>
      <c r="F17" s="22"/>
      <c r="G17" s="22"/>
      <c r="H17" s="22"/>
      <c r="I17" s="22"/>
      <c r="J17" s="22"/>
      <c r="K17" s="22"/>
      <c r="L17" s="22"/>
      <c r="M17" s="22"/>
      <c r="N17" s="97"/>
    </row>
    <row r="18" spans="1:23" x14ac:dyDescent="0.2">
      <c r="B18" s="101"/>
      <c r="C18" s="22" t="s">
        <v>380</v>
      </c>
      <c r="D18" s="22"/>
      <c r="E18" s="22"/>
      <c r="F18" s="22"/>
      <c r="G18" s="22"/>
      <c r="H18" s="22"/>
      <c r="I18" s="22"/>
      <c r="J18" s="22"/>
      <c r="K18" s="22"/>
      <c r="L18" s="22"/>
      <c r="M18" s="22"/>
      <c r="N18" s="97"/>
    </row>
    <row r="19" spans="1:23" x14ac:dyDescent="0.2">
      <c r="B19" s="101"/>
      <c r="C19" s="22" t="s">
        <v>381</v>
      </c>
      <c r="D19" s="22"/>
      <c r="E19" s="22"/>
      <c r="F19" s="22"/>
      <c r="G19" s="22"/>
      <c r="H19" s="22"/>
      <c r="I19" s="22"/>
      <c r="J19" s="22"/>
      <c r="K19" s="22"/>
      <c r="L19" s="22"/>
      <c r="M19" s="22"/>
      <c r="N19" s="97"/>
    </row>
    <row r="20" spans="1:23" x14ac:dyDescent="0.2">
      <c r="B20" s="101"/>
      <c r="C20" s="22" t="s">
        <v>301</v>
      </c>
      <c r="D20" s="22"/>
      <c r="E20" s="22"/>
      <c r="F20" s="22"/>
      <c r="G20" s="22"/>
      <c r="H20" s="22"/>
      <c r="I20" s="22"/>
      <c r="J20" s="22"/>
      <c r="K20" s="22"/>
      <c r="L20" s="22"/>
      <c r="M20" s="22"/>
      <c r="N20" s="97"/>
    </row>
    <row r="21" spans="1:23" x14ac:dyDescent="0.2">
      <c r="B21" s="101"/>
      <c r="D21" s="22"/>
      <c r="E21" s="22"/>
      <c r="F21" s="22"/>
      <c r="G21" s="22"/>
      <c r="H21" s="22"/>
      <c r="I21" s="22"/>
      <c r="J21" s="22"/>
      <c r="K21" s="22"/>
      <c r="L21" s="22"/>
      <c r="M21" s="22"/>
      <c r="N21" s="97"/>
    </row>
    <row r="22" spans="1:23" x14ac:dyDescent="0.2">
      <c r="B22" s="101"/>
      <c r="C22" s="22" t="s">
        <v>136</v>
      </c>
      <c r="D22" s="22"/>
      <c r="E22" s="22"/>
      <c r="F22" s="22"/>
      <c r="G22" s="22"/>
      <c r="H22" s="22"/>
      <c r="I22" s="22"/>
      <c r="J22" s="22"/>
      <c r="K22" s="22"/>
      <c r="L22" s="22"/>
      <c r="M22" s="22"/>
      <c r="N22" s="97"/>
      <c r="P22" s="22"/>
      <c r="Q22" s="84"/>
      <c r="R22" s="22"/>
      <c r="S22" s="22"/>
      <c r="T22" s="22"/>
      <c r="U22" s="22"/>
      <c r="V22" s="22"/>
      <c r="W22" s="22"/>
    </row>
    <row r="23" spans="1:23" x14ac:dyDescent="0.2">
      <c r="B23" s="101"/>
      <c r="C23" s="22" t="s">
        <v>302</v>
      </c>
      <c r="D23" s="22"/>
      <c r="E23" s="22"/>
      <c r="F23" s="22"/>
      <c r="G23" s="22"/>
      <c r="H23" s="22"/>
      <c r="I23" s="22"/>
      <c r="J23" s="22"/>
      <c r="K23" s="22"/>
      <c r="L23" s="22"/>
      <c r="M23" s="22"/>
      <c r="N23" s="97"/>
      <c r="P23" s="22"/>
      <c r="Q23" s="84"/>
      <c r="R23" s="22"/>
      <c r="S23" s="22"/>
      <c r="T23" s="22"/>
      <c r="U23" s="22"/>
      <c r="V23" s="22"/>
      <c r="W23" s="22"/>
    </row>
    <row r="24" spans="1:23" x14ac:dyDescent="0.2">
      <c r="B24" s="101"/>
      <c r="C24" s="22" t="s">
        <v>375</v>
      </c>
      <c r="D24" s="22"/>
      <c r="E24" s="22"/>
      <c r="F24" s="22"/>
      <c r="G24" s="22"/>
      <c r="H24" s="22"/>
      <c r="I24" s="22"/>
      <c r="J24" s="22"/>
      <c r="K24" s="22"/>
      <c r="L24" s="22"/>
      <c r="M24" s="22"/>
      <c r="N24" s="97"/>
      <c r="P24" s="22"/>
      <c r="Q24" s="84"/>
      <c r="R24" s="22"/>
      <c r="S24" s="22"/>
      <c r="T24" s="22"/>
      <c r="U24" s="22"/>
      <c r="V24" s="22"/>
      <c r="W24" s="22"/>
    </row>
    <row r="25" spans="1:23" x14ac:dyDescent="0.2">
      <c r="B25" s="101"/>
      <c r="C25" s="22" t="s">
        <v>93</v>
      </c>
      <c r="D25" s="22"/>
      <c r="E25" s="22"/>
      <c r="F25" s="22"/>
      <c r="G25" s="22"/>
      <c r="H25" s="22"/>
      <c r="I25" s="22"/>
      <c r="J25" s="22"/>
      <c r="K25" s="22"/>
      <c r="L25" s="22"/>
      <c r="M25" s="22"/>
      <c r="N25" s="97"/>
      <c r="P25" s="22"/>
      <c r="Q25" s="84"/>
      <c r="R25" s="22"/>
      <c r="S25" s="22"/>
      <c r="T25" s="22"/>
      <c r="U25" s="22"/>
      <c r="V25" s="22"/>
      <c r="W25" s="22"/>
    </row>
    <row r="26" spans="1:23" x14ac:dyDescent="0.2">
      <c r="B26" s="101"/>
      <c r="C26" s="22" t="s">
        <v>163</v>
      </c>
      <c r="D26" s="22"/>
      <c r="E26" s="22"/>
      <c r="F26" s="22"/>
      <c r="G26" s="22"/>
      <c r="H26" s="22"/>
      <c r="I26" s="22"/>
      <c r="J26" s="22"/>
      <c r="K26" s="22"/>
      <c r="L26" s="22"/>
      <c r="M26" s="22"/>
      <c r="N26" s="97"/>
      <c r="P26" s="22"/>
      <c r="Q26" s="84"/>
      <c r="R26" s="22"/>
      <c r="S26" s="22"/>
      <c r="T26" s="22"/>
      <c r="U26" s="22"/>
      <c r="V26" s="22"/>
      <c r="W26" s="22"/>
    </row>
    <row r="27" spans="1:23" x14ac:dyDescent="0.2">
      <c r="B27" s="101"/>
      <c r="D27" s="22"/>
      <c r="E27" s="22"/>
      <c r="F27" s="22"/>
      <c r="G27" s="22"/>
      <c r="H27" s="22"/>
      <c r="I27" s="22"/>
      <c r="J27" s="22"/>
      <c r="K27" s="22"/>
      <c r="L27" s="22"/>
      <c r="M27" s="22"/>
      <c r="N27" s="97"/>
      <c r="P27" s="22"/>
      <c r="Q27" s="84"/>
      <c r="R27" s="22"/>
      <c r="S27" s="22"/>
      <c r="T27" s="22"/>
      <c r="U27" s="22"/>
      <c r="V27" s="22"/>
      <c r="W27" s="22"/>
    </row>
    <row r="28" spans="1:23" x14ac:dyDescent="0.2">
      <c r="B28" s="101"/>
      <c r="C28" s="29" t="s">
        <v>130</v>
      </c>
      <c r="D28" s="22"/>
      <c r="E28" s="22"/>
      <c r="F28" s="22"/>
      <c r="G28" s="22"/>
      <c r="H28" s="86"/>
      <c r="I28" s="86"/>
      <c r="J28" s="86"/>
      <c r="K28" s="22"/>
      <c r="L28" s="22"/>
      <c r="M28" s="22"/>
      <c r="N28" s="97"/>
    </row>
    <row r="29" spans="1:23" x14ac:dyDescent="0.2">
      <c r="B29" s="101"/>
      <c r="C29" s="90" t="s">
        <v>305</v>
      </c>
      <c r="D29" s="87"/>
      <c r="E29" s="87"/>
      <c r="F29" s="87"/>
      <c r="G29" s="87"/>
      <c r="H29" s="88"/>
      <c r="I29" s="88"/>
      <c r="J29" s="88"/>
      <c r="K29" s="87"/>
      <c r="L29" s="89"/>
      <c r="M29" s="89"/>
      <c r="N29" s="97"/>
    </row>
    <row r="30" spans="1:23" x14ac:dyDescent="0.2">
      <c r="B30" s="101"/>
      <c r="C30" s="90" t="s">
        <v>190</v>
      </c>
      <c r="D30" s="87"/>
      <c r="E30" s="87"/>
      <c r="F30" s="87"/>
      <c r="G30" s="87"/>
      <c r="H30" s="88"/>
      <c r="I30" s="88"/>
      <c r="J30" s="88"/>
      <c r="K30" s="87"/>
      <c r="L30" s="89"/>
      <c r="M30" s="89"/>
      <c r="N30" s="97"/>
    </row>
    <row r="31" spans="1:23" x14ac:dyDescent="0.2">
      <c r="B31" s="101"/>
      <c r="C31" s="90" t="s">
        <v>142</v>
      </c>
      <c r="D31" s="87"/>
      <c r="E31" s="87"/>
      <c r="F31" s="87"/>
      <c r="G31" s="87"/>
      <c r="H31" s="88"/>
      <c r="I31" s="88"/>
      <c r="J31" s="88"/>
      <c r="K31" s="87"/>
      <c r="L31" s="89"/>
      <c r="M31" s="89"/>
      <c r="N31" s="97"/>
    </row>
    <row r="32" spans="1:23" x14ac:dyDescent="0.2">
      <c r="A32" s="79"/>
      <c r="B32" s="101"/>
      <c r="C32" s="90" t="s">
        <v>306</v>
      </c>
      <c r="D32" s="87"/>
      <c r="E32" s="87"/>
      <c r="F32" s="87"/>
      <c r="G32" s="87"/>
      <c r="H32" s="88"/>
      <c r="I32" s="88"/>
      <c r="J32" s="88"/>
      <c r="K32" s="87"/>
      <c r="L32" s="89"/>
      <c r="M32" s="89"/>
      <c r="N32" s="97"/>
    </row>
    <row r="33" spans="2:30" x14ac:dyDescent="0.2">
      <c r="B33" s="101"/>
      <c r="C33" s="90" t="s">
        <v>91</v>
      </c>
      <c r="D33" s="87"/>
      <c r="E33" s="87"/>
      <c r="F33" s="87"/>
      <c r="G33" s="87"/>
      <c r="H33" s="88"/>
      <c r="I33" s="88"/>
      <c r="J33" s="88"/>
      <c r="K33" s="87"/>
      <c r="L33" s="89"/>
      <c r="M33" s="89"/>
      <c r="N33" s="97"/>
    </row>
    <row r="34" spans="2:30" x14ac:dyDescent="0.2">
      <c r="B34" s="101"/>
      <c r="C34" s="90" t="s">
        <v>92</v>
      </c>
      <c r="D34" s="87"/>
      <c r="E34" s="87"/>
      <c r="F34" s="87"/>
      <c r="G34" s="87"/>
      <c r="H34" s="88"/>
      <c r="I34" s="88"/>
      <c r="J34" s="88"/>
      <c r="K34" s="87"/>
      <c r="L34" s="89"/>
      <c r="M34" s="89"/>
      <c r="N34" s="97"/>
    </row>
    <row r="35" spans="2:30" x14ac:dyDescent="0.2">
      <c r="B35" s="101"/>
      <c r="C35" s="23"/>
      <c r="D35" s="22"/>
      <c r="E35" s="22"/>
      <c r="F35" s="22"/>
      <c r="G35" s="22"/>
      <c r="H35" s="86"/>
      <c r="I35" s="86"/>
      <c r="J35" s="86"/>
      <c r="K35" s="22"/>
      <c r="L35" s="22"/>
      <c r="M35" s="22"/>
      <c r="N35" s="97"/>
    </row>
    <row r="36" spans="2:30" x14ac:dyDescent="0.2">
      <c r="B36" s="101"/>
      <c r="C36" s="22" t="s">
        <v>132</v>
      </c>
      <c r="D36" s="22"/>
      <c r="E36" s="22"/>
      <c r="F36" s="22"/>
      <c r="G36" s="22"/>
      <c r="H36" s="86"/>
      <c r="I36" s="86"/>
      <c r="J36" s="86"/>
      <c r="K36" s="22"/>
      <c r="L36" s="22"/>
      <c r="M36" s="22"/>
      <c r="N36" s="97"/>
      <c r="P36" s="22"/>
    </row>
    <row r="37" spans="2:30" x14ac:dyDescent="0.2">
      <c r="B37" s="101"/>
      <c r="C37" s="22" t="s">
        <v>294</v>
      </c>
      <c r="D37" s="22"/>
      <c r="E37" s="22"/>
      <c r="F37" s="22"/>
      <c r="G37" s="22"/>
      <c r="H37" s="86"/>
      <c r="I37" s="86"/>
      <c r="J37" s="86"/>
      <c r="K37" s="22"/>
      <c r="L37" s="22"/>
      <c r="M37" s="22"/>
      <c r="N37" s="97"/>
      <c r="P37" s="22"/>
    </row>
    <row r="38" spans="2:30" x14ac:dyDescent="0.2">
      <c r="B38" s="101"/>
      <c r="C38" s="22" t="s">
        <v>295</v>
      </c>
      <c r="D38" s="22"/>
      <c r="E38" s="22"/>
      <c r="F38" s="22"/>
      <c r="G38" s="22"/>
      <c r="H38" s="86"/>
      <c r="I38" s="86"/>
      <c r="J38" s="86"/>
      <c r="K38" s="22"/>
      <c r="L38" s="22"/>
      <c r="M38" s="22"/>
      <c r="N38" s="97"/>
      <c r="P38" s="22"/>
    </row>
    <row r="39" spans="2:30" x14ac:dyDescent="0.2">
      <c r="B39" s="101"/>
      <c r="C39" s="22" t="s">
        <v>303</v>
      </c>
      <c r="D39" s="22"/>
      <c r="E39" s="22"/>
      <c r="F39" s="22"/>
      <c r="G39" s="22"/>
      <c r="H39" s="86"/>
      <c r="I39" s="86"/>
      <c r="J39" s="86"/>
      <c r="K39" s="22"/>
      <c r="L39" s="22"/>
      <c r="M39" s="22"/>
      <c r="N39" s="97"/>
      <c r="P39" s="22"/>
    </row>
    <row r="40" spans="2:30" x14ac:dyDescent="0.2">
      <c r="B40" s="101"/>
      <c r="C40" s="22" t="s">
        <v>296</v>
      </c>
      <c r="D40" s="22"/>
      <c r="E40" s="22"/>
      <c r="F40" s="22"/>
      <c r="G40" s="22"/>
      <c r="H40" s="86"/>
      <c r="I40" s="86"/>
      <c r="J40" s="86"/>
      <c r="K40" s="22"/>
      <c r="L40" s="22"/>
      <c r="M40" s="22"/>
      <c r="N40" s="97"/>
      <c r="P40" s="22"/>
    </row>
    <row r="41" spans="2:30" x14ac:dyDescent="0.2">
      <c r="B41" s="101"/>
      <c r="C41" s="22" t="s">
        <v>85</v>
      </c>
      <c r="D41" s="22"/>
      <c r="E41" s="22"/>
      <c r="F41" s="22"/>
      <c r="G41" s="22"/>
      <c r="H41" s="86"/>
      <c r="I41" s="86"/>
      <c r="J41" s="86"/>
      <c r="K41" s="22"/>
      <c r="L41" s="22"/>
      <c r="M41" s="22"/>
      <c r="N41" s="97"/>
      <c r="P41" s="22"/>
    </row>
    <row r="42" spans="2:30" x14ac:dyDescent="0.2">
      <c r="B42" s="101"/>
      <c r="C42" s="22" t="s">
        <v>133</v>
      </c>
      <c r="D42" s="22"/>
      <c r="E42" s="22"/>
      <c r="F42" s="22"/>
      <c r="G42" s="22"/>
      <c r="H42" s="86"/>
      <c r="I42" s="86"/>
      <c r="J42" s="86"/>
      <c r="K42" s="22"/>
      <c r="L42" s="22"/>
      <c r="M42" s="22"/>
      <c r="N42" s="97"/>
      <c r="P42" s="22"/>
    </row>
    <row r="43" spans="2:30" x14ac:dyDescent="0.2">
      <c r="B43" s="101"/>
      <c r="C43" s="22"/>
      <c r="D43" s="22"/>
      <c r="E43" s="22"/>
      <c r="F43" s="22"/>
      <c r="G43" s="22"/>
      <c r="H43" s="86"/>
      <c r="I43" s="86"/>
      <c r="J43" s="86"/>
      <c r="K43" s="22"/>
      <c r="L43" s="22"/>
      <c r="M43" s="22"/>
      <c r="N43" s="97"/>
      <c r="P43" s="22"/>
    </row>
    <row r="44" spans="2:30" x14ac:dyDescent="0.2">
      <c r="B44" s="101"/>
      <c r="C44" s="22" t="s">
        <v>38</v>
      </c>
      <c r="D44" s="22"/>
      <c r="E44" s="22"/>
      <c r="F44" s="22"/>
      <c r="G44" s="22"/>
      <c r="H44" s="86"/>
      <c r="I44" s="86"/>
      <c r="J44" s="86"/>
      <c r="K44" s="22"/>
      <c r="L44" s="22"/>
      <c r="M44" s="22"/>
      <c r="N44" s="97"/>
      <c r="P44" s="29"/>
    </row>
    <row r="45" spans="2:30" x14ac:dyDescent="0.2">
      <c r="B45" s="101"/>
      <c r="C45" s="22" t="s">
        <v>134</v>
      </c>
      <c r="D45" s="22"/>
      <c r="E45" s="22"/>
      <c r="F45" s="22"/>
      <c r="G45" s="22"/>
      <c r="H45" s="86"/>
      <c r="I45" s="86"/>
      <c r="J45" s="86"/>
      <c r="K45" s="22"/>
      <c r="L45" s="22"/>
      <c r="M45" s="22"/>
      <c r="N45" s="97"/>
      <c r="P45" s="22"/>
    </row>
    <row r="46" spans="2:30" x14ac:dyDescent="0.2">
      <c r="B46" s="101"/>
      <c r="C46" s="22" t="s">
        <v>90</v>
      </c>
      <c r="D46" s="22"/>
      <c r="E46" s="22"/>
      <c r="F46" s="22"/>
      <c r="G46" s="22"/>
      <c r="H46" s="86"/>
      <c r="I46" s="86"/>
      <c r="J46" s="86"/>
      <c r="K46" s="22"/>
      <c r="L46" s="22"/>
      <c r="M46" s="22"/>
      <c r="N46" s="97"/>
      <c r="P46" s="22"/>
    </row>
    <row r="47" spans="2:30" x14ac:dyDescent="0.2">
      <c r="B47" s="101"/>
      <c r="C47" s="22" t="s">
        <v>166</v>
      </c>
      <c r="D47" s="22"/>
      <c r="E47" s="22"/>
      <c r="F47" s="22"/>
      <c r="G47" s="22"/>
      <c r="H47" s="86"/>
      <c r="I47" s="86"/>
      <c r="J47" s="86"/>
      <c r="K47" s="22"/>
      <c r="L47" s="22"/>
      <c r="M47" s="22"/>
      <c r="N47" s="97"/>
      <c r="P47" s="22"/>
    </row>
    <row r="48" spans="2:30" x14ac:dyDescent="0.2">
      <c r="B48" s="101"/>
      <c r="C48" s="22"/>
      <c r="D48" s="22"/>
      <c r="E48" s="22"/>
      <c r="F48" s="22"/>
      <c r="G48" s="22"/>
      <c r="H48" s="86"/>
      <c r="I48" s="86"/>
      <c r="J48" s="86"/>
      <c r="K48" s="22"/>
      <c r="L48" s="22"/>
      <c r="M48" s="22"/>
      <c r="N48" s="97"/>
      <c r="T48" s="22"/>
      <c r="U48" s="22"/>
      <c r="V48" s="22"/>
      <c r="W48" s="22"/>
      <c r="X48" s="86"/>
      <c r="Y48" s="86"/>
      <c r="Z48" s="86"/>
      <c r="AA48" s="22"/>
      <c r="AB48" s="22"/>
      <c r="AC48" s="22"/>
      <c r="AD48" s="97"/>
    </row>
    <row r="49" spans="2:30" x14ac:dyDescent="0.2">
      <c r="B49" s="101"/>
      <c r="C49" s="103" t="s">
        <v>285</v>
      </c>
      <c r="D49" s="22"/>
      <c r="E49" s="22"/>
      <c r="F49" s="22"/>
      <c r="G49" s="22"/>
      <c r="H49" s="86"/>
      <c r="I49" s="86"/>
      <c r="J49" s="86"/>
      <c r="K49" s="22"/>
      <c r="L49" s="22"/>
      <c r="M49" s="22"/>
      <c r="N49" s="97"/>
      <c r="T49" s="22"/>
      <c r="U49" s="22"/>
      <c r="V49" s="22"/>
      <c r="W49" s="22"/>
      <c r="X49" s="86"/>
      <c r="Y49" s="86"/>
      <c r="Z49" s="86"/>
      <c r="AA49" s="22"/>
      <c r="AB49" s="22"/>
      <c r="AC49" s="22"/>
      <c r="AD49" s="97"/>
    </row>
    <row r="50" spans="2:30" x14ac:dyDescent="0.2">
      <c r="B50" s="101"/>
      <c r="C50" s="22" t="s">
        <v>382</v>
      </c>
      <c r="D50" s="22"/>
      <c r="E50" s="22"/>
      <c r="F50" s="22"/>
      <c r="G50" s="22"/>
      <c r="H50" s="86"/>
      <c r="I50" s="86"/>
      <c r="J50" s="86"/>
      <c r="K50" s="22"/>
      <c r="L50" s="22"/>
      <c r="M50" s="22"/>
      <c r="N50" s="97"/>
      <c r="T50" s="22"/>
      <c r="U50" s="22"/>
      <c r="V50" s="22"/>
      <c r="W50" s="22"/>
      <c r="X50" s="86"/>
      <c r="Y50" s="86"/>
      <c r="Z50" s="86"/>
      <c r="AA50" s="22"/>
      <c r="AB50" s="22"/>
      <c r="AC50" s="22"/>
      <c r="AD50" s="97"/>
    </row>
    <row r="51" spans="2:30" x14ac:dyDescent="0.2">
      <c r="B51" s="101"/>
      <c r="C51" s="22" t="s">
        <v>383</v>
      </c>
      <c r="D51" s="22"/>
      <c r="E51" s="22"/>
      <c r="F51" s="22"/>
      <c r="G51" s="22"/>
      <c r="H51" s="86"/>
      <c r="I51" s="86"/>
      <c r="J51" s="86"/>
      <c r="K51" s="22"/>
      <c r="L51" s="22"/>
      <c r="M51" s="22"/>
      <c r="N51" s="97"/>
      <c r="T51" s="22"/>
      <c r="U51" s="22"/>
      <c r="V51" s="22"/>
      <c r="W51" s="22"/>
      <c r="X51" s="86"/>
      <c r="Y51" s="86"/>
      <c r="Z51" s="86"/>
      <c r="AA51" s="22"/>
      <c r="AB51" s="22"/>
      <c r="AC51" s="22"/>
      <c r="AD51" s="97"/>
    </row>
    <row r="52" spans="2:30" x14ac:dyDescent="0.2">
      <c r="B52" s="101"/>
      <c r="D52" s="22"/>
      <c r="E52" s="22"/>
      <c r="F52" s="22"/>
      <c r="G52" s="22"/>
      <c r="H52" s="86"/>
      <c r="I52" s="86"/>
      <c r="J52" s="86"/>
      <c r="K52" s="22"/>
      <c r="L52" s="22"/>
      <c r="M52" s="22"/>
      <c r="N52" s="97"/>
      <c r="T52" s="22"/>
      <c r="U52" s="22"/>
      <c r="V52" s="22"/>
      <c r="W52" s="22"/>
      <c r="X52" s="86"/>
      <c r="Y52" s="86"/>
      <c r="Z52" s="86"/>
      <c r="AA52" s="22"/>
      <c r="AB52" s="22"/>
      <c r="AC52" s="22"/>
      <c r="AD52" s="97"/>
    </row>
    <row r="53" spans="2:30" x14ac:dyDescent="0.2">
      <c r="B53" s="101"/>
      <c r="C53" s="83" t="s">
        <v>144</v>
      </c>
      <c r="D53" s="22"/>
      <c r="E53" s="22"/>
      <c r="F53" s="22"/>
      <c r="G53" s="22"/>
      <c r="H53" s="86"/>
      <c r="I53" s="86"/>
      <c r="J53" s="86"/>
      <c r="K53" s="22"/>
      <c r="L53" s="22"/>
      <c r="M53" s="22"/>
      <c r="N53" s="97"/>
      <c r="T53" s="22"/>
      <c r="U53" s="22"/>
      <c r="V53" s="22"/>
      <c r="W53" s="22"/>
      <c r="X53" s="86"/>
      <c r="Y53" s="86"/>
      <c r="Z53" s="86"/>
      <c r="AA53" s="22"/>
      <c r="AB53" s="22"/>
      <c r="AC53" s="22"/>
      <c r="AD53" s="97"/>
    </row>
    <row r="54" spans="2:30" x14ac:dyDescent="0.2">
      <c r="B54" s="101"/>
      <c r="C54" s="104" t="s">
        <v>286</v>
      </c>
      <c r="D54" s="22"/>
      <c r="E54" s="22"/>
      <c r="F54" s="22"/>
      <c r="G54" s="22"/>
      <c r="H54" s="86"/>
      <c r="I54" s="86"/>
      <c r="J54" s="86"/>
      <c r="K54" s="22"/>
      <c r="L54" s="22"/>
      <c r="M54" s="22"/>
      <c r="N54" s="97"/>
      <c r="T54" s="22"/>
      <c r="U54" s="22"/>
      <c r="V54" s="22"/>
      <c r="W54" s="22"/>
      <c r="X54" s="86"/>
      <c r="Y54" s="86"/>
      <c r="Z54" s="86"/>
      <c r="AA54" s="22"/>
      <c r="AB54" s="22"/>
      <c r="AC54" s="22"/>
      <c r="AD54" s="97"/>
    </row>
    <row r="55" spans="2:30" x14ac:dyDescent="0.2">
      <c r="B55" s="101"/>
      <c r="C55" s="22" t="s">
        <v>146</v>
      </c>
      <c r="D55" s="22"/>
      <c r="E55" s="22"/>
      <c r="F55" s="22"/>
      <c r="G55" s="22"/>
      <c r="H55" s="86"/>
      <c r="I55" s="86"/>
      <c r="J55" s="86"/>
      <c r="K55" s="22"/>
      <c r="L55" s="22"/>
      <c r="M55" s="22"/>
      <c r="N55" s="97"/>
      <c r="T55" s="22"/>
      <c r="U55" s="22"/>
      <c r="V55" s="22"/>
      <c r="W55" s="22"/>
      <c r="X55" s="86"/>
      <c r="Y55" s="86"/>
      <c r="Z55" s="86"/>
      <c r="AA55" s="22"/>
      <c r="AB55" s="22"/>
      <c r="AC55" s="22"/>
      <c r="AD55" s="97"/>
    </row>
    <row r="56" spans="2:30" x14ac:dyDescent="0.2">
      <c r="B56" s="101"/>
      <c r="C56" s="22" t="s">
        <v>287</v>
      </c>
      <c r="D56" s="22"/>
      <c r="E56" s="22"/>
      <c r="F56" s="22"/>
      <c r="G56" s="22"/>
      <c r="H56" s="86"/>
      <c r="I56" s="86"/>
      <c r="J56" s="86"/>
      <c r="K56" s="22"/>
      <c r="L56" s="22"/>
      <c r="M56" s="22"/>
      <c r="N56" s="97"/>
      <c r="T56" s="22"/>
      <c r="U56" s="22"/>
      <c r="V56" s="22"/>
      <c r="W56" s="22"/>
      <c r="X56" s="86"/>
      <c r="Y56" s="86"/>
      <c r="Z56" s="86"/>
      <c r="AA56" s="22"/>
      <c r="AB56" s="22"/>
      <c r="AC56" s="22"/>
      <c r="AD56" s="97"/>
    </row>
    <row r="57" spans="2:30" x14ac:dyDescent="0.2">
      <c r="B57" s="101"/>
      <c r="C57" s="104" t="s">
        <v>376</v>
      </c>
      <c r="D57" s="22"/>
      <c r="E57" s="22"/>
      <c r="F57" s="22"/>
      <c r="G57" s="22"/>
      <c r="H57" s="86"/>
      <c r="I57" s="86"/>
      <c r="J57" s="86"/>
      <c r="K57" s="22"/>
      <c r="L57" s="22"/>
      <c r="M57" s="22"/>
      <c r="N57" s="97"/>
      <c r="T57" s="22"/>
      <c r="U57" s="22"/>
      <c r="V57" s="22"/>
      <c r="W57" s="22"/>
      <c r="X57" s="86"/>
      <c r="Y57" s="86"/>
      <c r="Z57" s="86"/>
      <c r="AA57" s="22"/>
      <c r="AB57" s="22"/>
      <c r="AC57" s="22"/>
      <c r="AD57" s="97"/>
    </row>
    <row r="58" spans="2:30" x14ac:dyDescent="0.2">
      <c r="B58" s="101"/>
      <c r="C58" s="22" t="s">
        <v>145</v>
      </c>
      <c r="D58" s="22"/>
      <c r="E58" s="22"/>
      <c r="F58" s="22"/>
      <c r="G58" s="22"/>
      <c r="H58" s="86"/>
      <c r="I58" s="86"/>
      <c r="J58" s="86"/>
      <c r="K58" s="22"/>
      <c r="L58" s="22"/>
      <c r="M58" s="22"/>
      <c r="N58" s="97"/>
      <c r="R58" s="226"/>
      <c r="T58" s="22"/>
      <c r="U58" s="22"/>
      <c r="V58" s="22"/>
      <c r="W58" s="22"/>
      <c r="X58" s="86"/>
      <c r="Y58" s="86"/>
      <c r="Z58" s="86"/>
      <c r="AA58" s="22"/>
      <c r="AB58" s="22"/>
      <c r="AC58" s="22"/>
      <c r="AD58" s="97"/>
    </row>
    <row r="59" spans="2:30" x14ac:dyDescent="0.2">
      <c r="B59" s="101"/>
      <c r="C59" s="22" t="s">
        <v>131</v>
      </c>
      <c r="D59" s="22"/>
      <c r="E59" s="22"/>
      <c r="F59" s="22"/>
      <c r="G59" s="22"/>
      <c r="H59" s="86"/>
      <c r="I59" s="86"/>
      <c r="J59" s="86"/>
      <c r="K59" s="22"/>
      <c r="L59" s="22"/>
      <c r="M59" s="22"/>
      <c r="N59" s="97"/>
      <c r="R59" s="227"/>
      <c r="T59" s="22"/>
      <c r="U59" s="22"/>
      <c r="V59" s="22"/>
      <c r="W59" s="22"/>
      <c r="X59" s="86"/>
      <c r="Y59" s="86"/>
      <c r="Z59" s="86"/>
      <c r="AA59" s="22"/>
      <c r="AB59" s="22"/>
      <c r="AC59" s="22"/>
      <c r="AD59" s="97"/>
    </row>
    <row r="60" spans="2:30" ht="14.25" x14ac:dyDescent="0.2">
      <c r="B60" s="101"/>
      <c r="C60" s="22" t="s">
        <v>140</v>
      </c>
      <c r="D60" s="22"/>
      <c r="E60" s="22"/>
      <c r="F60" s="22"/>
      <c r="G60" s="22"/>
      <c r="H60" s="86"/>
      <c r="I60" s="86"/>
      <c r="J60" s="86"/>
      <c r="K60" s="22"/>
      <c r="L60" s="22"/>
      <c r="M60" s="22"/>
      <c r="N60" s="97"/>
      <c r="R60" s="228"/>
      <c r="T60" s="22"/>
      <c r="U60" s="22"/>
      <c r="V60" s="22"/>
      <c r="W60" s="22"/>
      <c r="X60" s="86"/>
      <c r="Y60" s="86"/>
      <c r="Z60" s="86"/>
      <c r="AA60" s="22"/>
      <c r="AB60" s="22"/>
      <c r="AC60" s="22"/>
      <c r="AD60" s="97"/>
    </row>
    <row r="61" spans="2:30" x14ac:dyDescent="0.2">
      <c r="B61" s="101"/>
      <c r="C61" s="22" t="s">
        <v>284</v>
      </c>
      <c r="D61" s="22"/>
      <c r="E61" s="22"/>
      <c r="F61" s="22"/>
      <c r="G61" s="22"/>
      <c r="H61" s="86"/>
      <c r="I61" s="86"/>
      <c r="J61" s="86"/>
      <c r="K61" s="22"/>
      <c r="L61" s="22"/>
      <c r="M61" s="22"/>
      <c r="N61" s="97"/>
      <c r="R61" s="227"/>
      <c r="T61" s="22"/>
      <c r="U61" s="22"/>
      <c r="V61" s="22"/>
      <c r="W61" s="22"/>
      <c r="X61" s="86"/>
      <c r="Y61" s="86"/>
      <c r="Z61" s="86"/>
      <c r="AA61" s="22"/>
      <c r="AB61" s="22"/>
      <c r="AC61" s="22"/>
      <c r="AD61" s="97"/>
    </row>
    <row r="62" spans="2:30" ht="14.25" x14ac:dyDescent="0.2">
      <c r="B62" s="101"/>
      <c r="C62" s="22"/>
      <c r="D62" s="22"/>
      <c r="E62" s="22"/>
      <c r="F62" s="22"/>
      <c r="G62" s="22"/>
      <c r="H62" s="86"/>
      <c r="I62" s="86"/>
      <c r="J62" s="86"/>
      <c r="K62" s="22"/>
      <c r="L62" s="22"/>
      <c r="M62" s="22"/>
      <c r="N62" s="97"/>
      <c r="R62" s="228"/>
      <c r="T62" s="22"/>
      <c r="U62" s="22"/>
      <c r="V62" s="22"/>
      <c r="W62" s="22"/>
      <c r="X62" s="86"/>
      <c r="Y62" s="86"/>
      <c r="Z62" s="86"/>
      <c r="AA62" s="22"/>
      <c r="AB62" s="22"/>
      <c r="AC62" s="22"/>
      <c r="AD62" s="97"/>
    </row>
    <row r="63" spans="2:30" x14ac:dyDescent="0.2">
      <c r="B63" s="101"/>
      <c r="C63" s="23" t="s">
        <v>288</v>
      </c>
      <c r="D63" s="22"/>
      <c r="E63" s="22"/>
      <c r="F63" s="22"/>
      <c r="G63" s="22"/>
      <c r="H63" s="86"/>
      <c r="I63" s="86"/>
      <c r="J63" s="86"/>
      <c r="K63" s="22"/>
      <c r="L63" s="22"/>
      <c r="M63" s="22"/>
      <c r="N63" s="97"/>
      <c r="T63" s="22"/>
      <c r="U63" s="22"/>
      <c r="V63" s="22"/>
      <c r="W63" s="22"/>
      <c r="X63" s="86"/>
      <c r="Y63" s="86"/>
      <c r="Z63" s="86"/>
      <c r="AA63" s="22"/>
      <c r="AB63" s="22"/>
      <c r="AC63" s="22"/>
      <c r="AD63" s="97"/>
    </row>
    <row r="64" spans="2:30" x14ac:dyDescent="0.2">
      <c r="B64" s="101"/>
      <c r="C64" s="22" t="s">
        <v>271</v>
      </c>
      <c r="D64" s="22"/>
      <c r="E64" s="22"/>
      <c r="F64" s="22"/>
      <c r="G64" s="22"/>
      <c r="H64" s="86"/>
      <c r="I64" s="86"/>
      <c r="J64" s="86"/>
      <c r="K64" s="22"/>
      <c r="L64" s="22"/>
      <c r="M64" s="22"/>
      <c r="N64" s="97"/>
      <c r="T64" s="22"/>
      <c r="U64" s="22"/>
      <c r="V64" s="22"/>
      <c r="W64" s="22"/>
      <c r="X64" s="86"/>
      <c r="Y64" s="86"/>
      <c r="Z64" s="86"/>
      <c r="AA64" s="22"/>
      <c r="AB64" s="22"/>
      <c r="AC64" s="22"/>
      <c r="AD64" s="97"/>
    </row>
    <row r="65" spans="2:31" x14ac:dyDescent="0.2">
      <c r="B65" s="101"/>
      <c r="C65" s="22" t="s">
        <v>270</v>
      </c>
      <c r="D65" s="22"/>
      <c r="E65" s="22"/>
      <c r="F65" s="22"/>
      <c r="G65" s="22"/>
      <c r="H65" s="86"/>
      <c r="I65" s="86"/>
      <c r="J65" s="86"/>
      <c r="K65" s="22"/>
      <c r="L65" s="22"/>
      <c r="M65" s="22"/>
      <c r="N65" s="97"/>
      <c r="T65" s="22"/>
      <c r="U65" s="22"/>
      <c r="V65" s="22"/>
      <c r="W65" s="22"/>
      <c r="X65" s="86"/>
      <c r="Y65" s="86"/>
      <c r="Z65" s="86"/>
      <c r="AA65" s="22"/>
      <c r="AB65" s="22"/>
      <c r="AC65" s="22"/>
      <c r="AD65" s="97"/>
    </row>
    <row r="66" spans="2:31" x14ac:dyDescent="0.2">
      <c r="B66" s="101"/>
      <c r="C66" s="22" t="s">
        <v>154</v>
      </c>
      <c r="E66" s="84">
        <v>2.2000000000000001E-3</v>
      </c>
      <c r="F66" s="22"/>
      <c r="G66" s="22"/>
      <c r="H66" s="86"/>
      <c r="I66" s="86"/>
      <c r="J66" s="86"/>
      <c r="K66" s="22"/>
      <c r="L66" s="22"/>
      <c r="M66" s="22"/>
      <c r="N66" s="97"/>
      <c r="T66" s="22"/>
      <c r="U66" s="22"/>
      <c r="V66" s="22"/>
      <c r="W66" s="22"/>
      <c r="X66" s="86"/>
      <c r="Y66" s="86"/>
      <c r="Z66" s="86"/>
      <c r="AA66" s="22"/>
      <c r="AB66" s="22"/>
      <c r="AC66" s="22"/>
      <c r="AD66" s="97"/>
    </row>
    <row r="67" spans="2:31" x14ac:dyDescent="0.2">
      <c r="B67" s="101"/>
      <c r="C67" s="22" t="s">
        <v>155</v>
      </c>
      <c r="E67" s="84">
        <v>3.85E-2</v>
      </c>
      <c r="F67" s="22" t="s">
        <v>159</v>
      </c>
      <c r="G67" s="22"/>
      <c r="H67" s="86"/>
      <c r="I67" s="86"/>
      <c r="J67" s="86"/>
      <c r="K67" s="22"/>
      <c r="L67" s="22"/>
      <c r="M67" s="22"/>
      <c r="N67" s="97"/>
      <c r="T67" s="22"/>
      <c r="U67" s="22"/>
      <c r="V67" s="22"/>
      <c r="W67" s="22"/>
      <c r="X67" s="86"/>
      <c r="Y67" s="86"/>
      <c r="Z67" s="86"/>
      <c r="AA67" s="22"/>
      <c r="AB67" s="22"/>
      <c r="AC67" s="22"/>
      <c r="AD67" s="97"/>
    </row>
    <row r="68" spans="2:31" x14ac:dyDescent="0.2">
      <c r="B68" s="101"/>
      <c r="C68" s="22" t="s">
        <v>156</v>
      </c>
      <c r="E68" s="84">
        <v>3.2500000000000001E-2</v>
      </c>
      <c r="F68" s="22" t="s">
        <v>160</v>
      </c>
      <c r="G68" s="22"/>
      <c r="H68" s="86"/>
      <c r="I68" s="86"/>
      <c r="J68" s="86"/>
      <c r="K68" s="22"/>
      <c r="L68" s="22"/>
      <c r="M68" s="22"/>
      <c r="N68" s="97"/>
      <c r="T68" s="22"/>
      <c r="U68" s="22"/>
      <c r="V68" s="22"/>
      <c r="W68" s="22"/>
      <c r="X68" s="86"/>
      <c r="Y68" s="86"/>
      <c r="Z68" s="86"/>
      <c r="AA68" s="22"/>
      <c r="AB68" s="22"/>
      <c r="AC68" s="22"/>
      <c r="AD68" s="97"/>
    </row>
    <row r="69" spans="2:31" x14ac:dyDescent="0.2">
      <c r="B69" s="101"/>
      <c r="C69" s="22" t="s">
        <v>157</v>
      </c>
      <c r="E69" s="84">
        <v>8.5000000000000006E-3</v>
      </c>
      <c r="F69" s="22" t="s">
        <v>161</v>
      </c>
      <c r="T69" s="22"/>
      <c r="U69" s="22"/>
      <c r="V69" s="22"/>
      <c r="W69" s="22"/>
      <c r="X69" s="86"/>
      <c r="Y69" s="86"/>
      <c r="Z69" s="86"/>
      <c r="AA69" s="22"/>
      <c r="AB69" s="22"/>
      <c r="AC69" s="22"/>
      <c r="AD69" s="97"/>
      <c r="AE69" s="22"/>
    </row>
    <row r="70" spans="2:31" x14ac:dyDescent="0.2">
      <c r="B70" s="101"/>
      <c r="C70" s="22" t="s">
        <v>158</v>
      </c>
      <c r="E70" s="84">
        <v>5.4999999999999997E-3</v>
      </c>
      <c r="F70" s="22" t="s">
        <v>162</v>
      </c>
    </row>
    <row r="71" spans="2:31" x14ac:dyDescent="0.2">
      <c r="B71" s="101"/>
      <c r="C71" s="22" t="s">
        <v>253</v>
      </c>
    </row>
    <row r="72" spans="2:31" x14ac:dyDescent="0.2">
      <c r="B72" s="101"/>
      <c r="C72" s="83" t="s">
        <v>307</v>
      </c>
    </row>
    <row r="73" spans="2:31" x14ac:dyDescent="0.2">
      <c r="B73" s="101"/>
    </row>
    <row r="74" spans="2:31" x14ac:dyDescent="0.2">
      <c r="B74" s="101"/>
      <c r="C74" s="85" t="s">
        <v>254</v>
      </c>
    </row>
    <row r="75" spans="2:31" x14ac:dyDescent="0.2">
      <c r="B75" s="101"/>
      <c r="D75" s="22"/>
      <c r="E75" s="22"/>
      <c r="F75" s="22"/>
      <c r="G75" s="22"/>
      <c r="H75" s="86"/>
      <c r="I75" s="86"/>
      <c r="J75" s="86"/>
      <c r="K75" s="22"/>
      <c r="L75" s="22"/>
      <c r="M75" s="22"/>
      <c r="N75" s="97"/>
    </row>
    <row r="76" spans="2:31" x14ac:dyDescent="0.2">
      <c r="B76" s="101"/>
      <c r="C76" s="23" t="s">
        <v>42</v>
      </c>
      <c r="D76" s="22"/>
      <c r="E76" s="22"/>
      <c r="F76" s="22"/>
      <c r="G76" s="22"/>
      <c r="H76" s="86"/>
      <c r="I76" s="86"/>
      <c r="J76" s="86"/>
      <c r="K76" s="22"/>
      <c r="L76" s="22"/>
      <c r="M76" s="22"/>
      <c r="N76" s="97"/>
    </row>
    <row r="77" spans="2:31" x14ac:dyDescent="0.2">
      <c r="B77" s="101"/>
      <c r="C77" s="22" t="s">
        <v>377</v>
      </c>
      <c r="D77" s="22"/>
      <c r="E77" s="22"/>
      <c r="F77" s="22"/>
      <c r="G77" s="22"/>
      <c r="H77" s="86"/>
      <c r="I77" s="86"/>
      <c r="J77" s="86"/>
      <c r="K77" s="22"/>
      <c r="L77" s="22"/>
      <c r="M77" s="22"/>
      <c r="N77" s="97"/>
    </row>
    <row r="78" spans="2:31" x14ac:dyDescent="0.2">
      <c r="B78" s="101"/>
      <c r="C78" s="22" t="s">
        <v>272</v>
      </c>
      <c r="D78" s="22"/>
      <c r="E78" s="22"/>
      <c r="F78" s="22"/>
      <c r="G78" s="22"/>
      <c r="H78" s="86"/>
      <c r="I78" s="86"/>
      <c r="J78" s="86"/>
      <c r="K78" s="22"/>
      <c r="L78" s="22"/>
      <c r="M78" s="22"/>
      <c r="N78" s="97"/>
    </row>
    <row r="79" spans="2:31" x14ac:dyDescent="0.2">
      <c r="B79" s="101"/>
      <c r="C79" s="22" t="s">
        <v>384</v>
      </c>
      <c r="D79" s="22"/>
      <c r="E79" s="22"/>
      <c r="F79" s="22"/>
      <c r="G79" s="22"/>
      <c r="H79" s="86"/>
      <c r="I79" s="86"/>
      <c r="J79" s="86"/>
      <c r="K79" s="22"/>
      <c r="L79" s="22"/>
      <c r="M79" s="22"/>
      <c r="N79" s="97"/>
    </row>
    <row r="80" spans="2:31" x14ac:dyDescent="0.2">
      <c r="B80" s="101"/>
      <c r="C80" s="22" t="s">
        <v>385</v>
      </c>
      <c r="D80" s="22"/>
      <c r="E80" s="22"/>
      <c r="F80" s="22"/>
      <c r="G80" s="22"/>
      <c r="H80" s="86"/>
      <c r="I80" s="86"/>
      <c r="J80" s="86"/>
      <c r="K80" s="22"/>
      <c r="L80" s="22"/>
      <c r="M80" s="22"/>
      <c r="N80" s="97"/>
    </row>
    <row r="81" spans="2:14" x14ac:dyDescent="0.2">
      <c r="B81" s="101"/>
      <c r="D81" s="22"/>
      <c r="E81" s="22"/>
      <c r="F81" s="22"/>
      <c r="G81" s="22"/>
      <c r="H81" s="86"/>
      <c r="I81" s="86"/>
      <c r="J81" s="86"/>
      <c r="K81" s="22"/>
      <c r="L81" s="22"/>
      <c r="M81" s="22"/>
      <c r="N81" s="97"/>
    </row>
    <row r="82" spans="2:14" x14ac:dyDescent="0.2">
      <c r="B82" s="101"/>
      <c r="C82" s="23" t="s">
        <v>242</v>
      </c>
      <c r="D82" s="22"/>
      <c r="E82" s="22"/>
      <c r="F82" s="22"/>
      <c r="G82" s="22"/>
      <c r="H82" s="86"/>
      <c r="I82" s="86"/>
      <c r="J82" s="86"/>
      <c r="K82" s="22"/>
      <c r="L82" s="22"/>
      <c r="M82" s="22"/>
      <c r="N82" s="97"/>
    </row>
    <row r="83" spans="2:14" x14ac:dyDescent="0.2">
      <c r="B83" s="101"/>
      <c r="C83" s="22" t="s">
        <v>164</v>
      </c>
      <c r="D83" s="22"/>
      <c r="E83" s="22"/>
      <c r="F83" s="22"/>
      <c r="G83" s="22"/>
      <c r="H83" s="86"/>
      <c r="I83" s="86"/>
      <c r="J83" s="86"/>
      <c r="K83" s="22"/>
      <c r="L83" s="22"/>
      <c r="M83" s="22"/>
      <c r="N83" s="97"/>
    </row>
    <row r="84" spans="2:14" x14ac:dyDescent="0.2">
      <c r="B84" s="101"/>
      <c r="C84" s="22" t="s">
        <v>165</v>
      </c>
      <c r="D84" s="22"/>
      <c r="E84" s="22"/>
      <c r="F84" s="22"/>
      <c r="G84" s="22"/>
      <c r="H84" s="86"/>
      <c r="I84" s="86"/>
      <c r="J84" s="86"/>
      <c r="K84" s="22"/>
      <c r="L84" s="22"/>
      <c r="M84" s="22"/>
      <c r="N84" s="97"/>
    </row>
    <row r="85" spans="2:14" x14ac:dyDescent="0.2">
      <c r="B85" s="101"/>
      <c r="C85" s="22" t="s">
        <v>191</v>
      </c>
      <c r="D85" s="22"/>
      <c r="E85" s="22"/>
      <c r="F85" s="22"/>
      <c r="G85" s="22"/>
      <c r="H85" s="86"/>
      <c r="I85" s="86"/>
      <c r="J85" s="86"/>
      <c r="K85" s="22"/>
      <c r="L85" s="22"/>
      <c r="M85" s="22"/>
      <c r="N85" s="97"/>
    </row>
    <row r="86" spans="2:14" x14ac:dyDescent="0.2">
      <c r="B86" s="101"/>
      <c r="C86" s="22" t="s">
        <v>282</v>
      </c>
      <c r="D86" s="22"/>
      <c r="E86" s="22"/>
      <c r="F86" s="22"/>
      <c r="G86" s="22"/>
      <c r="H86" s="86"/>
      <c r="I86" s="86"/>
      <c r="J86" s="86"/>
      <c r="K86" s="22"/>
      <c r="L86" s="81"/>
      <c r="M86" s="81"/>
      <c r="N86" s="97"/>
    </row>
    <row r="87" spans="2:14" x14ac:dyDescent="0.2">
      <c r="B87" s="101"/>
      <c r="C87" s="22"/>
      <c r="D87" s="22"/>
      <c r="E87" s="22"/>
      <c r="F87" s="22"/>
      <c r="G87" s="22"/>
      <c r="H87" s="86"/>
      <c r="I87" s="86"/>
      <c r="J87" s="86"/>
      <c r="K87" s="22"/>
      <c r="L87" s="81"/>
      <c r="M87" s="81"/>
      <c r="N87" s="97"/>
    </row>
    <row r="88" spans="2:14" x14ac:dyDescent="0.2">
      <c r="B88" s="101"/>
      <c r="C88" s="29" t="s">
        <v>228</v>
      </c>
      <c r="D88" s="22"/>
      <c r="E88" s="22"/>
      <c r="F88" s="22"/>
      <c r="G88" s="22"/>
      <c r="H88" s="86"/>
      <c r="I88" s="86"/>
      <c r="J88" s="86"/>
      <c r="K88" s="22"/>
      <c r="L88" s="81"/>
      <c r="M88" s="81"/>
      <c r="N88" s="97"/>
    </row>
    <row r="89" spans="2:14" x14ac:dyDescent="0.2">
      <c r="B89" s="101"/>
      <c r="C89" s="23" t="s">
        <v>241</v>
      </c>
      <c r="D89" s="22"/>
      <c r="E89" s="22"/>
      <c r="F89" s="22"/>
      <c r="G89" s="22"/>
      <c r="H89" s="86"/>
      <c r="I89" s="86"/>
      <c r="J89" s="86"/>
      <c r="K89" s="22"/>
      <c r="L89" s="81"/>
      <c r="M89" s="81"/>
      <c r="N89" s="97"/>
    </row>
    <row r="90" spans="2:14" x14ac:dyDescent="0.2">
      <c r="B90" s="101"/>
      <c r="C90" s="22" t="s">
        <v>229</v>
      </c>
      <c r="D90" s="22"/>
      <c r="E90" s="22"/>
      <c r="F90" s="22"/>
      <c r="G90" s="22"/>
      <c r="H90" s="86"/>
      <c r="I90" s="86"/>
      <c r="J90" s="86"/>
      <c r="K90" s="22"/>
      <c r="L90" s="81"/>
      <c r="M90" s="81"/>
      <c r="N90" s="97"/>
    </row>
    <row r="91" spans="2:14" x14ac:dyDescent="0.2">
      <c r="B91" s="101"/>
      <c r="C91" s="22" t="s">
        <v>230</v>
      </c>
      <c r="D91" s="22"/>
      <c r="E91" s="22"/>
      <c r="F91" s="22"/>
      <c r="G91" s="22"/>
      <c r="H91" s="86"/>
      <c r="I91" s="86"/>
      <c r="J91" s="86"/>
      <c r="K91" s="22"/>
      <c r="L91" s="81"/>
      <c r="M91" s="81"/>
      <c r="N91" s="97"/>
    </row>
    <row r="92" spans="2:14" x14ac:dyDescent="0.2">
      <c r="B92" s="101"/>
      <c r="C92" s="22" t="s">
        <v>179</v>
      </c>
      <c r="D92" s="22"/>
      <c r="E92" s="22"/>
      <c r="F92" s="22"/>
      <c r="G92" s="22"/>
      <c r="H92" s="86"/>
      <c r="I92" s="86"/>
      <c r="J92" s="86"/>
      <c r="K92" s="22"/>
      <c r="L92" s="81"/>
      <c r="M92" s="81"/>
      <c r="N92" s="97"/>
    </row>
    <row r="93" spans="2:14" x14ac:dyDescent="0.2">
      <c r="B93" s="101"/>
      <c r="C93" s="22" t="s">
        <v>231</v>
      </c>
      <c r="D93" s="22"/>
      <c r="E93" s="22"/>
      <c r="F93" s="22"/>
      <c r="G93" s="22"/>
      <c r="H93" s="86"/>
      <c r="I93" s="86"/>
      <c r="J93" s="86"/>
      <c r="K93" s="22"/>
      <c r="L93" s="81"/>
      <c r="M93" s="81"/>
      <c r="N93" s="97"/>
    </row>
    <row r="94" spans="2:14" x14ac:dyDescent="0.2">
      <c r="B94" s="101"/>
      <c r="C94" s="22" t="s">
        <v>232</v>
      </c>
      <c r="D94" s="22"/>
      <c r="E94" s="22"/>
      <c r="F94" s="22"/>
      <c r="G94" s="22"/>
      <c r="H94" s="86"/>
      <c r="I94" s="86"/>
      <c r="J94" s="86"/>
      <c r="K94" s="22"/>
      <c r="L94" s="81"/>
      <c r="M94" s="81"/>
      <c r="N94" s="97"/>
    </row>
    <row r="95" spans="2:14" x14ac:dyDescent="0.2">
      <c r="B95" s="101"/>
      <c r="C95" s="22" t="s">
        <v>233</v>
      </c>
      <c r="D95" s="22"/>
      <c r="E95" s="22"/>
      <c r="F95" s="22"/>
      <c r="G95" s="22"/>
      <c r="H95" s="86"/>
      <c r="I95" s="86"/>
      <c r="J95" s="86"/>
      <c r="K95" s="22"/>
      <c r="L95" s="81"/>
      <c r="M95" s="81"/>
      <c r="N95" s="97"/>
    </row>
    <row r="96" spans="2:14" x14ac:dyDescent="0.2">
      <c r="B96" s="101"/>
      <c r="C96" s="22" t="s">
        <v>234</v>
      </c>
      <c r="D96" s="22"/>
      <c r="E96" s="22"/>
      <c r="F96" s="22"/>
      <c r="G96" s="22"/>
      <c r="H96" s="86"/>
      <c r="I96" s="86"/>
      <c r="J96" s="86"/>
      <c r="K96" s="22"/>
      <c r="L96" s="81"/>
      <c r="M96" s="81"/>
      <c r="N96" s="97"/>
    </row>
    <row r="97" spans="1:14" x14ac:dyDescent="0.2">
      <c r="B97" s="101"/>
      <c r="C97" s="22" t="s">
        <v>235</v>
      </c>
      <c r="D97" s="22"/>
      <c r="E97" s="22"/>
      <c r="F97" s="22"/>
      <c r="G97" s="22"/>
      <c r="H97" s="86"/>
      <c r="I97" s="86"/>
      <c r="J97" s="86"/>
      <c r="K97" s="22"/>
      <c r="L97" s="81"/>
      <c r="M97" s="81"/>
      <c r="N97" s="97"/>
    </row>
    <row r="98" spans="1:14" x14ac:dyDescent="0.2">
      <c r="B98" s="101"/>
      <c r="C98" s="22" t="s">
        <v>236</v>
      </c>
      <c r="D98" s="22"/>
      <c r="E98" s="22"/>
      <c r="F98" s="22"/>
      <c r="G98" s="22"/>
      <c r="H98" s="86"/>
      <c r="I98" s="86"/>
      <c r="J98" s="86"/>
      <c r="K98" s="22"/>
      <c r="L98" s="81"/>
      <c r="M98" s="81"/>
      <c r="N98" s="97"/>
    </row>
    <row r="99" spans="1:14" x14ac:dyDescent="0.2">
      <c r="B99" s="101"/>
      <c r="C99" s="22" t="s">
        <v>237</v>
      </c>
      <c r="D99" s="22"/>
      <c r="E99" s="22"/>
      <c r="F99" s="22"/>
      <c r="G99" s="22"/>
      <c r="H99" s="86"/>
      <c r="I99" s="86"/>
      <c r="J99" s="86"/>
      <c r="K99" s="22"/>
      <c r="L99" s="81"/>
      <c r="M99" s="81"/>
      <c r="N99" s="97"/>
    </row>
    <row r="100" spans="1:14" x14ac:dyDescent="0.2">
      <c r="B100" s="101"/>
      <c r="C100" s="22" t="s">
        <v>238</v>
      </c>
      <c r="D100" s="22"/>
      <c r="E100" s="22"/>
      <c r="F100" s="22"/>
      <c r="G100" s="22"/>
      <c r="H100" s="86"/>
      <c r="I100" s="86"/>
      <c r="J100" s="86"/>
      <c r="K100" s="22"/>
      <c r="L100" s="81"/>
      <c r="M100" s="81"/>
      <c r="N100" s="97"/>
    </row>
    <row r="101" spans="1:14" x14ac:dyDescent="0.2">
      <c r="B101" s="101"/>
      <c r="C101" s="22" t="s">
        <v>239</v>
      </c>
      <c r="D101" s="22"/>
      <c r="E101" s="22"/>
      <c r="F101" s="22"/>
      <c r="G101" s="22"/>
      <c r="H101" s="86"/>
      <c r="I101" s="86"/>
      <c r="J101" s="86"/>
      <c r="K101" s="22"/>
      <c r="L101" s="81"/>
      <c r="M101" s="81"/>
      <c r="N101" s="97"/>
    </row>
    <row r="102" spans="1:14" x14ac:dyDescent="0.2">
      <c r="B102" s="101"/>
      <c r="C102" s="29" t="s">
        <v>245</v>
      </c>
      <c r="D102" s="22"/>
      <c r="E102" s="22"/>
      <c r="F102" s="22"/>
      <c r="G102" s="22"/>
      <c r="H102" s="86"/>
      <c r="I102" s="86"/>
      <c r="J102" s="86"/>
      <c r="K102" s="22"/>
      <c r="L102" s="81"/>
      <c r="M102" s="81"/>
      <c r="N102" s="97"/>
    </row>
    <row r="103" spans="1:14" x14ac:dyDescent="0.2">
      <c r="B103" s="101"/>
      <c r="C103" s="22" t="s">
        <v>240</v>
      </c>
      <c r="D103" s="22"/>
      <c r="E103" s="22"/>
      <c r="F103" s="22"/>
      <c r="G103" s="22"/>
      <c r="H103" s="86"/>
      <c r="I103" s="86"/>
      <c r="J103" s="86"/>
      <c r="K103" s="22"/>
      <c r="L103" s="81"/>
      <c r="M103" s="81"/>
      <c r="N103" s="97"/>
    </row>
    <row r="104" spans="1:14" x14ac:dyDescent="0.2">
      <c r="B104" s="101"/>
      <c r="C104" s="22"/>
      <c r="D104" s="22"/>
      <c r="E104" s="22"/>
      <c r="F104" s="22"/>
      <c r="G104" s="22"/>
      <c r="H104" s="86"/>
      <c r="I104" s="86"/>
      <c r="J104" s="86"/>
      <c r="K104" s="22"/>
      <c r="L104" s="81"/>
      <c r="M104" s="81"/>
      <c r="N104" s="97"/>
    </row>
    <row r="105" spans="1:14" x14ac:dyDescent="0.2">
      <c r="A105" s="79"/>
      <c r="B105" s="105"/>
      <c r="C105" s="29" t="s">
        <v>23</v>
      </c>
      <c r="D105" s="22"/>
      <c r="E105" s="22"/>
      <c r="F105" s="22"/>
      <c r="G105" s="22"/>
      <c r="H105" s="22"/>
      <c r="I105" s="22"/>
      <c r="J105" s="22"/>
      <c r="K105" s="22"/>
      <c r="L105" s="22"/>
      <c r="M105" s="22"/>
      <c r="N105" s="97"/>
    </row>
    <row r="106" spans="1:14" x14ac:dyDescent="0.2">
      <c r="A106" s="79"/>
      <c r="B106" s="105"/>
      <c r="C106" s="22" t="s">
        <v>387</v>
      </c>
      <c r="D106" s="22"/>
      <c r="E106" s="22"/>
      <c r="F106" s="22"/>
      <c r="G106" s="22"/>
      <c r="H106" s="22"/>
      <c r="I106" s="22"/>
      <c r="J106" s="22"/>
      <c r="K106" s="22"/>
      <c r="L106" s="22"/>
      <c r="M106" s="22"/>
      <c r="N106" s="97"/>
    </row>
    <row r="107" spans="1:14" x14ac:dyDescent="0.2">
      <c r="A107" s="79"/>
      <c r="B107" s="105"/>
      <c r="C107" s="22" t="s">
        <v>82</v>
      </c>
      <c r="D107" s="22"/>
      <c r="E107" s="22"/>
      <c r="F107" s="22"/>
      <c r="G107" s="22"/>
      <c r="H107" s="22"/>
      <c r="I107" s="22"/>
      <c r="J107" s="22"/>
      <c r="K107" s="22"/>
      <c r="L107" s="22"/>
      <c r="M107" s="22"/>
      <c r="N107" s="97"/>
    </row>
    <row r="108" spans="1:14" x14ac:dyDescent="0.2">
      <c r="A108" s="79"/>
      <c r="B108" s="105"/>
      <c r="C108" s="22"/>
      <c r="D108" s="22"/>
      <c r="E108" s="22"/>
      <c r="F108" s="22"/>
      <c r="G108" s="22"/>
      <c r="H108" s="22"/>
      <c r="I108" s="22"/>
      <c r="J108" s="22"/>
      <c r="K108" s="22"/>
      <c r="L108" s="22"/>
      <c r="M108" s="22"/>
      <c r="N108" s="97"/>
    </row>
    <row r="109" spans="1:14" s="22" customFormat="1" x14ac:dyDescent="0.2">
      <c r="B109" s="105"/>
      <c r="C109" s="29" t="s">
        <v>86</v>
      </c>
      <c r="N109" s="102"/>
    </row>
    <row r="110" spans="1:14" s="22" customFormat="1" x14ac:dyDescent="0.2">
      <c r="B110" s="105"/>
      <c r="C110" s="91" t="s">
        <v>135</v>
      </c>
      <c r="J110" s="91"/>
      <c r="N110" s="102"/>
    </row>
    <row r="111" spans="1:14" ht="15.75" x14ac:dyDescent="0.25">
      <c r="B111" s="105"/>
      <c r="C111" s="29"/>
      <c r="D111" s="22"/>
      <c r="E111" s="29"/>
      <c r="F111" s="22"/>
      <c r="G111" s="22"/>
      <c r="H111" s="22"/>
      <c r="I111" s="22"/>
      <c r="J111" s="92"/>
      <c r="K111" s="22"/>
      <c r="L111" s="22"/>
      <c r="M111" s="22"/>
      <c r="N111" s="106"/>
    </row>
    <row r="112" spans="1:14" x14ac:dyDescent="0.2">
      <c r="B112" s="107"/>
      <c r="C112" s="108"/>
      <c r="D112" s="109"/>
      <c r="E112" s="109"/>
      <c r="F112" s="109"/>
      <c r="G112" s="109"/>
      <c r="H112" s="109"/>
      <c r="I112" s="109"/>
      <c r="J112" s="110"/>
      <c r="K112" s="109"/>
      <c r="L112" s="109"/>
      <c r="M112" s="109"/>
      <c r="N112" s="111"/>
    </row>
  </sheetData>
  <sheetProtection algorithmName="SHA-512" hashValue="Uyt7TVx5jz3F1ZHBci1gyfYhMG9tijwkK+XCDJ+gI2rB3RKcByit8YJ+r9yD/cLpXJ7Cupbk590BEwmji+IDlA==" saltValue="3m4N1MH/F1bi5tAsNbwb+g==" spinCount="100000" sheet="1" objects="1" scenarios="1"/>
  <phoneticPr fontId="5" type="noConversion"/>
  <hyperlinks>
    <hyperlink ref="C110" r:id="rId1"/>
  </hyperlinks>
  <printOptions gridLines="1"/>
  <pageMargins left="0.74803149606299213" right="0.74803149606299213" top="0.98425196850393704" bottom="0.98425196850393704" header="0.51181102362204722" footer="0.51181102362204722"/>
  <pageSetup paperSize="9" scale="74" orientation="portrait" r:id="rId2"/>
  <headerFooter alignWithMargins="0">
    <oddHeader>&amp;L&amp;"Arial,Vet"&amp;A&amp;R&amp;"Arial,Vet"&amp;F</oddHeader>
    <oddFooter>&amp;L&amp;"Arial,Vet"&amp;8PO-Raad&amp;R&amp;"Arial,Vet"&amp;P</oddFooter>
  </headerFooter>
  <rowBreaks count="1" manualBreakCount="1">
    <brk id="74" min="1" max="1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28"/>
  <sheetViews>
    <sheetView zoomScaleNormal="100" zoomScaleSheetLayoutView="85" workbookViewId="0">
      <selection activeCell="B2" sqref="B2"/>
    </sheetView>
  </sheetViews>
  <sheetFormatPr defaultColWidth="9.7109375" defaultRowHeight="13.5" customHeight="1" x14ac:dyDescent="0.2"/>
  <cols>
    <col min="1" max="1" width="3.5703125" style="257" customWidth="1"/>
    <col min="2" max="2" width="2.5703125" style="263" customWidth="1"/>
    <col min="3" max="3" width="1.5703125" style="263" customWidth="1"/>
    <col min="4" max="4" width="30.5703125" style="263" customWidth="1"/>
    <col min="5" max="5" width="10.5703125" style="383" customWidth="1"/>
    <col min="6" max="6" width="1.140625" style="263" customWidth="1"/>
    <col min="7" max="8" width="10.5703125" style="383" customWidth="1"/>
    <col min="9" max="11" width="1.5703125" style="263" customWidth="1"/>
    <col min="12" max="12" width="26.5703125" style="263" customWidth="1"/>
    <col min="13" max="14" width="9.5703125" style="263" customWidth="1"/>
    <col min="15" max="15" width="1.140625" style="263" customWidth="1"/>
    <col min="16" max="16" width="12.140625" style="383" customWidth="1"/>
    <col min="17" max="17" width="11.140625" style="383" customWidth="1"/>
    <col min="18" max="18" width="1.5703125" style="263" customWidth="1"/>
    <col min="19" max="19" width="2.5703125" style="263" customWidth="1"/>
    <col min="20" max="20" width="9.7109375" style="257"/>
    <col min="21" max="22" width="12" style="257" bestFit="1" customWidth="1"/>
    <col min="23" max="57" width="9.7109375" style="257"/>
    <col min="58" max="16384" width="9.7109375" style="263"/>
  </cols>
  <sheetData>
    <row r="1" spans="1:57" s="257" customFormat="1" ht="12.95" customHeight="1" x14ac:dyDescent="0.2">
      <c r="E1" s="258"/>
      <c r="G1" s="258"/>
      <c r="H1" s="258"/>
      <c r="P1" s="258"/>
      <c r="Q1" s="258"/>
    </row>
    <row r="2" spans="1:57" ht="12.95" customHeight="1" x14ac:dyDescent="0.2">
      <c r="B2" s="259"/>
      <c r="C2" s="260"/>
      <c r="D2" s="260"/>
      <c r="E2" s="261"/>
      <c r="F2" s="260"/>
      <c r="G2" s="261"/>
      <c r="H2" s="261"/>
      <c r="I2" s="260"/>
      <c r="J2" s="260"/>
      <c r="K2" s="260"/>
      <c r="L2" s="260"/>
      <c r="M2" s="260"/>
      <c r="N2" s="260"/>
      <c r="O2" s="260"/>
      <c r="P2" s="261"/>
      <c r="Q2" s="261"/>
      <c r="R2" s="260"/>
      <c r="S2" s="262"/>
    </row>
    <row r="3" spans="1:57" ht="12.95" customHeight="1" x14ac:dyDescent="0.2">
      <c r="B3" s="264"/>
      <c r="C3" s="265"/>
      <c r="D3" s="265"/>
      <c r="E3" s="266"/>
      <c r="F3" s="265"/>
      <c r="G3" s="266"/>
      <c r="H3" s="266"/>
      <c r="I3" s="265"/>
      <c r="J3" s="265"/>
      <c r="K3" s="265"/>
      <c r="L3" s="265"/>
      <c r="M3" s="265"/>
      <c r="N3" s="265"/>
      <c r="O3" s="265"/>
      <c r="P3" s="266"/>
      <c r="Q3" s="266"/>
      <c r="R3" s="265"/>
      <c r="S3" s="267"/>
    </row>
    <row r="4" spans="1:57" s="274" customFormat="1" ht="18" customHeight="1" x14ac:dyDescent="0.2">
      <c r="A4" s="268"/>
      <c r="B4" s="269"/>
      <c r="C4" s="270" t="str">
        <f>"WERKGEVERSLASTEN PO "&amp;tabellen!B1</f>
        <v>WERKGEVERSLASTEN PO 2019</v>
      </c>
      <c r="D4" s="271"/>
      <c r="E4" s="272"/>
      <c r="F4" s="271"/>
      <c r="G4" s="272"/>
      <c r="H4" s="272"/>
      <c r="I4" s="271"/>
      <c r="J4" s="271"/>
      <c r="K4" s="271"/>
      <c r="L4" s="271"/>
      <c r="M4" s="271"/>
      <c r="N4" s="271"/>
      <c r="O4" s="271"/>
      <c r="P4" s="272"/>
      <c r="Q4" s="272"/>
      <c r="R4" s="271"/>
      <c r="S4" s="273"/>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row>
    <row r="5" spans="1:57" s="282" customFormat="1" ht="17.25" customHeight="1" x14ac:dyDescent="0.2">
      <c r="A5" s="275"/>
      <c r="B5" s="276"/>
      <c r="C5" s="277" t="str">
        <f>+tabellen!C1 &amp;" "&amp; tabellen!B1</f>
        <v xml:space="preserve"> vanaf 1 januari  2019</v>
      </c>
      <c r="D5" s="278"/>
      <c r="E5" s="279"/>
      <c r="F5" s="278"/>
      <c r="G5" s="280"/>
      <c r="H5" s="280"/>
      <c r="I5" s="278"/>
      <c r="J5" s="278"/>
      <c r="K5" s="278"/>
      <c r="L5" s="278"/>
      <c r="M5" s="278"/>
      <c r="N5" s="278"/>
      <c r="O5" s="278"/>
      <c r="P5" s="279"/>
      <c r="Q5" s="279"/>
      <c r="R5" s="278"/>
      <c r="S5" s="281"/>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row>
    <row r="6" spans="1:57" ht="12.95" customHeight="1" x14ac:dyDescent="0.2">
      <c r="B6" s="264"/>
      <c r="C6" s="265"/>
      <c r="D6" s="265"/>
      <c r="E6" s="266"/>
      <c r="F6" s="265"/>
      <c r="G6" s="283"/>
      <c r="H6" s="283"/>
      <c r="I6" s="265"/>
      <c r="J6" s="265"/>
      <c r="K6" s="265"/>
      <c r="L6" s="265"/>
      <c r="M6" s="265"/>
      <c r="N6" s="265"/>
      <c r="O6" s="265"/>
      <c r="P6" s="266"/>
      <c r="Q6" s="266"/>
      <c r="R6" s="265"/>
      <c r="S6" s="267"/>
    </row>
    <row r="7" spans="1:57" ht="12.95" customHeight="1" x14ac:dyDescent="0.2">
      <c r="B7" s="264"/>
      <c r="C7" s="265"/>
      <c r="D7" s="265"/>
      <c r="E7" s="266"/>
      <c r="F7" s="265"/>
      <c r="G7" s="283"/>
      <c r="H7" s="283"/>
      <c r="I7" s="265"/>
      <c r="J7" s="265"/>
      <c r="K7" s="265"/>
      <c r="L7" s="265"/>
      <c r="M7" s="265"/>
      <c r="N7" s="265"/>
      <c r="O7" s="265"/>
      <c r="P7" s="266"/>
      <c r="Q7" s="266"/>
      <c r="R7" s="265"/>
      <c r="S7" s="267"/>
    </row>
    <row r="8" spans="1:57" ht="12.95" customHeight="1" x14ac:dyDescent="0.2">
      <c r="B8" s="264"/>
      <c r="C8" s="265"/>
      <c r="D8" s="265"/>
      <c r="E8" s="266"/>
      <c r="F8" s="265"/>
      <c r="G8" s="283"/>
      <c r="H8" s="283"/>
      <c r="I8" s="265"/>
      <c r="J8" s="265"/>
      <c r="K8" s="265"/>
      <c r="L8" s="265"/>
      <c r="M8" s="265"/>
      <c r="N8" s="265"/>
      <c r="O8" s="265"/>
      <c r="P8" s="266"/>
      <c r="Q8" s="266"/>
      <c r="R8" s="265"/>
      <c r="S8" s="267"/>
    </row>
    <row r="9" spans="1:57" s="296" customFormat="1" ht="12.95" customHeight="1" x14ac:dyDescent="0.2">
      <c r="A9" s="284"/>
      <c r="B9" s="285"/>
      <c r="C9" s="286"/>
      <c r="D9" s="286"/>
      <c r="E9" s="287"/>
      <c r="F9" s="288"/>
      <c r="G9" s="287"/>
      <c r="H9" s="287"/>
      <c r="I9" s="286"/>
      <c r="J9" s="289"/>
      <c r="K9" s="290"/>
      <c r="L9" s="286"/>
      <c r="M9" s="291"/>
      <c r="N9" s="286"/>
      <c r="O9" s="292"/>
      <c r="P9" s="293"/>
      <c r="Q9" s="294"/>
      <c r="R9" s="286"/>
      <c r="S9" s="295"/>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row>
    <row r="10" spans="1:57" s="296" customFormat="1" ht="12.95" customHeight="1" x14ac:dyDescent="0.2">
      <c r="A10" s="284"/>
      <c r="B10" s="285"/>
      <c r="C10" s="286"/>
      <c r="D10" s="290" t="s">
        <v>172</v>
      </c>
      <c r="E10" s="287"/>
      <c r="F10" s="288"/>
      <c r="G10" s="287"/>
      <c r="H10" s="287"/>
      <c r="I10" s="286"/>
      <c r="J10" s="289"/>
      <c r="K10" s="286"/>
      <c r="L10" s="297" t="s">
        <v>244</v>
      </c>
      <c r="M10" s="297"/>
      <c r="N10" s="298"/>
      <c r="O10" s="292"/>
      <c r="P10" s="293"/>
      <c r="Q10" s="299">
        <f>+G72/G24-1</f>
        <v>0.65151376216887669</v>
      </c>
      <c r="R10" s="286"/>
      <c r="S10" s="295"/>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row>
    <row r="11" spans="1:57" s="296" customFormat="1" ht="12.95" customHeight="1" x14ac:dyDescent="0.2">
      <c r="A11" s="284"/>
      <c r="B11" s="285"/>
      <c r="C11" s="286"/>
      <c r="D11" s="300"/>
      <c r="E11" s="287"/>
      <c r="F11" s="301"/>
      <c r="G11" s="302"/>
      <c r="H11" s="302"/>
      <c r="I11" s="286"/>
      <c r="J11" s="289"/>
      <c r="K11" s="286"/>
      <c r="L11" s="303" t="s">
        <v>211</v>
      </c>
      <c r="M11" s="304"/>
      <c r="N11" s="292"/>
      <c r="O11" s="292"/>
      <c r="P11" s="293"/>
      <c r="Q11" s="305">
        <f>G72/G40-1</f>
        <v>0.34310669957961704</v>
      </c>
      <c r="R11" s="298"/>
      <c r="S11" s="295"/>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row>
    <row r="12" spans="1:57" s="296" customFormat="1" ht="12.95" customHeight="1" x14ac:dyDescent="0.2">
      <c r="A12" s="284"/>
      <c r="B12" s="285"/>
      <c r="C12" s="286"/>
      <c r="D12" s="286" t="s">
        <v>41</v>
      </c>
      <c r="E12" s="287"/>
      <c r="F12" s="288"/>
      <c r="G12" s="197" t="s">
        <v>21</v>
      </c>
      <c r="H12" s="194"/>
      <c r="I12" s="286"/>
      <c r="J12" s="289"/>
      <c r="K12" s="303" t="s">
        <v>205</v>
      </c>
      <c r="L12" s="306" t="s">
        <v>226</v>
      </c>
      <c r="M12" s="307"/>
      <c r="N12" s="303"/>
      <c r="O12" s="303"/>
      <c r="P12" s="308"/>
      <c r="Q12" s="309">
        <f>G40/G24</f>
        <v>1.2296221608348681</v>
      </c>
      <c r="R12" s="310"/>
      <c r="S12" s="295"/>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row>
    <row r="13" spans="1:57" s="296" customFormat="1" ht="12.95" customHeight="1" x14ac:dyDescent="0.2">
      <c r="A13" s="284"/>
      <c r="B13" s="311"/>
      <c r="C13" s="290"/>
      <c r="D13" s="286" t="s">
        <v>88</v>
      </c>
      <c r="E13" s="287"/>
      <c r="F13" s="288"/>
      <c r="G13" s="195">
        <v>21920</v>
      </c>
      <c r="H13" s="287"/>
      <c r="I13" s="286"/>
      <c r="J13" s="289"/>
      <c r="K13" s="303"/>
      <c r="L13" s="306" t="s">
        <v>298</v>
      </c>
      <c r="M13" s="306"/>
      <c r="N13" s="306"/>
      <c r="O13" s="306"/>
      <c r="P13" s="312"/>
      <c r="Q13" s="313">
        <f>G72/G40</f>
        <v>1.343106699579617</v>
      </c>
      <c r="R13" s="310"/>
      <c r="S13" s="295"/>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row>
    <row r="14" spans="1:57" s="296" customFormat="1" ht="12.95" customHeight="1" x14ac:dyDescent="0.2">
      <c r="A14" s="284"/>
      <c r="B14" s="285"/>
      <c r="C14" s="286"/>
      <c r="D14" s="290"/>
      <c r="E14" s="287"/>
      <c r="F14" s="288"/>
      <c r="G14" s="314">
        <f ca="1">YEAR(tabellen!F1)-YEAR(G13)</f>
        <v>59</v>
      </c>
      <c r="H14" s="314">
        <f ca="1">MONTH(tabellen!F1)-MONTH(G13)</f>
        <v>8</v>
      </c>
      <c r="I14" s="286"/>
      <c r="J14" s="289"/>
      <c r="K14" s="286"/>
      <c r="L14" s="306" t="s">
        <v>299</v>
      </c>
      <c r="M14" s="306"/>
      <c r="N14" s="306"/>
      <c r="O14" s="306"/>
      <c r="P14" s="312"/>
      <c r="Q14" s="313">
        <f>G72/G24</f>
        <v>1.6515137621688767</v>
      </c>
      <c r="R14" s="286"/>
      <c r="S14" s="295"/>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row>
    <row r="15" spans="1:57" s="296" customFormat="1" ht="12.95" customHeight="1" x14ac:dyDescent="0.2">
      <c r="A15" s="284"/>
      <c r="B15" s="285"/>
      <c r="C15" s="265"/>
      <c r="D15" s="265"/>
      <c r="E15" s="266"/>
      <c r="F15" s="265"/>
      <c r="G15" s="266"/>
      <c r="H15" s="266"/>
      <c r="I15" s="265"/>
      <c r="J15" s="289"/>
      <c r="K15" s="286"/>
      <c r="L15" s="286"/>
      <c r="M15" s="286"/>
      <c r="N15" s="286"/>
      <c r="O15" s="286"/>
      <c r="P15" s="294"/>
      <c r="Q15" s="294"/>
      <c r="R15" s="286"/>
      <c r="S15" s="295"/>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row>
    <row r="16" spans="1:57" s="296" customFormat="1" ht="12.95" customHeight="1" x14ac:dyDescent="0.2">
      <c r="A16" s="284"/>
      <c r="B16" s="285"/>
      <c r="C16" s="286"/>
      <c r="D16" s="290"/>
      <c r="E16" s="287"/>
      <c r="F16" s="288"/>
      <c r="G16" s="287"/>
      <c r="H16" s="287"/>
      <c r="I16" s="286"/>
      <c r="J16" s="289"/>
      <c r="K16" s="315"/>
      <c r="L16" s="315"/>
      <c r="M16" s="315"/>
      <c r="N16" s="315"/>
      <c r="O16" s="315"/>
      <c r="P16" s="316"/>
      <c r="Q16" s="316"/>
      <c r="R16" s="315"/>
      <c r="S16" s="295"/>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row>
    <row r="17" spans="1:57" s="296" customFormat="1" ht="12.95" customHeight="1" x14ac:dyDescent="0.2">
      <c r="A17" s="284"/>
      <c r="B17" s="285"/>
      <c r="C17" s="286"/>
      <c r="D17" s="290" t="s">
        <v>212</v>
      </c>
      <c r="E17" s="287"/>
      <c r="F17" s="288"/>
      <c r="G17" s="287"/>
      <c r="H17" s="287"/>
      <c r="I17" s="286"/>
      <c r="J17" s="289"/>
      <c r="K17" s="286"/>
      <c r="L17" s="286"/>
      <c r="M17" s="286"/>
      <c r="N17" s="286"/>
      <c r="O17" s="286"/>
      <c r="P17" s="294"/>
      <c r="Q17" s="294"/>
      <c r="R17" s="286"/>
      <c r="S17" s="295"/>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row>
    <row r="18" spans="1:57" s="296" customFormat="1" ht="12.95" customHeight="1" x14ac:dyDescent="0.2">
      <c r="A18" s="284"/>
      <c r="B18" s="285"/>
      <c r="C18" s="286"/>
      <c r="D18" s="290"/>
      <c r="E18" s="287"/>
      <c r="F18" s="288"/>
      <c r="G18" s="317"/>
      <c r="H18" s="318"/>
      <c r="I18" s="286"/>
      <c r="J18" s="289"/>
      <c r="K18" s="286"/>
      <c r="L18" s="290" t="s">
        <v>171</v>
      </c>
      <c r="M18" s="286"/>
      <c r="N18" s="286"/>
      <c r="O18" s="286"/>
      <c r="P18" s="294"/>
      <c r="Q18" s="294"/>
      <c r="R18" s="286"/>
      <c r="S18" s="295"/>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row>
    <row r="19" spans="1:57" s="296" customFormat="1" ht="12.95" customHeight="1" x14ac:dyDescent="0.2">
      <c r="A19" s="284"/>
      <c r="B19" s="285"/>
      <c r="C19" s="286"/>
      <c r="D19" s="300" t="s">
        <v>17</v>
      </c>
      <c r="E19" s="287"/>
      <c r="F19" s="288"/>
      <c r="G19" s="317" t="s">
        <v>36</v>
      </c>
      <c r="H19" s="318" t="s">
        <v>37</v>
      </c>
      <c r="I19" s="286"/>
      <c r="J19" s="289"/>
      <c r="K19" s="286"/>
      <c r="L19" s="286"/>
      <c r="M19" s="286"/>
      <c r="N19" s="286"/>
      <c r="O19" s="286"/>
      <c r="P19" s="294"/>
      <c r="Q19" s="294"/>
      <c r="R19" s="286"/>
      <c r="S19" s="295"/>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row>
    <row r="20" spans="1:57" s="296" customFormat="1" ht="12.95" customHeight="1" x14ac:dyDescent="0.2">
      <c r="A20" s="284"/>
      <c r="B20" s="285"/>
      <c r="C20" s="286"/>
      <c r="D20" s="286" t="s">
        <v>15</v>
      </c>
      <c r="E20" s="287"/>
      <c r="F20" s="288"/>
      <c r="G20" s="194" t="s">
        <v>3</v>
      </c>
      <c r="H20" s="293">
        <f>IF(AND(G20&gt;0,G20&lt;17),100,0)</f>
        <v>0</v>
      </c>
      <c r="I20" s="286"/>
      <c r="J20" s="289"/>
      <c r="K20" s="306"/>
      <c r="L20" s="290" t="s">
        <v>215</v>
      </c>
      <c r="M20" s="319"/>
      <c r="N20" s="319"/>
      <c r="O20" s="319"/>
      <c r="P20" s="320" t="s">
        <v>36</v>
      </c>
      <c r="Q20" s="318" t="s">
        <v>37</v>
      </c>
      <c r="R20" s="286"/>
      <c r="S20" s="295"/>
      <c r="T20" s="284"/>
      <c r="U20" s="284"/>
      <c r="V20" s="321"/>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row>
    <row r="21" spans="1:57" s="296" customFormat="1" ht="12.95" customHeight="1" x14ac:dyDescent="0.2">
      <c r="A21" s="284"/>
      <c r="B21" s="285"/>
      <c r="C21" s="286"/>
      <c r="D21" s="286" t="s">
        <v>16</v>
      </c>
      <c r="E21" s="287"/>
      <c r="F21" s="288"/>
      <c r="G21" s="194">
        <v>11</v>
      </c>
      <c r="H21" s="322"/>
      <c r="I21" s="286"/>
      <c r="J21" s="289"/>
      <c r="K21" s="306"/>
      <c r="L21" s="286" t="s">
        <v>26</v>
      </c>
      <c r="M21" s="286"/>
      <c r="N21" s="286"/>
      <c r="O21" s="323"/>
      <c r="P21" s="324">
        <f>IF($H$41/$G$23&lt;tabellen!E6,0,(+$H$41-tabellen!E6*G23)/12*tabellen!$D6)</f>
        <v>315.17623199999997</v>
      </c>
      <c r="Q21" s="324">
        <f>IF($H$41/$G$23&lt;tabellen!E6,0,(+$H$41-tabellen!E6*G23)*tabellen!$D6)</f>
        <v>3782.1147840000003</v>
      </c>
      <c r="R21" s="286"/>
      <c r="S21" s="295"/>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row>
    <row r="22" spans="1:57" s="296" customFormat="1" ht="12.95" customHeight="1" x14ac:dyDescent="0.2">
      <c r="A22" s="284"/>
      <c r="B22" s="285"/>
      <c r="C22" s="286"/>
      <c r="D22" s="286" t="s">
        <v>18</v>
      </c>
      <c r="E22" s="287"/>
      <c r="F22" s="288"/>
      <c r="G22" s="325">
        <f>VLOOKUP(G20,saltab2019,G21+1,FALSE)</f>
        <v>4344</v>
      </c>
      <c r="H22" s="326"/>
      <c r="I22" s="286"/>
      <c r="J22" s="289"/>
      <c r="K22" s="327"/>
      <c r="L22" s="286" t="s">
        <v>76</v>
      </c>
      <c r="M22" s="286"/>
      <c r="N22" s="286"/>
      <c r="O22" s="323"/>
      <c r="P22" s="324">
        <f>IF($H$41/$G$23&lt;tabellen!E7,0,(+$H$41-tabellen!E7*$G$23)/12*tabellen!$D7)</f>
        <v>5.4413400000000003</v>
      </c>
      <c r="Q22" s="324">
        <f>IF($H$41/$G$23&lt;tabellen!E7,0,(+$H$41-tabellen!E7*$G$23)*tabellen!$D7)</f>
        <v>65.296080000000003</v>
      </c>
      <c r="R22" s="290"/>
      <c r="S22" s="295"/>
      <c r="T22" s="284"/>
      <c r="U22" s="284"/>
      <c r="V22" s="321"/>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row>
    <row r="23" spans="1:57" s="296" customFormat="1" ht="12.95" customHeight="1" x14ac:dyDescent="0.2">
      <c r="A23" s="284"/>
      <c r="B23" s="285"/>
      <c r="C23" s="286"/>
      <c r="D23" s="286" t="s">
        <v>19</v>
      </c>
      <c r="E23" s="287"/>
      <c r="F23" s="288"/>
      <c r="G23" s="196">
        <v>1</v>
      </c>
      <c r="H23" s="287"/>
      <c r="I23" s="286"/>
      <c r="J23" s="289"/>
      <c r="K23" s="327"/>
      <c r="L23" s="286" t="s">
        <v>137</v>
      </c>
      <c r="M23" s="286"/>
      <c r="N23" s="286"/>
      <c r="O23" s="323"/>
      <c r="P23" s="324">
        <f>$H$41/12*tabellen!$D8</f>
        <v>0</v>
      </c>
      <c r="Q23" s="324">
        <f>$H$41*tabellen!$D8</f>
        <v>0</v>
      </c>
      <c r="R23" s="290"/>
      <c r="S23" s="295"/>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row>
    <row r="24" spans="1:57" s="296" customFormat="1" ht="12.95" customHeight="1" x14ac:dyDescent="0.2">
      <c r="A24" s="284"/>
      <c r="B24" s="285"/>
      <c r="C24" s="286"/>
      <c r="D24" s="290" t="s">
        <v>227</v>
      </c>
      <c r="E24" s="287"/>
      <c r="F24" s="288"/>
      <c r="G24" s="328">
        <f>+G22*G23</f>
        <v>4344</v>
      </c>
      <c r="H24" s="328">
        <f>G24*12</f>
        <v>52128</v>
      </c>
      <c r="I24" s="286"/>
      <c r="J24" s="289"/>
      <c r="K24" s="327"/>
      <c r="L24" s="290"/>
      <c r="M24" s="290"/>
      <c r="N24" s="290"/>
      <c r="O24" s="329"/>
      <c r="P24" s="328">
        <f>SUM(P21:P23)</f>
        <v>320.617572</v>
      </c>
      <c r="Q24" s="328">
        <f>SUM(Q21:Q23)</f>
        <v>3847.4108640000004</v>
      </c>
      <c r="R24" s="290"/>
      <c r="S24" s="295"/>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row>
    <row r="25" spans="1:57" s="296" customFormat="1" ht="12.95" customHeight="1" x14ac:dyDescent="0.2">
      <c r="A25" s="284"/>
      <c r="B25" s="285"/>
      <c r="C25" s="286"/>
      <c r="D25" s="330"/>
      <c r="E25" s="331"/>
      <c r="F25" s="332"/>
      <c r="G25" s="331"/>
      <c r="H25" s="331"/>
      <c r="I25" s="286"/>
      <c r="J25" s="289"/>
      <c r="K25" s="327"/>
      <c r="L25" s="290" t="s">
        <v>167</v>
      </c>
      <c r="M25" s="290"/>
      <c r="N25" s="290"/>
      <c r="O25" s="290"/>
      <c r="P25" s="290"/>
      <c r="Q25" s="290"/>
      <c r="R25" s="290"/>
      <c r="S25" s="295"/>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row>
    <row r="26" spans="1:57" s="296" customFormat="1" ht="12.95" customHeight="1" x14ac:dyDescent="0.2">
      <c r="A26" s="284"/>
      <c r="B26" s="285"/>
      <c r="C26" s="286"/>
      <c r="D26" s="333"/>
      <c r="E26" s="334"/>
      <c r="F26" s="335"/>
      <c r="G26" s="334"/>
      <c r="H26" s="334"/>
      <c r="I26" s="286"/>
      <c r="J26" s="289"/>
      <c r="K26" s="327"/>
      <c r="L26" s="286" t="s">
        <v>206</v>
      </c>
      <c r="M26" s="327"/>
      <c r="N26" s="327"/>
      <c r="O26" s="336"/>
      <c r="P26" s="324">
        <f>G40</f>
        <v>5341.4786666666669</v>
      </c>
      <c r="Q26" s="324">
        <f>H40</f>
        <v>64097.743999999999</v>
      </c>
      <c r="R26" s="290"/>
      <c r="S26" s="295"/>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row>
    <row r="27" spans="1:57" s="296" customFormat="1" ht="12.95" customHeight="1" x14ac:dyDescent="0.2">
      <c r="A27" s="284"/>
      <c r="B27" s="285"/>
      <c r="C27" s="286"/>
      <c r="D27" s="290" t="s">
        <v>213</v>
      </c>
      <c r="E27" s="294"/>
      <c r="F27" s="286"/>
      <c r="G27" s="337"/>
      <c r="H27" s="294"/>
      <c r="I27" s="286"/>
      <c r="J27" s="289"/>
      <c r="K27" s="327"/>
      <c r="L27" s="286" t="s">
        <v>216</v>
      </c>
      <c r="M27" s="327"/>
      <c r="N27" s="327"/>
      <c r="O27" s="336"/>
      <c r="P27" s="324">
        <f>P24</f>
        <v>320.617572</v>
      </c>
      <c r="Q27" s="324">
        <f>Q24</f>
        <v>3847.4108640000004</v>
      </c>
      <c r="R27" s="290"/>
      <c r="S27" s="295"/>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row>
    <row r="28" spans="1:57" s="296" customFormat="1" ht="12.95" customHeight="1" x14ac:dyDescent="0.2">
      <c r="A28" s="284"/>
      <c r="B28" s="285"/>
      <c r="C28" s="286"/>
      <c r="D28" s="286"/>
      <c r="E28" s="294"/>
      <c r="F28" s="286"/>
      <c r="G28" s="317" t="s">
        <v>36</v>
      </c>
      <c r="H28" s="318" t="s">
        <v>37</v>
      </c>
      <c r="I28" s="286"/>
      <c r="J28" s="289"/>
      <c r="K28" s="327"/>
      <c r="L28" s="327"/>
      <c r="M28" s="327"/>
      <c r="N28" s="327"/>
      <c r="O28" s="336"/>
      <c r="P28" s="328">
        <f>P26-P27</f>
        <v>5020.8610946666668</v>
      </c>
      <c r="Q28" s="328">
        <f>H40-Q24</f>
        <v>60250.333136000001</v>
      </c>
      <c r="R28" s="290"/>
      <c r="S28" s="295"/>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row>
    <row r="29" spans="1:57" s="296" customFormat="1" ht="12.95" customHeight="1" x14ac:dyDescent="0.2">
      <c r="A29" s="284"/>
      <c r="B29" s="285"/>
      <c r="C29" s="286"/>
      <c r="D29" s="286" t="s">
        <v>25</v>
      </c>
      <c r="E29" s="294"/>
      <c r="F29" s="338"/>
      <c r="G29" s="324">
        <f>ROUND(IF((G$24+G31)*tabellen!D48&lt;G23*tabellen!D50,G23*tabellen!D50,(G$24+G31)*tabellen!D48),2)</f>
        <v>347.52</v>
      </c>
      <c r="H29" s="324">
        <f t="shared" ref="H29:H34" si="0">+G29*12</f>
        <v>4170.24</v>
      </c>
      <c r="I29" s="286"/>
      <c r="J29" s="289"/>
      <c r="K29" s="327"/>
      <c r="L29" s="290" t="s">
        <v>56</v>
      </c>
      <c r="M29" s="327"/>
      <c r="N29" s="327"/>
      <c r="O29" s="336"/>
      <c r="P29" s="339"/>
      <c r="Q29" s="339"/>
      <c r="R29" s="290"/>
      <c r="S29" s="295"/>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row>
    <row r="30" spans="1:57" s="296" customFormat="1" ht="12.95" customHeight="1" x14ac:dyDescent="0.2">
      <c r="A30" s="284"/>
      <c r="B30" s="285"/>
      <c r="C30" s="286"/>
      <c r="D30" s="286" t="s">
        <v>45</v>
      </c>
      <c r="E30" s="294"/>
      <c r="F30" s="340"/>
      <c r="G30" s="324">
        <f>ROUND((G$24+G31)*tabellen!D51,2)</f>
        <v>273.67</v>
      </c>
      <c r="H30" s="324">
        <f t="shared" si="0"/>
        <v>3284.04</v>
      </c>
      <c r="I30" s="286"/>
      <c r="J30" s="289"/>
      <c r="K30" s="327"/>
      <c r="L30" s="286" t="s">
        <v>217</v>
      </c>
      <c r="M30" s="327"/>
      <c r="N30" s="327"/>
      <c r="O30" s="336"/>
      <c r="P30" s="324">
        <f>P28</f>
        <v>5020.8610946666668</v>
      </c>
      <c r="Q30" s="324">
        <f>Q28</f>
        <v>60250.333136000001</v>
      </c>
      <c r="R30" s="290"/>
      <c r="S30" s="295"/>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row>
    <row r="31" spans="1:57" s="296" customFormat="1" ht="12.95" customHeight="1" x14ac:dyDescent="0.2">
      <c r="A31" s="284"/>
      <c r="B31" s="285"/>
      <c r="C31" s="286"/>
      <c r="D31" s="286" t="s">
        <v>182</v>
      </c>
      <c r="E31" s="193" t="s">
        <v>370</v>
      </c>
      <c r="F31" s="340"/>
      <c r="G31" s="324">
        <f>IF(E31="nee",0,(VLOOKUP(G20,uitlooptoeslag,2,FALSE)))</f>
        <v>0</v>
      </c>
      <c r="H31" s="324">
        <f t="shared" si="0"/>
        <v>0</v>
      </c>
      <c r="I31" s="286"/>
      <c r="J31" s="289"/>
      <c r="K31" s="327"/>
      <c r="L31" s="286" t="s">
        <v>168</v>
      </c>
      <c r="M31" s="290"/>
      <c r="N31" s="290"/>
      <c r="O31" s="290"/>
      <c r="P31" s="324">
        <f>G51</f>
        <v>323.91000000000003</v>
      </c>
      <c r="Q31" s="324">
        <f>H51</f>
        <v>3886.92</v>
      </c>
      <c r="R31" s="290"/>
      <c r="S31" s="295"/>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row>
    <row r="32" spans="1:57" s="296" customFormat="1" ht="12.95" customHeight="1" x14ac:dyDescent="0.2">
      <c r="A32" s="284"/>
      <c r="B32" s="285"/>
      <c r="C32" s="286"/>
      <c r="D32" s="286" t="s">
        <v>81</v>
      </c>
      <c r="E32" s="341" t="str">
        <f>IF(OR(G20="DA",G20="DB",G20="DBuit",G20="DC",G20="DCuit",MID(G20,1,5)="meerh"),"j","n")</f>
        <v>j</v>
      </c>
      <c r="F32" s="340"/>
      <c r="G32" s="324">
        <f>ROUND(IF(E32="j",tabellen!D59*IF(G23&gt;1,1,G23),0),2)</f>
        <v>324.87</v>
      </c>
      <c r="H32" s="324">
        <f t="shared" si="0"/>
        <v>3898.44</v>
      </c>
      <c r="I32" s="286"/>
      <c r="J32" s="289"/>
      <c r="K32" s="327"/>
      <c r="L32" s="284"/>
      <c r="M32" s="290"/>
      <c r="N32" s="290"/>
      <c r="O32" s="290"/>
      <c r="P32" s="328">
        <f>SUM(P30:P31)</f>
        <v>5344.7710946666666</v>
      </c>
      <c r="Q32" s="328">
        <f>SUM(Q30:Q31)</f>
        <v>64137.253135999999</v>
      </c>
      <c r="R32" s="290"/>
      <c r="S32" s="295"/>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row>
    <row r="33" spans="1:57" s="296" customFormat="1" ht="12.95" customHeight="1" x14ac:dyDescent="0.2">
      <c r="A33" s="284"/>
      <c r="B33" s="285"/>
      <c r="C33" s="286"/>
      <c r="D33" s="286" t="s">
        <v>203</v>
      </c>
      <c r="E33" s="342">
        <f>IF(AND(G20&gt;0,G20&lt;17),100,0)</f>
        <v>0</v>
      </c>
      <c r="F33" s="340"/>
      <c r="G33" s="324">
        <f>IF(E33=100,+tabellen!C41*G23,0)</f>
        <v>0</v>
      </c>
      <c r="H33" s="324">
        <f t="shared" si="0"/>
        <v>0</v>
      </c>
      <c r="I33" s="286"/>
      <c r="J33" s="289"/>
      <c r="K33" s="286"/>
      <c r="L33" s="284"/>
      <c r="M33" s="284"/>
      <c r="N33" s="284"/>
      <c r="O33" s="284"/>
      <c r="P33" s="284"/>
      <c r="Q33" s="284"/>
      <c r="R33" s="306"/>
      <c r="S33" s="295"/>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row>
    <row r="34" spans="1:57" s="296" customFormat="1" ht="12.95" customHeight="1" x14ac:dyDescent="0.2">
      <c r="A34" s="284"/>
      <c r="B34" s="285"/>
      <c r="C34" s="286"/>
      <c r="D34" s="286" t="s">
        <v>69</v>
      </c>
      <c r="E34" s="343">
        <f>IF(H20=100,G20,0)</f>
        <v>0</v>
      </c>
      <c r="F34" s="340"/>
      <c r="G34" s="324">
        <f>VLOOKUP(E34,eindejaarsuitkering_OOP,2,TRUE)*G23/12</f>
        <v>0</v>
      </c>
      <c r="H34" s="324">
        <f t="shared" si="0"/>
        <v>0</v>
      </c>
      <c r="I34" s="286"/>
      <c r="J34" s="289"/>
      <c r="K34" s="315"/>
      <c r="L34" s="315"/>
      <c r="M34" s="315"/>
      <c r="N34" s="315"/>
      <c r="O34" s="315"/>
      <c r="P34" s="315"/>
      <c r="Q34" s="315"/>
      <c r="R34" s="315"/>
      <c r="S34" s="35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row>
    <row r="35" spans="1:57" s="296" customFormat="1" ht="12.95" customHeight="1" x14ac:dyDescent="0.2">
      <c r="A35" s="284"/>
      <c r="B35" s="285"/>
      <c r="C35" s="286"/>
      <c r="D35" s="286" t="s">
        <v>204</v>
      </c>
      <c r="E35" s="344"/>
      <c r="F35" s="286"/>
      <c r="G35" s="324">
        <f>H35/12</f>
        <v>16.666666666666668</v>
      </c>
      <c r="H35" s="324">
        <f>ROUND(G23*tabellen!D57,2)</f>
        <v>200</v>
      </c>
      <c r="I35" s="290"/>
      <c r="J35" s="289"/>
      <c r="K35" s="397"/>
      <c r="L35" s="398"/>
      <c r="M35" s="398"/>
      <c r="N35" s="398"/>
      <c r="O35" s="398"/>
      <c r="P35" s="398"/>
      <c r="Q35" s="398"/>
      <c r="R35" s="398"/>
      <c r="S35" s="406"/>
      <c r="T35" s="284"/>
      <c r="U35" s="284"/>
      <c r="V35" s="321"/>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row>
    <row r="36" spans="1:57" s="296" customFormat="1" ht="12.95" customHeight="1" x14ac:dyDescent="0.2">
      <c r="A36" s="284"/>
      <c r="B36" s="285"/>
      <c r="C36" s="286"/>
      <c r="D36" s="286" t="s">
        <v>71</v>
      </c>
      <c r="E36" s="294"/>
      <c r="F36" s="286"/>
      <c r="G36" s="324">
        <f>((G24+G31)*tabellen!C43)</f>
        <v>34.752000000000002</v>
      </c>
      <c r="H36" s="324">
        <f>G36*12</f>
        <v>417.024</v>
      </c>
      <c r="I36" s="290"/>
      <c r="J36" s="289"/>
      <c r="K36" s="401" t="s">
        <v>334</v>
      </c>
      <c r="L36" s="402"/>
      <c r="M36" s="402"/>
      <c r="N36" s="402"/>
      <c r="O36" s="402"/>
      <c r="P36" s="402"/>
      <c r="Q36" s="403"/>
      <c r="R36" s="398"/>
      <c r="S36" s="406"/>
      <c r="T36" s="284"/>
      <c r="U36" s="284"/>
      <c r="V36" s="321"/>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row>
    <row r="37" spans="1:57" s="296" customFormat="1" ht="12.95" customHeight="1" x14ac:dyDescent="0.2">
      <c r="A37" s="284"/>
      <c r="B37" s="285"/>
      <c r="C37" s="286"/>
      <c r="D37" s="286"/>
      <c r="E37" s="294"/>
      <c r="F37" s="286"/>
      <c r="G37" s="344"/>
      <c r="H37" s="344"/>
      <c r="I37" s="290"/>
      <c r="J37" s="289"/>
      <c r="K37" s="404" t="s">
        <v>357</v>
      </c>
      <c r="L37" s="405"/>
      <c r="M37" s="405"/>
      <c r="N37" s="405"/>
      <c r="O37" s="405"/>
      <c r="P37" s="405"/>
      <c r="Q37" s="406"/>
      <c r="R37" s="398"/>
      <c r="S37" s="406"/>
      <c r="T37" s="284"/>
      <c r="U37" s="284"/>
      <c r="V37" s="321"/>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row>
    <row r="38" spans="1:57" s="296" customFormat="1" ht="12.95" customHeight="1" x14ac:dyDescent="0.2">
      <c r="A38" s="284"/>
      <c r="B38" s="285"/>
      <c r="C38" s="286"/>
      <c r="D38" s="327" t="s">
        <v>210</v>
      </c>
      <c r="E38" s="344"/>
      <c r="F38" s="327"/>
      <c r="G38" s="345">
        <f>SUM(G29:G36)</f>
        <v>997.47866666666664</v>
      </c>
      <c r="H38" s="345">
        <f>SUM(H29:H36)</f>
        <v>11969.743999999999</v>
      </c>
      <c r="I38" s="290"/>
      <c r="J38" s="289"/>
      <c r="K38" s="404" t="s">
        <v>358</v>
      </c>
      <c r="L38" s="405"/>
      <c r="M38" s="405"/>
      <c r="N38" s="405"/>
      <c r="O38" s="405"/>
      <c r="P38" s="405"/>
      <c r="Q38" s="406"/>
      <c r="R38" s="398"/>
      <c r="S38" s="406"/>
      <c r="T38" s="284"/>
      <c r="U38" s="284"/>
      <c r="V38" s="321"/>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row>
    <row r="39" spans="1:57" s="296" customFormat="1" ht="12.95" customHeight="1" x14ac:dyDescent="0.2">
      <c r="A39" s="284"/>
      <c r="B39" s="285"/>
      <c r="C39" s="286"/>
      <c r="D39" s="290"/>
      <c r="E39" s="294"/>
      <c r="F39" s="291"/>
      <c r="G39" s="294"/>
      <c r="H39" s="294"/>
      <c r="I39" s="290"/>
      <c r="J39" s="289"/>
      <c r="K39" s="407" t="s">
        <v>359</v>
      </c>
      <c r="L39" s="405"/>
      <c r="M39" s="405"/>
      <c r="N39" s="405"/>
      <c r="O39" s="405"/>
      <c r="P39" s="405"/>
      <c r="Q39" s="406"/>
      <c r="R39" s="399"/>
      <c r="S39" s="410"/>
      <c r="T39" s="284"/>
      <c r="U39" s="284"/>
      <c r="V39" s="321"/>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row>
    <row r="40" spans="1:57" s="296" customFormat="1" ht="12.95" customHeight="1" x14ac:dyDescent="0.2">
      <c r="A40" s="284"/>
      <c r="B40" s="285"/>
      <c r="C40" s="286"/>
      <c r="D40" s="290" t="s">
        <v>206</v>
      </c>
      <c r="E40" s="294"/>
      <c r="F40" s="291"/>
      <c r="G40" s="348">
        <f>G24+G38</f>
        <v>5341.4786666666669</v>
      </c>
      <c r="H40" s="348">
        <f>H24+H38</f>
        <v>64097.743999999999</v>
      </c>
      <c r="I40" s="290"/>
      <c r="J40" s="289"/>
      <c r="K40" s="408" t="s">
        <v>360</v>
      </c>
      <c r="L40" s="409"/>
      <c r="M40" s="409"/>
      <c r="N40" s="409"/>
      <c r="O40" s="409"/>
      <c r="P40" s="409"/>
      <c r="Q40" s="410"/>
      <c r="R40" s="399"/>
      <c r="S40" s="410"/>
      <c r="T40" s="284"/>
      <c r="U40" s="284"/>
      <c r="V40" s="321"/>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row>
    <row r="41" spans="1:57" s="296" customFormat="1" ht="12.95" customHeight="1" x14ac:dyDescent="0.2">
      <c r="A41" s="284"/>
      <c r="B41" s="285"/>
      <c r="C41" s="286"/>
      <c r="D41" s="306" t="s">
        <v>35</v>
      </c>
      <c r="E41" s="312"/>
      <c r="F41" s="306"/>
      <c r="G41" s="350">
        <f>H41/12</f>
        <v>5369.2266666666665</v>
      </c>
      <c r="H41" s="350">
        <f>H40-H36+tabellen!C45*wgl!G23+IF(G20="L10",tabellen!M45,IF(G20="L11",tabellen!M46,IF(G20="L12",tabellen!M47,IF(G20="L13",tabellen!M48,IF(G20="L14",tabellen!M49)))))</f>
        <v>64430.720000000001</v>
      </c>
      <c r="I41" s="286"/>
      <c r="J41" s="289"/>
      <c r="K41" s="408" t="s">
        <v>361</v>
      </c>
      <c r="L41" s="409"/>
      <c r="M41" s="409"/>
      <c r="N41" s="409"/>
      <c r="O41" s="409"/>
      <c r="P41" s="409"/>
      <c r="Q41" s="410"/>
      <c r="R41" s="398"/>
      <c r="S41" s="406"/>
      <c r="T41" s="284"/>
      <c r="U41" s="352"/>
      <c r="V41" s="352"/>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row>
    <row r="42" spans="1:57" s="296" customFormat="1" ht="12.95" customHeight="1" x14ac:dyDescent="0.2">
      <c r="A42" s="284"/>
      <c r="B42" s="285"/>
      <c r="C42" s="286"/>
      <c r="D42" s="330"/>
      <c r="E42" s="331"/>
      <c r="F42" s="332"/>
      <c r="G42" s="331"/>
      <c r="H42" s="331"/>
      <c r="I42" s="286"/>
      <c r="J42" s="289"/>
      <c r="K42" s="408"/>
      <c r="L42" s="409"/>
      <c r="M42" s="409"/>
      <c r="N42" s="409"/>
      <c r="O42" s="409"/>
      <c r="P42" s="409"/>
      <c r="Q42" s="410"/>
      <c r="R42" s="398"/>
      <c r="S42" s="406"/>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row>
    <row r="43" spans="1:57" s="296" customFormat="1" ht="12.95" customHeight="1" x14ac:dyDescent="0.2">
      <c r="A43" s="284"/>
      <c r="B43" s="285"/>
      <c r="C43" s="286"/>
      <c r="D43" s="333"/>
      <c r="E43" s="334"/>
      <c r="F43" s="335"/>
      <c r="G43" s="334"/>
      <c r="H43" s="423">
        <f>G23*(tabellen!C45+IF(G20="L10",tabellen!M45,IF(G20="L11",tabellen!M46,IF(G20="L12",tabellen!M47,IF(G20="L13",tabellen!M48,0)))))</f>
        <v>750</v>
      </c>
      <c r="I43" s="286"/>
      <c r="J43" s="289"/>
      <c r="K43" s="411" t="s">
        <v>335</v>
      </c>
      <c r="L43" s="405"/>
      <c r="M43" s="405"/>
      <c r="N43" s="405"/>
      <c r="O43" s="405"/>
      <c r="P43" s="405"/>
      <c r="Q43" s="406"/>
      <c r="R43" s="398"/>
      <c r="S43" s="406"/>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row>
    <row r="44" spans="1:57" s="296" customFormat="1" ht="12.95" customHeight="1" x14ac:dyDescent="0.2">
      <c r="A44" s="284"/>
      <c r="B44" s="285"/>
      <c r="C44" s="286"/>
      <c r="D44" s="290" t="s">
        <v>214</v>
      </c>
      <c r="E44" s="294"/>
      <c r="F44" s="286"/>
      <c r="G44" s="354"/>
      <c r="H44" s="354"/>
      <c r="I44" s="286"/>
      <c r="J44" s="289"/>
      <c r="K44" s="404" t="s">
        <v>317</v>
      </c>
      <c r="L44" s="405"/>
      <c r="M44" s="405"/>
      <c r="N44" s="405"/>
      <c r="O44" s="405"/>
      <c r="P44" s="405"/>
      <c r="Q44" s="406"/>
      <c r="R44" s="398"/>
      <c r="S44" s="406"/>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row>
    <row r="45" spans="1:57" s="296" customFormat="1" ht="12.95" customHeight="1" x14ac:dyDescent="0.2">
      <c r="A45" s="284"/>
      <c r="B45" s="285"/>
      <c r="C45" s="286"/>
      <c r="D45" s="286"/>
      <c r="E45" s="294"/>
      <c r="F45" s="286"/>
      <c r="G45" s="317"/>
      <c r="H45" s="318"/>
      <c r="I45" s="286"/>
      <c r="J45" s="289"/>
      <c r="K45" s="404" t="s">
        <v>318</v>
      </c>
      <c r="L45" s="405"/>
      <c r="M45" s="405"/>
      <c r="N45" s="405"/>
      <c r="O45" s="405"/>
      <c r="P45" s="405"/>
      <c r="Q45" s="406"/>
      <c r="R45" s="398"/>
      <c r="S45" s="406"/>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row>
    <row r="46" spans="1:57" s="296" customFormat="1" ht="12.95" customHeight="1" x14ac:dyDescent="0.2">
      <c r="A46" s="284"/>
      <c r="B46" s="285"/>
      <c r="C46" s="286"/>
      <c r="D46" s="306" t="s">
        <v>209</v>
      </c>
      <c r="E46" s="294"/>
      <c r="F46" s="286"/>
      <c r="G46" s="317" t="s">
        <v>36</v>
      </c>
      <c r="H46" s="318" t="s">
        <v>37</v>
      </c>
      <c r="I46" s="286"/>
      <c r="J46" s="289"/>
      <c r="K46" s="404" t="s">
        <v>319</v>
      </c>
      <c r="L46" s="405"/>
      <c r="M46" s="405"/>
      <c r="N46" s="405"/>
      <c r="O46" s="405"/>
      <c r="P46" s="405"/>
      <c r="Q46" s="406"/>
      <c r="R46" s="398"/>
      <c r="S46" s="406"/>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row>
    <row r="47" spans="1:57" s="296" customFormat="1" ht="12.95" customHeight="1" x14ac:dyDescent="0.2">
      <c r="A47" s="284"/>
      <c r="B47" s="285"/>
      <c r="C47" s="286"/>
      <c r="D47" s="286" t="s">
        <v>26</v>
      </c>
      <c r="E47" s="294"/>
      <c r="F47" s="286"/>
      <c r="G47" s="324">
        <f>IF($H$41/$G$23&lt;tabellen!E6,0,($H$41-tabellen!E6*$G$23)/12)*tabellen!$C6</f>
        <v>735.41120799999999</v>
      </c>
      <c r="H47" s="355">
        <f t="shared" ref="H47:H52" si="1">G47*12</f>
        <v>8824.9344959999999</v>
      </c>
      <c r="I47" s="306"/>
      <c r="J47" s="289"/>
      <c r="K47" s="404" t="s">
        <v>362</v>
      </c>
      <c r="L47" s="405"/>
      <c r="M47" s="405"/>
      <c r="N47" s="405"/>
      <c r="O47" s="405"/>
      <c r="P47" s="405"/>
      <c r="Q47" s="406"/>
      <c r="R47" s="398"/>
      <c r="S47" s="406"/>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row>
    <row r="48" spans="1:57" s="296" customFormat="1" ht="12.95" customHeight="1" x14ac:dyDescent="0.2">
      <c r="A48" s="284"/>
      <c r="B48" s="285"/>
      <c r="C48" s="286"/>
      <c r="D48" s="286" t="s">
        <v>76</v>
      </c>
      <c r="E48" s="294"/>
      <c r="F48" s="286"/>
      <c r="G48" s="324">
        <f>IF($H$41/$G$23&lt;tabellen!E7,0,(+$H$41-tabellen!E7*$G$23)/12)*tabellen!$C7</f>
        <v>12.69646</v>
      </c>
      <c r="H48" s="355">
        <f t="shared" si="1"/>
        <v>152.35751999999999</v>
      </c>
      <c r="I48" s="306"/>
      <c r="J48" s="289"/>
      <c r="K48" s="404" t="s">
        <v>363</v>
      </c>
      <c r="L48" s="405"/>
      <c r="M48" s="405"/>
      <c r="N48" s="405"/>
      <c r="O48" s="405"/>
      <c r="P48" s="405"/>
      <c r="Q48" s="406"/>
      <c r="R48" s="398"/>
      <c r="S48" s="406"/>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row>
    <row r="49" spans="1:57" s="296" customFormat="1" ht="12.95" customHeight="1" x14ac:dyDescent="0.2">
      <c r="A49" s="284"/>
      <c r="B49" s="285"/>
      <c r="C49" s="306"/>
      <c r="D49" s="286" t="s">
        <v>137</v>
      </c>
      <c r="E49" s="312"/>
      <c r="F49" s="286"/>
      <c r="G49" s="324">
        <f>$H$41/12*tabellen!$C8</f>
        <v>139.59989333333331</v>
      </c>
      <c r="H49" s="355">
        <f t="shared" si="1"/>
        <v>1675.1987199999999</v>
      </c>
      <c r="I49" s="306"/>
      <c r="J49" s="289"/>
      <c r="K49" s="404" t="s">
        <v>337</v>
      </c>
      <c r="L49" s="405"/>
      <c r="M49" s="405"/>
      <c r="N49" s="405"/>
      <c r="O49" s="405"/>
      <c r="P49" s="405"/>
      <c r="Q49" s="406"/>
      <c r="R49" s="398"/>
      <c r="S49" s="406"/>
      <c r="T49" s="284"/>
      <c r="U49" s="284"/>
      <c r="V49" s="192"/>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row>
    <row r="50" spans="1:57" s="296" customFormat="1" ht="12.95" customHeight="1" x14ac:dyDescent="0.2">
      <c r="A50" s="284"/>
      <c r="B50" s="285"/>
      <c r="C50" s="306"/>
      <c r="D50" s="286" t="s">
        <v>74</v>
      </c>
      <c r="E50" s="294"/>
      <c r="F50" s="286"/>
      <c r="G50" s="324">
        <f>IF(P28&gt;tabellen!$G$9/12,tabellen!$G$9/12,P28)*(tabellen!$C9+tabellen!$C10)</f>
        <v>372.84666666666658</v>
      </c>
      <c r="H50" s="355">
        <f>G50*12</f>
        <v>4474.1599999999989</v>
      </c>
      <c r="I50" s="291"/>
      <c r="J50" s="289"/>
      <c r="K50" s="404" t="s">
        <v>348</v>
      </c>
      <c r="L50" s="405"/>
      <c r="M50" s="405"/>
      <c r="N50" s="405"/>
      <c r="O50" s="405"/>
      <c r="P50" s="405"/>
      <c r="Q50" s="406"/>
      <c r="R50" s="398"/>
      <c r="S50" s="406"/>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row>
    <row r="51" spans="1:57" s="296" customFormat="1" ht="12.95" customHeight="1" x14ac:dyDescent="0.2">
      <c r="A51" s="284"/>
      <c r="B51" s="285"/>
      <c r="C51" s="306"/>
      <c r="D51" s="286" t="s">
        <v>128</v>
      </c>
      <c r="E51" s="294"/>
      <c r="F51" s="286"/>
      <c r="G51" s="324">
        <f>ROUND(IF(P28&gt;tabellen!H11,tabellen!H11,P28)*tabellen!C11,2)</f>
        <v>323.91000000000003</v>
      </c>
      <c r="H51" s="355">
        <f t="shared" si="1"/>
        <v>3886.92</v>
      </c>
      <c r="I51" s="291"/>
      <c r="J51" s="289"/>
      <c r="K51" s="404" t="s">
        <v>369</v>
      </c>
      <c r="L51" s="405"/>
      <c r="M51" s="405"/>
      <c r="N51" s="405"/>
      <c r="O51" s="405"/>
      <c r="P51" s="405"/>
      <c r="Q51" s="406"/>
      <c r="R51" s="398"/>
      <c r="S51" s="406"/>
      <c r="T51" s="284"/>
      <c r="U51" s="284"/>
      <c r="V51" s="356"/>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row>
    <row r="52" spans="1:57" s="296" customFormat="1" ht="12.95" customHeight="1" x14ac:dyDescent="0.2">
      <c r="A52" s="284"/>
      <c r="B52" s="285"/>
      <c r="C52" s="286"/>
      <c r="D52" s="286" t="s">
        <v>32</v>
      </c>
      <c r="E52" s="294"/>
      <c r="F52" s="286"/>
      <c r="G52" s="324">
        <f>IF(P28&gt;tabellen!$G$12*$G$23/12,tabellen!$G$12*$G$23/12,P28)*tabellen!$C12</f>
        <v>36.352549999999994</v>
      </c>
      <c r="H52" s="355">
        <f t="shared" si="1"/>
        <v>436.23059999999992</v>
      </c>
      <c r="I52" s="291"/>
      <c r="J52" s="289"/>
      <c r="K52" s="404" t="s">
        <v>338</v>
      </c>
      <c r="L52" s="405"/>
      <c r="M52" s="405"/>
      <c r="N52" s="405"/>
      <c r="O52" s="405"/>
      <c r="P52" s="405"/>
      <c r="Q52" s="406"/>
      <c r="R52" s="398"/>
      <c r="S52" s="406"/>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row>
    <row r="53" spans="1:57" s="359" customFormat="1" ht="12.95" customHeight="1" x14ac:dyDescent="0.2">
      <c r="A53" s="356"/>
      <c r="B53" s="285"/>
      <c r="C53" s="286"/>
      <c r="D53" s="306"/>
      <c r="E53" s="312"/>
      <c r="F53" s="306"/>
      <c r="G53" s="357">
        <f>SUM(G47:G52)</f>
        <v>1620.8167780000001</v>
      </c>
      <c r="H53" s="357">
        <f>SUM(H47:H52)</f>
        <v>19449.801336</v>
      </c>
      <c r="I53" s="291"/>
      <c r="J53" s="358"/>
      <c r="K53" s="404" t="s">
        <v>339</v>
      </c>
      <c r="L53" s="405"/>
      <c r="M53" s="405"/>
      <c r="N53" s="405"/>
      <c r="O53" s="405"/>
      <c r="P53" s="405"/>
      <c r="Q53" s="406"/>
      <c r="R53" s="398"/>
      <c r="S53" s="406"/>
      <c r="T53" s="356"/>
      <c r="U53" s="356"/>
      <c r="V53" s="284"/>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c r="BE53" s="356"/>
    </row>
    <row r="54" spans="1:57" s="359" customFormat="1" ht="12.95" customHeight="1" x14ac:dyDescent="0.2">
      <c r="A54" s="356"/>
      <c r="B54" s="360"/>
      <c r="C54" s="286"/>
      <c r="D54" s="306" t="s">
        <v>258</v>
      </c>
      <c r="E54" s="294"/>
      <c r="F54" s="286"/>
      <c r="G54" s="294"/>
      <c r="H54" s="294"/>
      <c r="I54" s="291"/>
      <c r="J54" s="358"/>
      <c r="K54" s="404" t="s">
        <v>340</v>
      </c>
      <c r="L54" s="405"/>
      <c r="M54" s="405"/>
      <c r="N54" s="405"/>
      <c r="O54" s="405"/>
      <c r="P54" s="405"/>
      <c r="Q54" s="406"/>
      <c r="R54" s="398"/>
      <c r="S54" s="406"/>
      <c r="T54" s="356"/>
      <c r="U54" s="356"/>
      <c r="V54" s="284"/>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6"/>
      <c r="AZ54" s="356"/>
      <c r="BA54" s="356"/>
      <c r="BB54" s="356"/>
      <c r="BC54" s="356"/>
      <c r="BD54" s="356"/>
      <c r="BE54" s="356"/>
    </row>
    <row r="55" spans="1:57" s="296" customFormat="1" ht="12.95" customHeight="1" x14ac:dyDescent="0.2">
      <c r="A55" s="284"/>
      <c r="B55" s="360"/>
      <c r="C55" s="286"/>
      <c r="D55" s="286" t="s">
        <v>300</v>
      </c>
      <c r="E55" s="361">
        <v>3</v>
      </c>
      <c r="F55" s="286"/>
      <c r="G55" s="324">
        <f>+P28*IF(E55=1,tabellen!$C13,IF(E55=2,tabellen!C14,IF(E55=3,tabellen!C15,IF(E55=5,tabellen!C17,IF(E55=6,tabellen!C18,IF(E55=7,tabellen!C19,IF(E55=8,tabellen!C20,tabellen!C16)))))))</f>
        <v>11.045894408266667</v>
      </c>
      <c r="H55" s="355">
        <f>G55*12</f>
        <v>132.5507328992</v>
      </c>
      <c r="I55" s="286"/>
      <c r="J55" s="289"/>
      <c r="K55" s="404"/>
      <c r="L55" s="405"/>
      <c r="M55" s="405"/>
      <c r="N55" s="405"/>
      <c r="O55" s="405"/>
      <c r="P55" s="405"/>
      <c r="Q55" s="406"/>
      <c r="R55" s="398"/>
      <c r="S55" s="406"/>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row>
    <row r="56" spans="1:57" s="296" customFormat="1" ht="12.95" customHeight="1" x14ac:dyDescent="0.2">
      <c r="A56" s="284"/>
      <c r="B56" s="285"/>
      <c r="C56" s="286"/>
      <c r="D56" s="286" t="s">
        <v>273</v>
      </c>
      <c r="E56" s="294"/>
      <c r="F56" s="286"/>
      <c r="G56" s="324">
        <f>H56/12</f>
        <v>0</v>
      </c>
      <c r="H56" s="233">
        <v>0</v>
      </c>
      <c r="I56" s="286"/>
      <c r="J56" s="289"/>
      <c r="K56" s="412" t="s">
        <v>350</v>
      </c>
      <c r="L56" s="405"/>
      <c r="M56" s="405"/>
      <c r="N56" s="405"/>
      <c r="O56" s="405"/>
      <c r="P56" s="405"/>
      <c r="Q56" s="406"/>
      <c r="R56" s="398"/>
      <c r="S56" s="406"/>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row>
    <row r="57" spans="1:57" s="296" customFormat="1" ht="12.95" customHeight="1" x14ac:dyDescent="0.2">
      <c r="A57" s="284"/>
      <c r="B57" s="285"/>
      <c r="C57" s="286"/>
      <c r="D57" s="286" t="s">
        <v>202</v>
      </c>
      <c r="E57" s="294"/>
      <c r="F57" s="286"/>
      <c r="G57" s="324">
        <f>+P28*tabellen!$C21</f>
        <v>200.83444378666667</v>
      </c>
      <c r="H57" s="355">
        <f>G57*12</f>
        <v>2410.0133254399998</v>
      </c>
      <c r="I57" s="286"/>
      <c r="J57" s="289"/>
      <c r="K57" s="407" t="s">
        <v>328</v>
      </c>
      <c r="L57" s="405"/>
      <c r="M57" s="405"/>
      <c r="N57" s="405"/>
      <c r="O57" s="405"/>
      <c r="P57" s="405"/>
      <c r="Q57" s="406"/>
      <c r="R57" s="398"/>
      <c r="S57" s="406"/>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row>
    <row r="58" spans="1:57" s="296" customFormat="1" ht="12.95" customHeight="1" x14ac:dyDescent="0.2">
      <c r="A58" s="284"/>
      <c r="B58" s="285"/>
      <c r="C58" s="286"/>
      <c r="D58" s="286"/>
      <c r="E58" s="294"/>
      <c r="F58" s="286"/>
      <c r="G58" s="357">
        <f>SUM(G55:G57)</f>
        <v>211.88033819493333</v>
      </c>
      <c r="H58" s="357">
        <f>SUM(H55:H57)</f>
        <v>2542.5640583391996</v>
      </c>
      <c r="I58" s="286"/>
      <c r="J58" s="289"/>
      <c r="K58" s="407" t="s">
        <v>351</v>
      </c>
      <c r="L58" s="405"/>
      <c r="M58" s="405"/>
      <c r="N58" s="405"/>
      <c r="O58" s="405"/>
      <c r="P58" s="405"/>
      <c r="Q58" s="406"/>
      <c r="R58" s="398"/>
      <c r="S58" s="406"/>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row>
    <row r="59" spans="1:57" s="296" customFormat="1" ht="12.95" customHeight="1" x14ac:dyDescent="0.2">
      <c r="A59" s="284"/>
      <c r="B59" s="285"/>
      <c r="C59" s="286"/>
      <c r="D59" s="286"/>
      <c r="E59" s="294"/>
      <c r="F59" s="286"/>
      <c r="G59" s="294"/>
      <c r="H59" s="294"/>
      <c r="I59" s="286"/>
      <c r="J59" s="289"/>
      <c r="K59" s="407" t="s">
        <v>352</v>
      </c>
      <c r="L59" s="405"/>
      <c r="M59" s="405"/>
      <c r="N59" s="405"/>
      <c r="O59" s="405"/>
      <c r="P59" s="405"/>
      <c r="Q59" s="406"/>
      <c r="R59" s="398"/>
      <c r="S59" s="406"/>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row>
    <row r="60" spans="1:57" s="296" customFormat="1" ht="12.95" customHeight="1" x14ac:dyDescent="0.2">
      <c r="A60" s="284"/>
      <c r="B60" s="285"/>
      <c r="C60" s="286"/>
      <c r="D60" s="290" t="s">
        <v>277</v>
      </c>
      <c r="E60" s="294"/>
      <c r="F60" s="286"/>
      <c r="G60" s="294"/>
      <c r="H60" s="294"/>
      <c r="I60" s="286"/>
      <c r="J60" s="289"/>
      <c r="K60" s="407"/>
      <c r="L60" s="405"/>
      <c r="M60" s="405"/>
      <c r="N60" s="405"/>
      <c r="O60" s="405"/>
      <c r="P60" s="405"/>
      <c r="Q60" s="406"/>
      <c r="R60" s="398"/>
      <c r="S60" s="406"/>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row>
    <row r="61" spans="1:57" s="296" customFormat="1" ht="12.95" customHeight="1" x14ac:dyDescent="0.25">
      <c r="A61" s="284"/>
      <c r="B61" s="285"/>
      <c r="C61" s="286"/>
      <c r="D61" s="306"/>
      <c r="E61" s="294"/>
      <c r="F61" s="286"/>
      <c r="G61" s="294"/>
      <c r="H61" s="294"/>
      <c r="I61" s="286"/>
      <c r="J61" s="289"/>
      <c r="K61" s="413" t="s">
        <v>353</v>
      </c>
      <c r="L61" s="405"/>
      <c r="M61" s="405"/>
      <c r="N61" s="405"/>
      <c r="O61" s="405"/>
      <c r="P61" s="405"/>
      <c r="Q61" s="406"/>
      <c r="R61" s="315"/>
      <c r="S61" s="400"/>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row>
    <row r="62" spans="1:57" s="296" customFormat="1" ht="12.95" customHeight="1" x14ac:dyDescent="0.2">
      <c r="A62" s="284"/>
      <c r="B62" s="285"/>
      <c r="C62" s="286"/>
      <c r="D62" s="286" t="s">
        <v>267</v>
      </c>
      <c r="E62" s="294"/>
      <c r="F62" s="286"/>
      <c r="G62" s="324">
        <f>H62/12</f>
        <v>0</v>
      </c>
      <c r="H62" s="234">
        <v>0</v>
      </c>
      <c r="I62" s="286"/>
      <c r="J62" s="289"/>
      <c r="K62" s="407" t="s">
        <v>354</v>
      </c>
      <c r="L62" s="414"/>
      <c r="M62" s="414"/>
      <c r="N62" s="414"/>
      <c r="O62" s="414"/>
      <c r="P62" s="414"/>
      <c r="Q62" s="415"/>
      <c r="R62" s="315"/>
      <c r="S62" s="400"/>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row>
    <row r="63" spans="1:57" s="296" customFormat="1" ht="12.95" customHeight="1" x14ac:dyDescent="0.2">
      <c r="A63" s="284"/>
      <c r="B63" s="285"/>
      <c r="C63" s="286"/>
      <c r="D63" s="286" t="s">
        <v>268</v>
      </c>
      <c r="E63" s="294"/>
      <c r="F63" s="286"/>
      <c r="G63" s="324">
        <f t="shared" ref="G63:G66" si="2">H63/12</f>
        <v>0</v>
      </c>
      <c r="H63" s="234">
        <v>0</v>
      </c>
      <c r="I63" s="286"/>
      <c r="J63" s="289"/>
      <c r="K63" s="407" t="s">
        <v>364</v>
      </c>
      <c r="L63" s="414"/>
      <c r="M63" s="414"/>
      <c r="N63" s="414"/>
      <c r="O63" s="414"/>
      <c r="P63" s="414"/>
      <c r="Q63" s="415"/>
      <c r="R63" s="366"/>
      <c r="S63" s="267"/>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row>
    <row r="64" spans="1:57" s="296" customFormat="1" ht="12.95" customHeight="1" x14ac:dyDescent="0.2">
      <c r="A64" s="284"/>
      <c r="B64" s="285"/>
      <c r="C64" s="286"/>
      <c r="D64" s="286" t="s">
        <v>274</v>
      </c>
      <c r="E64" s="294"/>
      <c r="F64" s="286"/>
      <c r="G64" s="324">
        <f t="shared" si="2"/>
        <v>0</v>
      </c>
      <c r="H64" s="234">
        <v>0</v>
      </c>
      <c r="I64" s="286"/>
      <c r="J64" s="289"/>
      <c r="K64" s="416" t="s">
        <v>365</v>
      </c>
      <c r="L64" s="417"/>
      <c r="M64" s="417"/>
      <c r="N64" s="417"/>
      <c r="O64" s="417"/>
      <c r="P64" s="417"/>
      <c r="Q64" s="418"/>
      <c r="R64" s="315"/>
      <c r="S64" s="295"/>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row>
    <row r="65" spans="1:57" s="296" customFormat="1" ht="12.95" customHeight="1" x14ac:dyDescent="0.2">
      <c r="A65" s="284"/>
      <c r="B65" s="285"/>
      <c r="C65" s="286"/>
      <c r="D65" s="286" t="s">
        <v>269</v>
      </c>
      <c r="E65" s="294"/>
      <c r="F65" s="286"/>
      <c r="G65" s="324">
        <f t="shared" si="2"/>
        <v>0</v>
      </c>
      <c r="H65" s="234">
        <v>0</v>
      </c>
      <c r="I65" s="286"/>
      <c r="J65" s="289"/>
      <c r="K65" s="315"/>
      <c r="L65" s="363"/>
      <c r="M65" s="363"/>
      <c r="N65" s="363"/>
      <c r="O65" s="363"/>
      <c r="P65" s="364"/>
      <c r="Q65" s="364"/>
      <c r="R65" s="315"/>
      <c r="S65" s="295"/>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row>
    <row r="66" spans="1:57" s="296" customFormat="1" ht="12.95" customHeight="1" x14ac:dyDescent="0.2">
      <c r="A66" s="284"/>
      <c r="B66" s="285"/>
      <c r="C66" s="286"/>
      <c r="D66" s="286" t="s">
        <v>275</v>
      </c>
      <c r="E66" s="294"/>
      <c r="F66" s="286"/>
      <c r="G66" s="324">
        <f t="shared" si="2"/>
        <v>0</v>
      </c>
      <c r="H66" s="234">
        <v>0</v>
      </c>
      <c r="I66" s="286"/>
      <c r="J66" s="289"/>
      <c r="K66" s="315"/>
      <c r="L66" s="363"/>
      <c r="M66" s="363"/>
      <c r="N66" s="363"/>
      <c r="O66" s="363"/>
      <c r="P66" s="364"/>
      <c r="Q66" s="364"/>
      <c r="R66" s="315"/>
      <c r="S66" s="295"/>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row>
    <row r="67" spans="1:57" s="296" customFormat="1" ht="12.95" customHeight="1" x14ac:dyDescent="0.2">
      <c r="A67" s="284"/>
      <c r="B67" s="285"/>
      <c r="C67" s="286"/>
      <c r="D67" s="306" t="s">
        <v>278</v>
      </c>
      <c r="E67" s="312"/>
      <c r="F67" s="306"/>
      <c r="G67" s="357">
        <f>SUM(G62:G66)</f>
        <v>0</v>
      </c>
      <c r="H67" s="357">
        <f>SUM(H62:H66)</f>
        <v>0</v>
      </c>
      <c r="I67" s="286"/>
      <c r="J67" s="289"/>
      <c r="K67" s="315"/>
      <c r="L67" s="363"/>
      <c r="M67" s="363"/>
      <c r="N67" s="363"/>
      <c r="O67" s="363"/>
      <c r="P67" s="364"/>
      <c r="Q67" s="364"/>
      <c r="R67" s="315"/>
      <c r="S67" s="295"/>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row>
    <row r="68" spans="1:57" s="296" customFormat="1" ht="12.95" customHeight="1" x14ac:dyDescent="0.2">
      <c r="A68" s="284"/>
      <c r="B68" s="285"/>
      <c r="C68" s="286"/>
      <c r="D68" s="286"/>
      <c r="E68" s="294"/>
      <c r="F68" s="286"/>
      <c r="G68" s="294"/>
      <c r="H68" s="294"/>
      <c r="I68" s="286"/>
      <c r="J68" s="289"/>
      <c r="K68" s="315"/>
      <c r="L68" s="363"/>
      <c r="M68" s="363"/>
      <c r="N68" s="363"/>
      <c r="O68" s="363"/>
      <c r="P68" s="364"/>
      <c r="Q68" s="364"/>
      <c r="R68" s="315"/>
      <c r="S68" s="295"/>
      <c r="T68" s="284"/>
      <c r="U68" s="284"/>
      <c r="V68" s="321"/>
      <c r="W68" s="284"/>
      <c r="X68" s="284"/>
      <c r="Y68" s="192"/>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row>
    <row r="69" spans="1:57" s="296" customFormat="1" ht="12.95" customHeight="1" x14ac:dyDescent="0.2">
      <c r="A69" s="284"/>
      <c r="B69" s="285"/>
      <c r="C69" s="286"/>
      <c r="D69" s="327" t="s">
        <v>207</v>
      </c>
      <c r="E69" s="362"/>
      <c r="F69" s="327"/>
      <c r="G69" s="345">
        <f>G53+G58+G67</f>
        <v>1832.6971161949334</v>
      </c>
      <c r="H69" s="345">
        <f>H53+H58+H67</f>
        <v>21992.365394339198</v>
      </c>
      <c r="I69" s="286"/>
      <c r="J69" s="289"/>
      <c r="K69" s="315"/>
      <c r="L69" s="363"/>
      <c r="M69" s="363"/>
      <c r="N69" s="363"/>
      <c r="O69" s="363"/>
      <c r="P69" s="364"/>
      <c r="Q69" s="364"/>
      <c r="R69" s="315"/>
      <c r="S69" s="295"/>
      <c r="T69" s="284"/>
      <c r="U69" s="284"/>
      <c r="V69" s="321"/>
      <c r="W69" s="284"/>
      <c r="X69" s="284"/>
      <c r="Y69" s="192"/>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row>
    <row r="70" spans="1:57" s="296" customFormat="1" ht="12.95" customHeight="1" thickBot="1" x14ac:dyDescent="0.25">
      <c r="A70" s="284"/>
      <c r="B70" s="285"/>
      <c r="C70" s="286"/>
      <c r="D70" s="346"/>
      <c r="E70" s="347"/>
      <c r="F70" s="346"/>
      <c r="G70" s="347"/>
      <c r="H70" s="347"/>
      <c r="I70" s="286"/>
      <c r="J70" s="289"/>
      <c r="K70" s="315"/>
      <c r="L70" s="363"/>
      <c r="M70" s="363"/>
      <c r="N70" s="363"/>
      <c r="O70" s="363"/>
      <c r="P70" s="364"/>
      <c r="Q70" s="364"/>
      <c r="R70" s="315"/>
      <c r="S70" s="295"/>
      <c r="T70" s="284"/>
      <c r="U70" s="284"/>
      <c r="V70" s="321"/>
      <c r="W70" s="284"/>
      <c r="X70" s="284"/>
      <c r="Y70" s="192"/>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row>
    <row r="71" spans="1:57" s="296" customFormat="1" ht="12.95" customHeight="1" thickTop="1" x14ac:dyDescent="0.2">
      <c r="A71" s="284"/>
      <c r="B71" s="285"/>
      <c r="C71" s="286"/>
      <c r="D71" s="349"/>
      <c r="E71" s="334"/>
      <c r="F71" s="349"/>
      <c r="G71" s="334"/>
      <c r="H71" s="334"/>
      <c r="I71" s="349"/>
      <c r="J71" s="289"/>
      <c r="K71" s="315"/>
      <c r="L71" s="363"/>
      <c r="M71" s="363"/>
      <c r="N71" s="363"/>
      <c r="O71" s="363"/>
      <c r="P71" s="364"/>
      <c r="Q71" s="364"/>
      <c r="R71" s="315"/>
      <c r="S71" s="295"/>
      <c r="T71" s="284"/>
      <c r="U71" s="284"/>
      <c r="V71" s="321"/>
      <c r="W71" s="284"/>
      <c r="X71" s="284"/>
      <c r="Y71" s="192"/>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row>
    <row r="72" spans="1:57" ht="12.95" customHeight="1" x14ac:dyDescent="0.2">
      <c r="B72" s="264"/>
      <c r="C72" s="298"/>
      <c r="D72" s="297" t="s">
        <v>297</v>
      </c>
      <c r="E72" s="365"/>
      <c r="F72" s="297"/>
      <c r="G72" s="351">
        <f>G40+G69</f>
        <v>7174.1757828616001</v>
      </c>
      <c r="H72" s="351">
        <f>H40+H69</f>
        <v>86090.109394339204</v>
      </c>
      <c r="I72" s="298"/>
      <c r="J72" s="265"/>
      <c r="K72" s="315"/>
      <c r="L72" s="363"/>
      <c r="M72" s="363"/>
      <c r="N72" s="363"/>
      <c r="O72" s="363"/>
      <c r="P72" s="364"/>
      <c r="Q72" s="364"/>
      <c r="R72" s="315"/>
      <c r="S72" s="295"/>
    </row>
    <row r="73" spans="1:57" s="296" customFormat="1" ht="12.95" customHeight="1" x14ac:dyDescent="0.2">
      <c r="A73" s="284"/>
      <c r="B73" s="285"/>
      <c r="C73" s="286"/>
      <c r="D73" s="286"/>
      <c r="E73" s="294"/>
      <c r="F73" s="286"/>
      <c r="G73" s="294"/>
      <c r="H73" s="294"/>
      <c r="I73" s="286"/>
      <c r="J73" s="289"/>
      <c r="K73" s="315"/>
      <c r="L73" s="363"/>
      <c r="M73" s="363"/>
      <c r="N73" s="363"/>
      <c r="O73" s="363"/>
      <c r="P73" s="364"/>
      <c r="Q73" s="364"/>
      <c r="R73" s="315"/>
      <c r="S73" s="295"/>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row>
    <row r="74" spans="1:57" s="296" customFormat="1" ht="12.95" customHeight="1" x14ac:dyDescent="0.2">
      <c r="A74" s="284"/>
      <c r="B74" s="285"/>
      <c r="C74" s="284"/>
      <c r="D74" s="284"/>
      <c r="E74" s="302"/>
      <c r="F74" s="284"/>
      <c r="G74" s="302"/>
      <c r="H74" s="302"/>
      <c r="I74" s="284"/>
      <c r="J74" s="289"/>
      <c r="K74" s="315"/>
      <c r="L74" s="363"/>
      <c r="M74" s="363"/>
      <c r="N74" s="363"/>
      <c r="O74" s="363"/>
      <c r="P74" s="364"/>
      <c r="Q74" s="364"/>
      <c r="R74" s="315"/>
      <c r="S74" s="295"/>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row>
    <row r="75" spans="1:57" s="296" customFormat="1" ht="12.95" customHeight="1" x14ac:dyDescent="0.2">
      <c r="A75" s="284"/>
      <c r="B75" s="285"/>
      <c r="C75" s="284"/>
      <c r="D75" s="284"/>
      <c r="E75" s="302"/>
      <c r="F75" s="284"/>
      <c r="G75" s="302"/>
      <c r="H75" s="302"/>
      <c r="I75" s="284"/>
      <c r="J75" s="289"/>
      <c r="K75" s="315"/>
      <c r="L75" s="363"/>
      <c r="M75" s="363"/>
      <c r="N75" s="363"/>
      <c r="O75" s="363"/>
      <c r="P75" s="364"/>
      <c r="Q75" s="364"/>
      <c r="R75" s="315"/>
      <c r="S75" s="295"/>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row>
    <row r="76" spans="1:57" s="296" customFormat="1" ht="12.95" customHeight="1" x14ac:dyDescent="0.2">
      <c r="A76" s="284"/>
      <c r="B76" s="285"/>
      <c r="C76" s="265"/>
      <c r="D76" s="265"/>
      <c r="E76" s="266"/>
      <c r="F76" s="265"/>
      <c r="G76" s="266"/>
      <c r="H76" s="266"/>
      <c r="I76" s="265"/>
      <c r="J76" s="289"/>
      <c r="K76" s="315"/>
      <c r="L76" s="363"/>
      <c r="M76" s="363"/>
      <c r="N76" s="363"/>
      <c r="O76" s="363"/>
      <c r="P76" s="364"/>
      <c r="Q76" s="364"/>
      <c r="R76" s="315"/>
      <c r="S76" s="295"/>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row>
    <row r="77" spans="1:57" s="257" customFormat="1" ht="12.95" customHeight="1" x14ac:dyDescent="0.2">
      <c r="B77" s="367"/>
      <c r="C77" s="368"/>
      <c r="D77" s="368"/>
      <c r="E77" s="369"/>
      <c r="F77" s="368"/>
      <c r="G77" s="370"/>
      <c r="H77" s="370"/>
      <c r="I77" s="368"/>
      <c r="J77" s="371"/>
      <c r="K77" s="372"/>
      <c r="L77" s="372"/>
      <c r="M77" s="372"/>
      <c r="N77" s="372"/>
      <c r="O77" s="372"/>
      <c r="P77" s="373"/>
      <c r="Q77" s="373"/>
      <c r="R77" s="372"/>
      <c r="S77" s="374"/>
    </row>
    <row r="78" spans="1:57" s="257" customFormat="1" ht="13.5" customHeight="1" x14ac:dyDescent="0.2">
      <c r="E78" s="258"/>
      <c r="G78" s="258"/>
      <c r="H78" s="258"/>
      <c r="P78" s="258"/>
      <c r="Q78" s="258"/>
    </row>
    <row r="79" spans="1:57" s="257" customFormat="1" ht="13.5" customHeight="1" x14ac:dyDescent="0.2">
      <c r="E79" s="258"/>
      <c r="G79" s="258"/>
      <c r="H79" s="258"/>
      <c r="P79" s="258"/>
      <c r="Q79" s="258"/>
    </row>
    <row r="80" spans="1:57" s="257" customFormat="1" ht="13.5" customHeight="1" x14ac:dyDescent="0.2">
      <c r="E80" s="258"/>
      <c r="G80" s="258"/>
      <c r="H80" s="258"/>
      <c r="P80" s="258"/>
      <c r="Q80" s="258"/>
    </row>
    <row r="81" spans="4:21" s="257" customFormat="1" ht="13.5" customHeight="1" x14ac:dyDescent="0.2">
      <c r="E81" s="258"/>
      <c r="G81" s="258"/>
      <c r="H81" s="258"/>
      <c r="P81" s="258"/>
      <c r="Q81" s="258"/>
    </row>
    <row r="82" spans="4:21" s="257" customFormat="1" ht="13.5" customHeight="1" x14ac:dyDescent="0.2">
      <c r="E82" s="258"/>
      <c r="G82" s="258"/>
      <c r="H82" s="258"/>
      <c r="P82" s="258"/>
      <c r="Q82" s="258"/>
    </row>
    <row r="83" spans="4:21" s="257" customFormat="1" ht="13.5" customHeight="1" x14ac:dyDescent="0.2">
      <c r="D83" s="375" t="s">
        <v>366</v>
      </c>
      <c r="E83" s="376"/>
      <c r="F83" s="375"/>
      <c r="G83" s="377"/>
      <c r="H83" s="378">
        <f>H72/H40-1</f>
        <v>0.34310669957961704</v>
      </c>
      <c r="P83" s="379"/>
      <c r="Q83" s="379"/>
      <c r="U83" s="380" t="s">
        <v>9</v>
      </c>
    </row>
    <row r="84" spans="4:21" s="257" customFormat="1" ht="13.5" customHeight="1" x14ac:dyDescent="0.2">
      <c r="D84" s="375" t="s">
        <v>367</v>
      </c>
      <c r="E84" s="375"/>
      <c r="F84" s="375"/>
      <c r="G84" s="376"/>
      <c r="H84" s="378">
        <f>(H72-H67)/H40-1</f>
        <v>0.34310669957961704</v>
      </c>
      <c r="P84" s="258"/>
      <c r="Q84" s="258"/>
      <c r="U84" s="380" t="s">
        <v>10</v>
      </c>
    </row>
    <row r="85" spans="4:21" s="257" customFormat="1" ht="13.5" customHeight="1" x14ac:dyDescent="0.2">
      <c r="P85" s="258"/>
      <c r="Q85" s="258"/>
      <c r="U85" s="380" t="s">
        <v>11</v>
      </c>
    </row>
    <row r="86" spans="4:21" s="257" customFormat="1" ht="13.5" customHeight="1" x14ac:dyDescent="0.2">
      <c r="E86" s="258"/>
      <c r="G86" s="258"/>
      <c r="H86" s="258"/>
      <c r="P86" s="258"/>
      <c r="Q86" s="258"/>
      <c r="U86" s="380" t="s">
        <v>12</v>
      </c>
    </row>
    <row r="87" spans="4:21" s="257" customFormat="1" ht="13.5" customHeight="1" x14ac:dyDescent="0.2">
      <c r="E87" s="258"/>
      <c r="G87" s="258"/>
      <c r="H87" s="258"/>
      <c r="P87" s="258"/>
      <c r="Q87" s="258"/>
      <c r="U87" s="380" t="s">
        <v>2</v>
      </c>
    </row>
    <row r="88" spans="4:21" s="257" customFormat="1" ht="13.5" customHeight="1" x14ac:dyDescent="0.2">
      <c r="E88" s="258"/>
      <c r="G88" s="258"/>
      <c r="H88" s="258"/>
      <c r="P88" s="258"/>
      <c r="Q88" s="258"/>
      <c r="U88" s="380" t="s">
        <v>3</v>
      </c>
    </row>
    <row r="89" spans="4:21" s="257" customFormat="1" ht="13.5" customHeight="1" x14ac:dyDescent="0.2">
      <c r="E89" s="258"/>
      <c r="G89" s="258"/>
      <c r="H89" s="258"/>
      <c r="P89" s="258"/>
      <c r="Q89" s="258"/>
      <c r="U89" s="380" t="s">
        <v>4</v>
      </c>
    </row>
    <row r="90" spans="4:21" s="257" customFormat="1" ht="13.5" customHeight="1" x14ac:dyDescent="0.2">
      <c r="E90" s="258"/>
      <c r="G90" s="258"/>
      <c r="H90" s="258"/>
      <c r="P90" s="258"/>
      <c r="Q90" s="258"/>
      <c r="U90" s="380" t="s">
        <v>5</v>
      </c>
    </row>
    <row r="91" spans="4:21" s="257" customFormat="1" ht="13.5" customHeight="1" x14ac:dyDescent="0.2">
      <c r="E91" s="258"/>
      <c r="G91" s="258"/>
      <c r="H91" s="258"/>
      <c r="P91" s="258"/>
      <c r="Q91" s="258"/>
      <c r="U91" s="380" t="s">
        <v>6</v>
      </c>
    </row>
    <row r="92" spans="4:21" s="257" customFormat="1" ht="13.5" customHeight="1" x14ac:dyDescent="0.2">
      <c r="E92" s="258"/>
      <c r="G92" s="258"/>
      <c r="H92" s="258"/>
      <c r="P92" s="258"/>
      <c r="Q92" s="258"/>
      <c r="U92" s="380" t="s">
        <v>7</v>
      </c>
    </row>
    <row r="93" spans="4:21" s="257" customFormat="1" ht="13.5" customHeight="1" x14ac:dyDescent="0.2">
      <c r="E93" s="258"/>
      <c r="G93" s="258"/>
      <c r="H93" s="258"/>
      <c r="P93" s="258"/>
      <c r="Q93" s="258"/>
      <c r="U93" s="380" t="s">
        <v>8</v>
      </c>
    </row>
    <row r="94" spans="4:21" s="257" customFormat="1" ht="13.5" customHeight="1" x14ac:dyDescent="0.2">
      <c r="E94" s="258"/>
      <c r="G94" s="258"/>
      <c r="H94" s="258"/>
      <c r="P94" s="258"/>
      <c r="Q94" s="258"/>
      <c r="U94" s="381" t="s">
        <v>52</v>
      </c>
    </row>
    <row r="95" spans="4:21" s="257" customFormat="1" ht="13.5" customHeight="1" x14ac:dyDescent="0.2">
      <c r="E95" s="258"/>
      <c r="G95" s="258"/>
      <c r="H95" s="258"/>
      <c r="P95" s="258"/>
      <c r="Q95" s="258"/>
      <c r="U95" s="381" t="s">
        <v>53</v>
      </c>
    </row>
    <row r="96" spans="4:21" s="257" customFormat="1" ht="13.5" customHeight="1" x14ac:dyDescent="0.2">
      <c r="E96" s="258"/>
      <c r="G96" s="258"/>
      <c r="H96" s="258"/>
      <c r="P96" s="258"/>
      <c r="Q96" s="258"/>
      <c r="U96" s="381" t="s">
        <v>54</v>
      </c>
    </row>
    <row r="97" spans="5:23" s="257" customFormat="1" ht="13.5" customHeight="1" x14ac:dyDescent="0.2">
      <c r="E97" s="258"/>
      <c r="G97" s="258"/>
      <c r="H97" s="258"/>
      <c r="P97" s="258"/>
      <c r="Q97" s="258"/>
      <c r="U97" s="380" t="s">
        <v>174</v>
      </c>
    </row>
    <row r="98" spans="5:23" s="257" customFormat="1" ht="13.5" customHeight="1" x14ac:dyDescent="0.2">
      <c r="E98" s="258"/>
      <c r="G98" s="258"/>
      <c r="H98" s="258"/>
      <c r="P98" s="258"/>
      <c r="Q98" s="258"/>
      <c r="U98" s="380" t="s">
        <v>175</v>
      </c>
    </row>
    <row r="99" spans="5:23" s="257" customFormat="1" ht="13.5" customHeight="1" x14ac:dyDescent="0.2">
      <c r="E99" s="258"/>
      <c r="G99" s="258"/>
      <c r="H99" s="258"/>
      <c r="P99" s="258"/>
      <c r="Q99" s="258"/>
      <c r="U99" s="380" t="s">
        <v>176</v>
      </c>
    </row>
    <row r="100" spans="5:23" s="257" customFormat="1" ht="13.5" customHeight="1" x14ac:dyDescent="0.2">
      <c r="E100" s="258"/>
      <c r="G100" s="258"/>
      <c r="H100" s="258"/>
      <c r="P100" s="258"/>
      <c r="Q100" s="258"/>
      <c r="U100" s="380" t="s">
        <v>177</v>
      </c>
    </row>
    <row r="101" spans="5:23" s="257" customFormat="1" ht="13.5" customHeight="1" x14ac:dyDescent="0.2">
      <c r="E101" s="258"/>
      <c r="G101" s="258"/>
      <c r="H101" s="258"/>
      <c r="P101" s="258"/>
      <c r="Q101" s="258"/>
      <c r="U101" s="380" t="s">
        <v>178</v>
      </c>
    </row>
    <row r="102" spans="5:23" s="257" customFormat="1" ht="13.5" customHeight="1" x14ac:dyDescent="0.2">
      <c r="E102" s="258"/>
      <c r="G102" s="258"/>
      <c r="H102" s="258"/>
      <c r="P102" s="258"/>
      <c r="Q102" s="258"/>
      <c r="U102" s="381" t="s">
        <v>13</v>
      </c>
    </row>
    <row r="103" spans="5:23" s="257" customFormat="1" ht="13.5" customHeight="1" x14ac:dyDescent="0.2">
      <c r="E103" s="258"/>
      <c r="G103" s="258"/>
      <c r="H103" s="258"/>
      <c r="P103" s="258"/>
      <c r="Q103" s="258"/>
      <c r="U103" s="381" t="s">
        <v>14</v>
      </c>
    </row>
    <row r="104" spans="5:23" s="257" customFormat="1" ht="13.5" customHeight="1" x14ac:dyDescent="0.2">
      <c r="E104" s="258"/>
      <c r="G104" s="258"/>
      <c r="H104" s="258"/>
      <c r="P104" s="258"/>
      <c r="Q104" s="258"/>
      <c r="U104" s="381" t="s">
        <v>51</v>
      </c>
    </row>
    <row r="105" spans="5:23" s="257" customFormat="1" ht="13.5" customHeight="1" x14ac:dyDescent="0.2">
      <c r="E105" s="258"/>
      <c r="G105" s="258"/>
      <c r="H105" s="258"/>
      <c r="P105" s="258"/>
      <c r="Q105" s="258"/>
      <c r="U105" s="381" t="s">
        <v>47</v>
      </c>
    </row>
    <row r="106" spans="5:23" s="257" customFormat="1" ht="13.5" customHeight="1" x14ac:dyDescent="0.2">
      <c r="E106" s="258"/>
      <c r="G106" s="258"/>
      <c r="H106" s="258"/>
      <c r="P106" s="258"/>
      <c r="Q106" s="258"/>
      <c r="U106" s="381" t="s">
        <v>48</v>
      </c>
    </row>
    <row r="107" spans="5:23" s="257" customFormat="1" ht="13.5" customHeight="1" x14ac:dyDescent="0.2">
      <c r="E107" s="258"/>
      <c r="G107" s="258"/>
      <c r="H107" s="258"/>
      <c r="P107" s="258"/>
      <c r="Q107" s="258"/>
      <c r="U107" s="381" t="s">
        <v>49</v>
      </c>
    </row>
    <row r="108" spans="5:23" s="257" customFormat="1" ht="13.5" customHeight="1" x14ac:dyDescent="0.2">
      <c r="E108" s="258"/>
      <c r="G108" s="258"/>
      <c r="H108" s="258"/>
      <c r="P108" s="258"/>
      <c r="Q108" s="258"/>
      <c r="U108" s="381" t="s">
        <v>50</v>
      </c>
    </row>
    <row r="109" spans="5:23" s="257" customFormat="1" ht="13.5" customHeight="1" x14ac:dyDescent="0.2">
      <c r="E109" s="258"/>
      <c r="G109" s="258"/>
      <c r="H109" s="258"/>
      <c r="P109" s="258"/>
      <c r="Q109" s="258"/>
      <c r="U109" s="381">
        <v>1</v>
      </c>
      <c r="W109" s="375"/>
    </row>
    <row r="110" spans="5:23" s="257" customFormat="1" ht="13.5" customHeight="1" x14ac:dyDescent="0.2">
      <c r="E110" s="258"/>
      <c r="G110" s="258"/>
      <c r="H110" s="258"/>
      <c r="P110" s="258"/>
      <c r="Q110" s="258"/>
      <c r="U110" s="381">
        <v>2</v>
      </c>
      <c r="W110" s="375"/>
    </row>
    <row r="111" spans="5:23" s="257" customFormat="1" ht="13.5" customHeight="1" x14ac:dyDescent="0.2">
      <c r="E111" s="258"/>
      <c r="G111" s="258"/>
      <c r="H111" s="258"/>
      <c r="P111" s="258"/>
      <c r="Q111" s="258"/>
      <c r="U111" s="381">
        <v>3</v>
      </c>
      <c r="W111" s="375"/>
    </row>
    <row r="112" spans="5:23" s="257" customFormat="1" ht="13.5" customHeight="1" x14ac:dyDescent="0.2">
      <c r="E112" s="258"/>
      <c r="G112" s="258"/>
      <c r="H112" s="258"/>
      <c r="P112" s="258"/>
      <c r="Q112" s="258"/>
      <c r="U112" s="381">
        <v>4</v>
      </c>
      <c r="W112" s="375"/>
    </row>
    <row r="113" spans="2:23" s="257" customFormat="1" ht="13.5" customHeight="1" x14ac:dyDescent="0.2">
      <c r="E113" s="258"/>
      <c r="G113" s="258"/>
      <c r="H113" s="258"/>
      <c r="P113" s="258"/>
      <c r="Q113" s="258"/>
      <c r="U113" s="381">
        <v>5</v>
      </c>
      <c r="W113" s="375"/>
    </row>
    <row r="114" spans="2:23" s="257" customFormat="1" ht="13.5" customHeight="1" x14ac:dyDescent="0.2">
      <c r="E114" s="258"/>
      <c r="G114" s="258"/>
      <c r="H114" s="258"/>
      <c r="P114" s="258"/>
      <c r="Q114" s="258"/>
      <c r="U114" s="381">
        <v>6</v>
      </c>
      <c r="W114" s="375"/>
    </row>
    <row r="115" spans="2:23" s="257" customFormat="1" ht="13.5" customHeight="1" x14ac:dyDescent="0.2">
      <c r="E115" s="258"/>
      <c r="G115" s="258"/>
      <c r="H115" s="258"/>
      <c r="P115" s="258"/>
      <c r="Q115" s="258"/>
      <c r="U115" s="381">
        <v>7</v>
      </c>
      <c r="W115" s="375"/>
    </row>
    <row r="116" spans="2:23" s="257" customFormat="1" ht="13.5" customHeight="1" x14ac:dyDescent="0.2">
      <c r="E116" s="258"/>
      <c r="G116" s="258"/>
      <c r="H116" s="258"/>
      <c r="P116" s="258"/>
      <c r="Q116" s="258"/>
      <c r="U116" s="381">
        <v>8</v>
      </c>
      <c r="W116" s="375"/>
    </row>
    <row r="117" spans="2:23" s="257" customFormat="1" ht="13.5" customHeight="1" x14ac:dyDescent="0.2">
      <c r="E117" s="258"/>
      <c r="G117" s="258"/>
      <c r="H117" s="258"/>
      <c r="P117" s="258"/>
      <c r="Q117" s="258"/>
      <c r="U117" s="381">
        <v>9</v>
      </c>
      <c r="W117" s="375"/>
    </row>
    <row r="118" spans="2:23" s="257" customFormat="1" ht="13.5" customHeight="1" x14ac:dyDescent="0.2">
      <c r="E118" s="258"/>
      <c r="G118" s="258"/>
      <c r="H118" s="258"/>
      <c r="P118" s="258"/>
      <c r="Q118" s="258"/>
      <c r="U118" s="381">
        <v>10</v>
      </c>
      <c r="W118" s="375"/>
    </row>
    <row r="119" spans="2:23" s="257" customFormat="1" ht="13.5" customHeight="1" x14ac:dyDescent="0.2">
      <c r="E119" s="258"/>
      <c r="G119" s="258"/>
      <c r="H119" s="258"/>
      <c r="P119" s="258"/>
      <c r="Q119" s="258"/>
      <c r="U119" s="381">
        <v>11</v>
      </c>
      <c r="W119" s="375"/>
    </row>
    <row r="120" spans="2:23" s="257" customFormat="1" ht="13.5" customHeight="1" x14ac:dyDescent="0.2">
      <c r="E120" s="258"/>
      <c r="G120" s="258"/>
      <c r="H120" s="258"/>
      <c r="P120" s="258"/>
      <c r="Q120" s="258"/>
      <c r="U120" s="381">
        <v>12</v>
      </c>
      <c r="W120" s="375"/>
    </row>
    <row r="121" spans="2:23" s="257" customFormat="1" ht="13.5" customHeight="1" x14ac:dyDescent="0.2">
      <c r="E121" s="258"/>
      <c r="G121" s="258"/>
      <c r="H121" s="258"/>
      <c r="P121" s="258"/>
      <c r="Q121" s="258"/>
      <c r="U121" s="381">
        <v>13</v>
      </c>
      <c r="W121" s="375"/>
    </row>
    <row r="122" spans="2:23" s="257" customFormat="1" ht="13.5" customHeight="1" x14ac:dyDescent="0.2">
      <c r="E122" s="258"/>
      <c r="G122" s="258"/>
      <c r="H122" s="258"/>
      <c r="P122" s="258"/>
      <c r="Q122" s="258"/>
      <c r="U122" s="381">
        <v>14</v>
      </c>
      <c r="W122" s="375"/>
    </row>
    <row r="123" spans="2:23" s="257" customFormat="1" ht="13.5" customHeight="1" x14ac:dyDescent="0.2">
      <c r="E123" s="258"/>
      <c r="G123" s="258"/>
      <c r="H123" s="258"/>
      <c r="P123" s="258"/>
      <c r="Q123" s="258"/>
      <c r="U123" s="381">
        <v>15</v>
      </c>
      <c r="W123" s="375"/>
    </row>
    <row r="124" spans="2:23" s="257" customFormat="1" ht="13.5" customHeight="1" x14ac:dyDescent="0.2">
      <c r="E124" s="258"/>
      <c r="G124" s="258"/>
      <c r="H124" s="258"/>
      <c r="P124" s="258"/>
      <c r="Q124" s="258"/>
      <c r="U124" s="381">
        <v>16</v>
      </c>
      <c r="W124" s="375"/>
    </row>
    <row r="125" spans="2:23" s="257" customFormat="1" ht="13.5" customHeight="1" x14ac:dyDescent="0.2">
      <c r="E125" s="258"/>
      <c r="G125" s="258"/>
      <c r="H125" s="258"/>
      <c r="P125" s="258"/>
      <c r="Q125" s="258"/>
      <c r="U125" s="382"/>
    </row>
    <row r="126" spans="2:23" s="257" customFormat="1" ht="13.5" customHeight="1" x14ac:dyDescent="0.2">
      <c r="E126" s="258"/>
      <c r="G126" s="258"/>
      <c r="H126" s="258"/>
      <c r="P126" s="258"/>
      <c r="Q126" s="258"/>
      <c r="U126" s="382"/>
    </row>
    <row r="127" spans="2:23" s="257" customFormat="1" ht="13.5" customHeight="1" x14ac:dyDescent="0.2">
      <c r="E127" s="258"/>
      <c r="G127" s="258"/>
      <c r="H127" s="258"/>
      <c r="P127" s="258"/>
      <c r="Q127" s="258"/>
    </row>
    <row r="128" spans="2:23" ht="13.5" customHeight="1" x14ac:dyDescent="0.2">
      <c r="B128" s="257"/>
      <c r="C128" s="257"/>
      <c r="D128" s="257"/>
      <c r="E128" s="258"/>
      <c r="F128" s="257"/>
      <c r="G128" s="258"/>
      <c r="H128" s="258"/>
      <c r="I128" s="257"/>
      <c r="J128" s="257"/>
      <c r="K128" s="257"/>
      <c r="L128" s="257"/>
      <c r="M128" s="257"/>
      <c r="N128" s="257"/>
      <c r="O128" s="257"/>
      <c r="P128" s="258"/>
      <c r="Q128" s="258"/>
      <c r="R128" s="257"/>
      <c r="S128" s="257"/>
    </row>
  </sheetData>
  <sheetProtection algorithmName="SHA-512" hashValue="f/9D6YAShEp6gg+JKD3s9JFmZqdNKk3h7ELvwxS5X8YXLFd0jJ9sUc/qec6lkj3IH7tYtjtngAqcDrIuMpWVWQ==" saltValue="NC8vu/A+8EaG/4uCql7DWw==" spinCount="100000" sheet="1" objects="1" scenarios="1"/>
  <phoneticPr fontId="0" type="noConversion"/>
  <dataValidations count="4">
    <dataValidation type="list" allowBlank="1" showInputMessage="1" showErrorMessage="1" sqref="F55">
      <formula1>"1,2,3"</formula1>
    </dataValidation>
    <dataValidation type="list" allowBlank="1" showInputMessage="1" showErrorMessage="1" sqref="G20">
      <formula1>$U$79:$U$124</formula1>
    </dataValidation>
    <dataValidation type="list" allowBlank="1" showInputMessage="1" showErrorMessage="1" sqref="E55">
      <formula1>"1,2,3,4,5,6,7,8"</formula1>
    </dataValidation>
    <dataValidation type="list" allowBlank="1" showInputMessage="1" showErrorMessage="1" sqref="E31">
      <formula1>"ja,nee"</formula1>
    </dataValidation>
  </dataValidations>
  <printOptions gridLines="1"/>
  <pageMargins left="0.74803149606299213" right="0.74803149606299213" top="0.98425196850393704" bottom="0.98425196850393704" header="0.51181102362204722" footer="0.51181102362204722"/>
  <pageSetup paperSize="9" scale="60" orientation="portrait" r:id="rId1"/>
  <headerFooter alignWithMargins="0">
    <oddHeader>&amp;L&amp;"Arial,Vet"&amp;A&amp;R&amp;"Arial,Vet"&amp;F</oddHeader>
    <oddFooter>&amp;L&amp;"Arial,Vet"PO-Raad&amp;R&amp;"Arial,Vet"&amp;P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8"/>
  <sheetViews>
    <sheetView workbookViewId="0">
      <selection activeCell="J11" sqref="J11"/>
    </sheetView>
  </sheetViews>
  <sheetFormatPr defaultRowHeight="12.75" x14ac:dyDescent="0.2"/>
  <cols>
    <col min="2" max="10" width="12" customWidth="1"/>
  </cols>
  <sheetData>
    <row r="3" spans="2:7" ht="15" x14ac:dyDescent="0.2">
      <c r="B3" s="384" t="s">
        <v>310</v>
      </c>
      <c r="C3" s="385"/>
      <c r="D3" s="385"/>
      <c r="E3" s="385"/>
      <c r="F3" s="385"/>
      <c r="G3" s="385"/>
    </row>
    <row r="4" spans="2:7" ht="15" x14ac:dyDescent="0.2">
      <c r="B4" s="386" t="s">
        <v>311</v>
      </c>
      <c r="C4" s="385"/>
      <c r="D4" s="385"/>
      <c r="E4" s="385"/>
      <c r="F4" s="385"/>
      <c r="G4" s="385"/>
    </row>
    <row r="5" spans="2:7" ht="15" x14ac:dyDescent="0.2">
      <c r="B5" s="386" t="s">
        <v>312</v>
      </c>
      <c r="C5" s="385"/>
      <c r="D5" s="385"/>
      <c r="E5" s="385"/>
      <c r="F5" s="385"/>
      <c r="G5" s="385"/>
    </row>
    <row r="6" spans="2:7" ht="15" x14ac:dyDescent="0.2">
      <c r="B6" s="386" t="s">
        <v>313</v>
      </c>
      <c r="C6" s="385"/>
      <c r="D6" s="385"/>
      <c r="E6" s="385"/>
      <c r="F6" s="385"/>
      <c r="G6" s="385"/>
    </row>
    <row r="7" spans="2:7" x14ac:dyDescent="0.2">
      <c r="B7" s="385" t="s">
        <v>314</v>
      </c>
      <c r="C7" s="385"/>
      <c r="D7" s="385"/>
      <c r="E7" s="385"/>
      <c r="F7" s="385"/>
      <c r="G7" s="385"/>
    </row>
    <row r="8" spans="2:7" x14ac:dyDescent="0.2">
      <c r="B8" s="385" t="s">
        <v>315</v>
      </c>
      <c r="C8" s="385"/>
      <c r="D8" s="385"/>
      <c r="E8" s="385"/>
      <c r="F8" s="385"/>
      <c r="G8" s="385"/>
    </row>
    <row r="9" spans="2:7" ht="15" x14ac:dyDescent="0.2">
      <c r="B9" s="384" t="s">
        <v>316</v>
      </c>
      <c r="C9" s="385"/>
      <c r="D9" s="385"/>
      <c r="E9" s="385"/>
      <c r="F9" s="385"/>
      <c r="G9" s="385"/>
    </row>
    <row r="10" spans="2:7" ht="15" x14ac:dyDescent="0.2">
      <c r="B10" s="387" t="s">
        <v>317</v>
      </c>
      <c r="C10" s="385"/>
      <c r="D10" s="385"/>
      <c r="E10" s="385"/>
      <c r="F10" s="385"/>
      <c r="G10" s="385"/>
    </row>
    <row r="11" spans="2:7" ht="15" x14ac:dyDescent="0.2">
      <c r="B11" s="387" t="s">
        <v>318</v>
      </c>
      <c r="C11" s="385"/>
      <c r="D11" s="385"/>
      <c r="E11" s="385"/>
      <c r="F11" s="385"/>
      <c r="G11" s="385"/>
    </row>
    <row r="12" spans="2:7" ht="15" x14ac:dyDescent="0.2">
      <c r="B12" s="387" t="s">
        <v>319</v>
      </c>
      <c r="C12" s="385"/>
      <c r="D12" s="385"/>
      <c r="E12" s="385"/>
      <c r="F12" s="385"/>
      <c r="G12" s="385"/>
    </row>
    <row r="13" spans="2:7" ht="15" x14ac:dyDescent="0.2">
      <c r="B13" s="386" t="s">
        <v>320</v>
      </c>
      <c r="C13" s="385"/>
      <c r="D13" s="385"/>
      <c r="E13" s="385"/>
      <c r="F13" s="385"/>
      <c r="G13" s="385"/>
    </row>
    <row r="14" spans="2:7" ht="15" x14ac:dyDescent="0.2">
      <c r="B14" s="386" t="s">
        <v>321</v>
      </c>
      <c r="C14" s="385"/>
      <c r="D14" s="385"/>
      <c r="E14" s="385"/>
      <c r="F14" s="385"/>
      <c r="G14" s="385"/>
    </row>
    <row r="15" spans="2:7" ht="15" x14ac:dyDescent="0.2">
      <c r="B15" s="386" t="s">
        <v>322</v>
      </c>
      <c r="C15" s="385"/>
      <c r="D15" s="385"/>
      <c r="E15" s="385"/>
      <c r="F15" s="385"/>
      <c r="G15" s="385"/>
    </row>
    <row r="16" spans="2:7" ht="15" x14ac:dyDescent="0.2">
      <c r="B16" s="386" t="s">
        <v>323</v>
      </c>
      <c r="C16" s="385"/>
      <c r="D16" s="385"/>
      <c r="E16" s="385"/>
      <c r="F16" s="385"/>
      <c r="G16" s="385"/>
    </row>
    <row r="17" spans="2:7" ht="15" x14ac:dyDescent="0.2">
      <c r="B17" s="386" t="s">
        <v>324</v>
      </c>
      <c r="C17" s="385"/>
      <c r="D17" s="385"/>
      <c r="E17" s="385"/>
      <c r="F17" s="385"/>
      <c r="G17" s="385"/>
    </row>
    <row r="18" spans="2:7" ht="15" x14ac:dyDescent="0.2">
      <c r="B18" s="386" t="s">
        <v>325</v>
      </c>
      <c r="C18" s="385"/>
      <c r="D18" s="385"/>
      <c r="E18" s="385"/>
      <c r="F18" s="385"/>
      <c r="G18" s="385"/>
    </row>
    <row r="19" spans="2:7" ht="15" x14ac:dyDescent="0.2">
      <c r="B19" s="386" t="s">
        <v>326</v>
      </c>
      <c r="C19" s="385"/>
      <c r="D19" s="385"/>
      <c r="E19" s="385"/>
      <c r="F19" s="385"/>
      <c r="G19" s="385"/>
    </row>
    <row r="20" spans="2:7" ht="15" x14ac:dyDescent="0.2">
      <c r="B20" s="387"/>
      <c r="C20" s="385"/>
      <c r="D20" s="385"/>
      <c r="E20" s="385"/>
      <c r="F20" s="385"/>
      <c r="G20" s="385"/>
    </row>
    <row r="21" spans="2:7" ht="17.25" x14ac:dyDescent="0.2">
      <c r="B21" s="388" t="s">
        <v>327</v>
      </c>
      <c r="C21" s="385"/>
      <c r="D21" s="385"/>
      <c r="E21" s="385"/>
      <c r="F21" s="385"/>
      <c r="G21" s="385"/>
    </row>
    <row r="22" spans="2:7" x14ac:dyDescent="0.2">
      <c r="B22" s="385" t="s">
        <v>328</v>
      </c>
      <c r="C22" s="385"/>
      <c r="D22" s="385"/>
      <c r="E22" s="385"/>
      <c r="F22" s="385"/>
      <c r="G22" s="385"/>
    </row>
    <row r="23" spans="2:7" x14ac:dyDescent="0.2">
      <c r="B23" s="385" t="s">
        <v>329</v>
      </c>
      <c r="C23" s="385"/>
      <c r="D23" s="385"/>
      <c r="E23" s="385"/>
      <c r="F23" s="385"/>
      <c r="G23" s="385"/>
    </row>
    <row r="24" spans="2:7" x14ac:dyDescent="0.2">
      <c r="B24" s="385"/>
      <c r="C24" s="385"/>
      <c r="D24" s="385"/>
      <c r="E24" s="385"/>
      <c r="F24" s="385"/>
      <c r="G24" s="385"/>
    </row>
    <row r="25" spans="2:7" ht="15" x14ac:dyDescent="0.25">
      <c r="B25" s="389" t="s">
        <v>330</v>
      </c>
      <c r="C25" s="385"/>
      <c r="D25" s="385"/>
      <c r="E25" s="385"/>
      <c r="F25" s="385"/>
      <c r="G25" s="385"/>
    </row>
    <row r="26" spans="2:7" x14ac:dyDescent="0.2">
      <c r="B26" s="385" t="s">
        <v>331</v>
      </c>
      <c r="C26" s="385"/>
      <c r="D26" s="385"/>
      <c r="E26" s="385"/>
      <c r="F26" s="385"/>
      <c r="G26" s="385"/>
    </row>
    <row r="27" spans="2:7" x14ac:dyDescent="0.2">
      <c r="B27" s="385" t="s">
        <v>332</v>
      </c>
      <c r="C27" s="385"/>
      <c r="D27" s="385"/>
      <c r="E27" s="385"/>
      <c r="F27" s="385"/>
      <c r="G27" s="385"/>
    </row>
    <row r="28" spans="2:7" x14ac:dyDescent="0.2">
      <c r="B28" s="385" t="s">
        <v>333</v>
      </c>
      <c r="C28" s="385"/>
      <c r="D28" s="385"/>
      <c r="E28" s="385"/>
      <c r="F28" s="385"/>
      <c r="G28" s="38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149"/>
  <sheetViews>
    <sheetView zoomScale="85" zoomScaleNormal="85" zoomScaleSheetLayoutView="85" workbookViewId="0">
      <selection activeCell="X12" sqref="X12"/>
    </sheetView>
  </sheetViews>
  <sheetFormatPr defaultColWidth="9.140625" defaultRowHeight="13.5" customHeight="1" x14ac:dyDescent="0.2"/>
  <cols>
    <col min="1" max="1" width="3.5703125" style="30" customWidth="1"/>
    <col min="2" max="2" width="2.5703125" style="9" customWidth="1"/>
    <col min="3" max="3" width="1.5703125" style="9" customWidth="1"/>
    <col min="4" max="4" width="15.5703125" style="20" customWidth="1"/>
    <col min="5" max="5" width="9.5703125" style="9" customWidth="1"/>
    <col min="6" max="8" width="6.5703125" style="9" customWidth="1"/>
    <col min="9" max="9" width="8" style="9" customWidth="1"/>
    <col min="10" max="10" width="8.140625" style="9" customWidth="1"/>
    <col min="11" max="11" width="9.5703125" style="44" customWidth="1"/>
    <col min="12" max="12" width="11.28515625" style="44" customWidth="1"/>
    <col min="13" max="13" width="0.85546875" style="9" customWidth="1"/>
    <col min="14" max="16" width="8.5703125" style="9" customWidth="1"/>
    <col min="17" max="17" width="8.85546875" style="9" customWidth="1"/>
    <col min="18" max="18" width="11.28515625" style="9" customWidth="1"/>
    <col min="19" max="21" width="8.5703125" style="9" customWidth="1"/>
    <col min="22" max="22" width="9.7109375" style="9" customWidth="1"/>
    <col min="23" max="23" width="10.42578125" style="203" customWidth="1"/>
    <col min="24" max="24" width="8.5703125" style="44" customWidth="1"/>
    <col min="25" max="25" width="13.85546875" style="9" customWidth="1"/>
    <col min="26" max="26" width="0.85546875" style="9" customWidth="1"/>
    <col min="27" max="27" width="10.28515625" style="203" customWidth="1"/>
    <col min="28" max="28" width="8.5703125" style="220" customWidth="1"/>
    <col min="29" max="29" width="0.85546875" style="9" customWidth="1"/>
    <col min="30" max="33" width="8.5703125" style="9" customWidth="1"/>
    <col min="34" max="34" width="10.28515625" style="9" customWidth="1"/>
    <col min="35" max="35" width="8.5703125" style="2" customWidth="1"/>
    <col min="36" max="36" width="0.85546875" style="9" customWidth="1"/>
    <col min="37" max="37" width="9.5703125" style="2" customWidth="1"/>
    <col min="38" max="38" width="8.5703125" style="2" customWidth="1"/>
    <col min="39" max="39" width="10.140625" style="28" customWidth="1"/>
    <col min="40" max="40" width="0.85546875" style="9" customWidth="1"/>
    <col min="41" max="41" width="9.5703125" style="9" customWidth="1"/>
    <col min="42" max="42" width="1.140625" style="9" customWidth="1"/>
    <col min="43" max="43" width="10.5703125" style="9" bestFit="1" customWidth="1"/>
    <col min="44" max="44" width="12.5703125" style="9" customWidth="1"/>
    <col min="45" max="45" width="0.85546875" style="9" customWidth="1"/>
    <col min="46" max="46" width="11.140625" style="44" customWidth="1"/>
    <col min="47" max="47" width="13.140625" style="44" customWidth="1"/>
    <col min="48" max="48" width="1.5703125" style="9" customWidth="1"/>
    <col min="49" max="49" width="2.5703125" style="9" customWidth="1"/>
    <col min="50" max="51" width="2.7109375" style="30" customWidth="1"/>
    <col min="52" max="56" width="10.7109375" style="36" customWidth="1"/>
    <col min="57" max="57" width="10.7109375" style="36" hidden="1" customWidth="1"/>
    <col min="58" max="60" width="10.7109375" style="36" customWidth="1"/>
    <col min="61" max="61" width="11" style="36" customWidth="1"/>
    <col min="62" max="66" width="10.7109375" style="36" customWidth="1"/>
    <col min="67" max="67" width="12" style="36" customWidth="1"/>
    <col min="68" max="68" width="11.42578125" style="36" customWidth="1"/>
    <col min="69" max="73" width="10.7109375" style="36" customWidth="1"/>
    <col min="74" max="76" width="10.7109375" style="37" customWidth="1"/>
    <col min="77" max="82" width="14.28515625" style="36" customWidth="1"/>
    <col min="83" max="83" width="14.85546875" style="30" customWidth="1"/>
    <col min="84" max="84" width="14.28515625" style="30" customWidth="1"/>
    <col min="85" max="16384" width="9.140625" style="9"/>
  </cols>
  <sheetData>
    <row r="1" spans="1:84" s="30" customFormat="1" ht="13.5" customHeight="1" x14ac:dyDescent="0.2">
      <c r="D1" s="33"/>
      <c r="K1" s="184"/>
      <c r="L1" s="184"/>
      <c r="W1" s="198"/>
      <c r="X1" s="184"/>
      <c r="AA1" s="198"/>
      <c r="AB1" s="208"/>
      <c r="AI1" s="34"/>
      <c r="AK1" s="34"/>
      <c r="AL1" s="34"/>
      <c r="AM1" s="35"/>
      <c r="AT1" s="184"/>
      <c r="AU1" s="184"/>
      <c r="AZ1" s="36"/>
      <c r="BA1" s="36"/>
      <c r="BB1" s="36"/>
      <c r="BC1" s="36"/>
      <c r="BD1" s="36"/>
      <c r="BE1" s="36"/>
      <c r="BF1" s="36"/>
      <c r="BG1" s="36"/>
      <c r="BH1" s="36"/>
      <c r="BI1" s="36"/>
      <c r="BJ1" s="36"/>
      <c r="BK1" s="36"/>
      <c r="BL1" s="36"/>
      <c r="BM1" s="36"/>
      <c r="BN1" s="36"/>
      <c r="BO1" s="36"/>
      <c r="BP1" s="36"/>
      <c r="BQ1" s="36"/>
      <c r="BR1" s="36"/>
      <c r="BS1" s="36"/>
      <c r="BT1" s="36"/>
      <c r="BU1" s="36"/>
      <c r="BV1" s="37"/>
      <c r="BW1" s="37"/>
      <c r="BX1" s="37"/>
      <c r="BY1" s="36"/>
      <c r="BZ1" s="36"/>
      <c r="CA1" s="36"/>
      <c r="CB1" s="36"/>
      <c r="CC1" s="36"/>
      <c r="CD1" s="36"/>
    </row>
    <row r="2" spans="1:84" ht="12" customHeight="1" x14ac:dyDescent="0.2">
      <c r="B2" s="4"/>
      <c r="C2" s="5"/>
      <c r="D2" s="6"/>
      <c r="E2" s="5"/>
      <c r="F2" s="5"/>
      <c r="G2" s="5"/>
      <c r="H2" s="5"/>
      <c r="I2" s="5"/>
      <c r="J2" s="5"/>
      <c r="K2" s="185"/>
      <c r="L2" s="185"/>
      <c r="M2" s="5"/>
      <c r="N2" s="5"/>
      <c r="O2" s="5"/>
      <c r="P2" s="5"/>
      <c r="Q2" s="5"/>
      <c r="R2" s="5"/>
      <c r="S2" s="5"/>
      <c r="T2" s="5"/>
      <c r="U2" s="421"/>
      <c r="V2" s="5"/>
      <c r="W2" s="199"/>
      <c r="X2" s="185"/>
      <c r="Y2" s="5"/>
      <c r="Z2" s="5"/>
      <c r="AA2" s="199"/>
      <c r="AB2" s="209"/>
      <c r="AC2" s="5"/>
      <c r="AD2" s="5"/>
      <c r="AE2" s="5"/>
      <c r="AF2" s="5"/>
      <c r="AG2" s="5"/>
      <c r="AH2" s="5"/>
      <c r="AI2" s="8"/>
      <c r="AJ2" s="5"/>
      <c r="AK2" s="8"/>
      <c r="AL2" s="8"/>
      <c r="AM2" s="25"/>
      <c r="AN2" s="5"/>
      <c r="AO2" s="5"/>
      <c r="AP2" s="5"/>
      <c r="AQ2" s="5"/>
      <c r="AR2" s="5"/>
      <c r="AS2" s="5"/>
      <c r="AT2" s="185"/>
      <c r="AU2" s="185"/>
      <c r="AV2" s="5"/>
      <c r="AW2" s="7"/>
    </row>
    <row r="3" spans="1:84" ht="12" customHeight="1" x14ac:dyDescent="0.2">
      <c r="B3" s="10"/>
      <c r="C3" s="3"/>
      <c r="D3" s="1"/>
      <c r="E3" s="3"/>
      <c r="F3" s="3"/>
      <c r="G3" s="3"/>
      <c r="H3" s="3"/>
      <c r="I3" s="3"/>
      <c r="J3" s="3"/>
      <c r="K3" s="24"/>
      <c r="L3" s="24"/>
      <c r="M3" s="3"/>
      <c r="N3" s="3"/>
      <c r="O3" s="3"/>
      <c r="P3" s="3"/>
      <c r="Q3" s="3"/>
      <c r="R3" s="3"/>
      <c r="S3" s="3"/>
      <c r="T3" s="3"/>
      <c r="U3" s="3"/>
      <c r="V3" s="3"/>
      <c r="W3" s="200"/>
      <c r="X3" s="24"/>
      <c r="Y3" s="3"/>
      <c r="Z3" s="3"/>
      <c r="AA3" s="200"/>
      <c r="AB3" s="210"/>
      <c r="AC3" s="3"/>
      <c r="AD3" s="3"/>
      <c r="AE3" s="3"/>
      <c r="AF3" s="3"/>
      <c r="AG3" s="3"/>
      <c r="AH3" s="3"/>
      <c r="AI3" s="12"/>
      <c r="AJ3" s="3"/>
      <c r="AK3" s="12"/>
      <c r="AL3" s="12"/>
      <c r="AM3" s="26"/>
      <c r="AN3" s="3"/>
      <c r="AO3" s="3"/>
      <c r="AP3" s="3"/>
      <c r="AQ3" s="3"/>
      <c r="AR3" s="3"/>
      <c r="AS3" s="3"/>
      <c r="AT3" s="24"/>
      <c r="AU3" s="24"/>
      <c r="AV3" s="3"/>
      <c r="AW3" s="11"/>
    </row>
    <row r="4" spans="1:84" s="19" customFormat="1" ht="18.75" customHeight="1" x14ac:dyDescent="0.3">
      <c r="A4" s="31"/>
      <c r="B4" s="13"/>
      <c r="C4" s="221" t="str">
        <f>"WERKGEVERSLASTEN PO "&amp;tabellen!B1</f>
        <v>WERKGEVERSLASTEN PO 2019</v>
      </c>
      <c r="D4" s="14"/>
      <c r="E4" s="15"/>
      <c r="F4" s="15"/>
      <c r="G4" s="15"/>
      <c r="H4" s="15"/>
      <c r="I4" s="221" t="s">
        <v>243</v>
      </c>
      <c r="J4" s="15"/>
      <c r="K4" s="15"/>
      <c r="L4" s="15"/>
      <c r="M4" s="15"/>
      <c r="N4" s="222"/>
      <c r="O4" s="223">
        <f>AT11</f>
        <v>0.57451361235335319</v>
      </c>
      <c r="P4" s="15"/>
      <c r="Q4" s="15"/>
      <c r="R4" s="15"/>
      <c r="S4" s="15"/>
      <c r="T4" s="15"/>
      <c r="U4" s="15"/>
      <c r="V4" s="15"/>
      <c r="W4" s="17"/>
      <c r="X4" s="15"/>
      <c r="Y4" s="235"/>
      <c r="Z4" s="15"/>
      <c r="AA4" s="17"/>
      <c r="AB4" s="211"/>
      <c r="AC4" s="15"/>
      <c r="AD4" s="15"/>
      <c r="AE4" s="15"/>
      <c r="AF4" s="15"/>
      <c r="AG4" s="15"/>
      <c r="AH4" s="15"/>
      <c r="AI4" s="18"/>
      <c r="AJ4" s="15"/>
      <c r="AK4" s="18"/>
      <c r="AL4" s="18"/>
      <c r="AM4" s="27"/>
      <c r="AN4" s="15"/>
      <c r="AO4" s="15"/>
      <c r="AP4" s="15"/>
      <c r="AQ4" s="15"/>
      <c r="AR4" s="15"/>
      <c r="AS4" s="15"/>
      <c r="AT4" s="15"/>
      <c r="AU4" s="15"/>
      <c r="AV4" s="15"/>
      <c r="AW4" s="16"/>
      <c r="AX4" s="31"/>
      <c r="AY4" s="31"/>
      <c r="AZ4" s="38"/>
      <c r="BA4" s="38"/>
      <c r="BB4" s="38"/>
      <c r="BC4" s="38"/>
      <c r="BD4" s="38"/>
      <c r="BE4" s="38"/>
      <c r="BF4" s="38"/>
      <c r="BG4" s="38"/>
      <c r="BH4" s="38"/>
      <c r="BI4" s="38"/>
      <c r="BJ4" s="38"/>
      <c r="BK4" s="38"/>
      <c r="BL4" s="38"/>
      <c r="BM4" s="38"/>
      <c r="BN4" s="236"/>
      <c r="BO4" s="38"/>
      <c r="BP4" s="38"/>
      <c r="BQ4" s="38"/>
      <c r="BR4" s="38"/>
      <c r="BS4" s="38"/>
      <c r="BT4" s="38"/>
      <c r="BU4" s="38"/>
      <c r="BV4" s="39"/>
      <c r="BW4" s="39"/>
      <c r="BX4" s="39"/>
      <c r="BY4" s="38"/>
      <c r="BZ4" s="38"/>
      <c r="CA4" s="38"/>
      <c r="CB4" s="38"/>
      <c r="CC4" s="38"/>
      <c r="CD4" s="38"/>
      <c r="CE4" s="31"/>
      <c r="CF4" s="31"/>
    </row>
    <row r="5" spans="1:84" ht="13.5" customHeight="1" x14ac:dyDescent="0.25">
      <c r="B5" s="10"/>
      <c r="C5" s="21" t="str">
        <f>wgl!C5</f>
        <v xml:space="preserve"> vanaf 1 januari  2019</v>
      </c>
      <c r="D5" s="1"/>
      <c r="E5" s="3"/>
      <c r="F5" s="3"/>
      <c r="G5" s="3"/>
      <c r="H5" s="3"/>
      <c r="I5" s="3"/>
      <c r="J5" s="3"/>
      <c r="K5" s="24"/>
      <c r="L5" s="24"/>
      <c r="M5" s="3"/>
      <c r="N5" s="3"/>
      <c r="O5" s="3"/>
      <c r="P5" s="3"/>
      <c r="Q5" s="3"/>
      <c r="R5" s="24"/>
      <c r="S5" s="3"/>
      <c r="T5" s="3"/>
      <c r="U5" s="3"/>
      <c r="V5" s="3">
        <f>+H13*(IF(F13="L10",42%*VLOOKUP(tabellen!L45,saltab2018sept,G13+1,FALSE),IF(F13="L11",42%*VLOOKUP(tabellen!L46,saltab2018sept,G13+1,FALSE),IF(F13="L12",42%*VLOOKUP(tabellen!L47,saltab2018sept,G13+1,FALSE),IF(F13="L13",42%*VLOOKUP(tabellen!L48,saltab2018sept,G13+1,FALSE),0)))))</f>
        <v>1775.76</v>
      </c>
      <c r="W5" s="420">
        <f>SUM(L16:S16)</f>
        <v>6551.68</v>
      </c>
      <c r="X5" s="24"/>
      <c r="Y5" s="3"/>
      <c r="Z5" s="3"/>
      <c r="AA5" s="200"/>
      <c r="AB5" s="210"/>
      <c r="AC5" s="3"/>
      <c r="AD5" s="3"/>
      <c r="AE5" s="3"/>
      <c r="AF5" s="3"/>
      <c r="AG5" s="3"/>
      <c r="AH5" s="3"/>
      <c r="AI5" s="12"/>
      <c r="AJ5" s="3"/>
      <c r="AK5" s="12"/>
      <c r="AL5" s="12"/>
      <c r="AM5" s="26"/>
      <c r="AN5" s="3"/>
      <c r="AO5" s="3"/>
      <c r="AP5" s="3"/>
      <c r="AQ5" s="3"/>
      <c r="AR5" s="3"/>
      <c r="AS5" s="3"/>
      <c r="AT5" s="24"/>
      <c r="AU5" s="24"/>
      <c r="AV5" s="3"/>
      <c r="AW5" s="11"/>
    </row>
    <row r="6" spans="1:84" s="132" customFormat="1" ht="12" customHeight="1" x14ac:dyDescent="0.2">
      <c r="A6" s="121"/>
      <c r="B6" s="122"/>
      <c r="C6" s="231"/>
      <c r="D6" s="123"/>
      <c r="E6" s="231"/>
      <c r="F6" s="231"/>
      <c r="G6" s="231"/>
      <c r="H6" s="231"/>
      <c r="I6" s="231"/>
      <c r="J6" s="231"/>
      <c r="K6" s="231"/>
      <c r="L6" s="231"/>
      <c r="M6" s="231"/>
      <c r="N6" s="231"/>
      <c r="O6" s="231"/>
      <c r="P6" s="231"/>
      <c r="Q6" s="231"/>
      <c r="R6" s="231"/>
      <c r="S6" s="231"/>
      <c r="T6" s="231"/>
      <c r="U6" s="419"/>
      <c r="V6" s="419"/>
      <c r="W6" s="201"/>
      <c r="X6" s="231"/>
      <c r="Y6" s="231"/>
      <c r="Z6" s="231"/>
      <c r="AA6" s="125"/>
      <c r="AB6" s="212"/>
      <c r="AC6" s="231"/>
      <c r="AD6" s="231"/>
      <c r="AE6" s="231"/>
      <c r="AF6" s="231"/>
      <c r="AG6" s="231"/>
      <c r="AH6" s="231"/>
      <c r="AI6" s="127"/>
      <c r="AJ6" s="231"/>
      <c r="AK6" s="127"/>
      <c r="AL6" s="127"/>
      <c r="AM6" s="128"/>
      <c r="AN6" s="231"/>
      <c r="AO6" s="231"/>
      <c r="AP6" s="231"/>
      <c r="AQ6" s="231"/>
      <c r="AR6" s="231"/>
      <c r="AS6" s="231"/>
      <c r="AT6" s="231"/>
      <c r="AU6" s="231"/>
      <c r="AV6" s="231"/>
      <c r="AW6" s="129"/>
      <c r="AX6" s="121"/>
      <c r="AY6" s="121"/>
      <c r="AZ6" s="130"/>
      <c r="BA6" s="130"/>
      <c r="BB6" s="130"/>
      <c r="BC6" s="130"/>
      <c r="BD6" s="130"/>
      <c r="BE6" s="130"/>
      <c r="BF6" s="130"/>
      <c r="BG6" s="130"/>
      <c r="BH6" s="130"/>
      <c r="BI6" s="130"/>
      <c r="BJ6" s="130"/>
      <c r="BK6" s="130"/>
      <c r="BL6" s="130"/>
      <c r="BM6" s="130"/>
      <c r="BN6" s="130"/>
      <c r="BO6" s="130"/>
      <c r="BP6" s="130"/>
      <c r="BQ6" s="130"/>
      <c r="BR6" s="130"/>
      <c r="BS6" s="130"/>
      <c r="BT6" s="130"/>
      <c r="BU6" s="130"/>
      <c r="BV6" s="131"/>
      <c r="BW6" s="131"/>
      <c r="BX6" s="131"/>
      <c r="BY6" s="130"/>
      <c r="BZ6" s="130"/>
      <c r="CA6" s="130"/>
      <c r="CB6" s="130"/>
      <c r="CC6" s="130"/>
      <c r="CD6" s="130"/>
      <c r="CE6" s="121"/>
      <c r="CF6" s="121"/>
    </row>
    <row r="7" spans="1:84" s="141" customFormat="1" ht="12" customHeight="1" x14ac:dyDescent="0.2">
      <c r="A7" s="133"/>
      <c r="B7" s="134"/>
      <c r="C7" s="135"/>
      <c r="D7" s="135"/>
      <c r="E7" s="135"/>
      <c r="F7" s="136"/>
      <c r="G7" s="135"/>
      <c r="H7" s="135"/>
      <c r="I7" s="135"/>
      <c r="J7" s="135"/>
      <c r="K7" s="135"/>
      <c r="L7" s="135"/>
      <c r="M7" s="135"/>
      <c r="N7" s="231"/>
      <c r="O7" s="135"/>
      <c r="P7" s="136"/>
      <c r="Q7" s="135"/>
      <c r="R7" s="135"/>
      <c r="S7" s="135"/>
      <c r="T7" s="135"/>
      <c r="U7" s="135"/>
      <c r="V7" s="135"/>
      <c r="W7" s="202"/>
      <c r="X7" s="135"/>
      <c r="Y7" s="138"/>
      <c r="Z7" s="135"/>
      <c r="AA7" s="206"/>
      <c r="AB7" s="213"/>
      <c r="AC7" s="135"/>
      <c r="AD7" s="135"/>
      <c r="AE7" s="135"/>
      <c r="AF7" s="135"/>
      <c r="AG7" s="126"/>
      <c r="AH7" s="126"/>
      <c r="AI7" s="127"/>
      <c r="AJ7" s="135"/>
      <c r="AK7" s="127"/>
      <c r="AL7" s="127"/>
      <c r="AM7" s="137"/>
      <c r="AN7" s="135"/>
      <c r="AO7" s="135"/>
      <c r="AP7" s="135"/>
      <c r="AQ7" s="138"/>
      <c r="AR7" s="138"/>
      <c r="AS7" s="135"/>
      <c r="AT7" s="135"/>
      <c r="AU7" s="135"/>
      <c r="AV7" s="135"/>
      <c r="AW7" s="139"/>
      <c r="AX7" s="133"/>
      <c r="AY7" s="133"/>
      <c r="AZ7" s="130"/>
      <c r="BA7" s="130"/>
      <c r="BB7" s="130"/>
      <c r="BC7" s="130"/>
      <c r="BD7" s="130"/>
      <c r="BE7" s="130"/>
      <c r="BF7" s="130"/>
      <c r="BG7" s="130"/>
      <c r="BH7" s="130"/>
      <c r="BI7" s="130"/>
      <c r="BJ7" s="130"/>
      <c r="BK7" s="130"/>
      <c r="BL7" s="130"/>
      <c r="BM7" s="130"/>
      <c r="BN7" s="130"/>
      <c r="BO7" s="130"/>
      <c r="BP7" s="130"/>
      <c r="BQ7" s="130"/>
      <c r="BR7" s="130"/>
      <c r="BS7" s="130"/>
      <c r="BT7" s="130"/>
      <c r="BU7" s="130"/>
      <c r="BV7" s="140"/>
      <c r="BW7" s="140"/>
      <c r="BX7" s="131"/>
      <c r="BY7" s="130"/>
      <c r="BZ7" s="130"/>
      <c r="CA7" s="130"/>
      <c r="CB7" s="130"/>
      <c r="CC7" s="130"/>
      <c r="CD7" s="130"/>
      <c r="CE7" s="133"/>
      <c r="CF7" s="133"/>
    </row>
    <row r="8" spans="1:84" s="132" customFormat="1" ht="12" customHeight="1" x14ac:dyDescent="0.2">
      <c r="A8" s="121"/>
      <c r="B8" s="122"/>
      <c r="C8" s="231"/>
      <c r="D8" s="123" t="s">
        <v>188</v>
      </c>
      <c r="E8" s="231" t="s">
        <v>185</v>
      </c>
      <c r="F8" s="425" t="s">
        <v>120</v>
      </c>
      <c r="G8" s="425"/>
      <c r="H8" s="231" t="s">
        <v>89</v>
      </c>
      <c r="I8" s="231" t="s">
        <v>189</v>
      </c>
      <c r="J8" s="231" t="s">
        <v>33</v>
      </c>
      <c r="K8" s="231" t="s">
        <v>118</v>
      </c>
      <c r="L8" s="124" t="s">
        <v>225</v>
      </c>
      <c r="M8" s="231"/>
      <c r="N8" s="231" t="s">
        <v>123</v>
      </c>
      <c r="O8" s="231" t="s">
        <v>125</v>
      </c>
      <c r="P8" s="231" t="s">
        <v>121</v>
      </c>
      <c r="Q8" s="231" t="s">
        <v>108</v>
      </c>
      <c r="R8" s="231" t="s">
        <v>101</v>
      </c>
      <c r="S8" s="231" t="s">
        <v>125</v>
      </c>
      <c r="T8" s="231" t="s">
        <v>186</v>
      </c>
      <c r="U8" s="419" t="s">
        <v>371</v>
      </c>
      <c r="V8" s="231" t="s">
        <v>291</v>
      </c>
      <c r="W8" s="125" t="s">
        <v>115</v>
      </c>
      <c r="X8" s="207">
        <v>8.0000000000000002E-3</v>
      </c>
      <c r="Y8" s="204" t="s">
        <v>221</v>
      </c>
      <c r="Z8" s="231"/>
      <c r="AA8" s="125" t="s">
        <v>99</v>
      </c>
      <c r="AB8" s="214" t="s">
        <v>113</v>
      </c>
      <c r="AC8" s="231"/>
      <c r="AD8" s="231" t="s">
        <v>26</v>
      </c>
      <c r="AE8" s="231" t="s">
        <v>76</v>
      </c>
      <c r="AF8" s="142" t="s">
        <v>193</v>
      </c>
      <c r="AG8" s="143" t="s">
        <v>74</v>
      </c>
      <c r="AH8" s="144" t="s">
        <v>129</v>
      </c>
      <c r="AI8" s="145" t="s">
        <v>32</v>
      </c>
      <c r="AJ8" s="231"/>
      <c r="AK8" s="146" t="s">
        <v>33</v>
      </c>
      <c r="AL8" s="145" t="s">
        <v>34</v>
      </c>
      <c r="AM8" s="426" t="s">
        <v>279</v>
      </c>
      <c r="AN8" s="231"/>
      <c r="AO8" s="428" t="s">
        <v>280</v>
      </c>
      <c r="AP8" s="231"/>
      <c r="AQ8" s="424" t="s">
        <v>194</v>
      </c>
      <c r="AR8" s="424"/>
      <c r="AS8" s="231"/>
      <c r="AT8" s="124" t="s">
        <v>218</v>
      </c>
      <c r="AU8" s="124" t="s">
        <v>218</v>
      </c>
      <c r="AV8" s="231"/>
      <c r="AW8" s="129"/>
      <c r="AX8" s="121"/>
      <c r="AY8" s="121"/>
      <c r="AZ8" s="130" t="s">
        <v>195</v>
      </c>
      <c r="BA8" s="130" t="s">
        <v>195</v>
      </c>
      <c r="BB8" s="130" t="s">
        <v>195</v>
      </c>
      <c r="BC8" s="130" t="s">
        <v>195</v>
      </c>
      <c r="BD8" s="130" t="s">
        <v>127</v>
      </c>
      <c r="BE8" s="130" t="s">
        <v>100</v>
      </c>
      <c r="BF8" s="130" t="s">
        <v>195</v>
      </c>
      <c r="BG8" s="130" t="s">
        <v>195</v>
      </c>
      <c r="BH8" s="130" t="s">
        <v>195</v>
      </c>
      <c r="BI8" s="130" t="s">
        <v>195</v>
      </c>
      <c r="BJ8" s="131" t="s">
        <v>26</v>
      </c>
      <c r="BK8" s="131" t="s">
        <v>76</v>
      </c>
      <c r="BL8" s="131" t="s">
        <v>197</v>
      </c>
      <c r="BM8" s="131" t="s">
        <v>198</v>
      </c>
      <c r="BN8" s="131" t="s">
        <v>199</v>
      </c>
      <c r="BO8" s="131" t="s">
        <v>200</v>
      </c>
      <c r="BP8" s="131" t="s">
        <v>110</v>
      </c>
      <c r="BQ8" s="131"/>
      <c r="BR8" s="131"/>
      <c r="BS8" s="130"/>
      <c r="BT8" s="130"/>
      <c r="BU8" s="130"/>
      <c r="BV8" s="130"/>
      <c r="BW8" s="130"/>
      <c r="BX8" s="130"/>
      <c r="BY8" s="130"/>
      <c r="BZ8" s="130"/>
      <c r="CA8" s="130"/>
      <c r="CB8" s="130"/>
      <c r="CC8" s="130"/>
      <c r="CD8" s="130"/>
      <c r="CE8" s="121"/>
      <c r="CF8" s="133"/>
    </row>
    <row r="9" spans="1:84" s="132" customFormat="1" ht="12" customHeight="1" x14ac:dyDescent="0.2">
      <c r="A9" s="121"/>
      <c r="B9" s="122"/>
      <c r="C9" s="231"/>
      <c r="D9" s="123"/>
      <c r="E9" s="231"/>
      <c r="F9" s="125" t="s">
        <v>15</v>
      </c>
      <c r="G9" s="125" t="s">
        <v>16</v>
      </c>
      <c r="H9" s="231"/>
      <c r="I9" s="231" t="s">
        <v>40</v>
      </c>
      <c r="J9" s="231"/>
      <c r="K9" s="231" t="s">
        <v>119</v>
      </c>
      <c r="L9" s="125" t="s">
        <v>224</v>
      </c>
      <c r="M9" s="231"/>
      <c r="N9" s="231" t="s">
        <v>124</v>
      </c>
      <c r="O9" s="231" t="s">
        <v>124</v>
      </c>
      <c r="P9" s="231" t="s">
        <v>122</v>
      </c>
      <c r="Q9" s="231" t="s">
        <v>109</v>
      </c>
      <c r="R9" s="231" t="s">
        <v>201</v>
      </c>
      <c r="S9" s="231" t="s">
        <v>126</v>
      </c>
      <c r="T9" s="231" t="s">
        <v>187</v>
      </c>
      <c r="U9" s="419" t="s">
        <v>372</v>
      </c>
      <c r="V9" s="232" t="s">
        <v>373</v>
      </c>
      <c r="W9" s="125" t="s">
        <v>116</v>
      </c>
      <c r="X9" s="231" t="s">
        <v>114</v>
      </c>
      <c r="Y9" s="205" t="s">
        <v>219</v>
      </c>
      <c r="Z9" s="231"/>
      <c r="AA9" s="125" t="s">
        <v>31</v>
      </c>
      <c r="AB9" s="214" t="s">
        <v>114</v>
      </c>
      <c r="AC9" s="231"/>
      <c r="AD9" s="231"/>
      <c r="AE9" s="231"/>
      <c r="AF9" s="142" t="s">
        <v>192</v>
      </c>
      <c r="AG9" s="142"/>
      <c r="AH9" s="142" t="s">
        <v>27</v>
      </c>
      <c r="AI9" s="128"/>
      <c r="AJ9" s="231"/>
      <c r="AK9" s="145"/>
      <c r="AL9" s="145"/>
      <c r="AM9" s="426"/>
      <c r="AN9" s="231"/>
      <c r="AO9" s="428"/>
      <c r="AP9" s="231"/>
      <c r="AQ9" s="147" t="s">
        <v>31</v>
      </c>
      <c r="AR9" s="147" t="s">
        <v>117</v>
      </c>
      <c r="AS9" s="231"/>
      <c r="AT9" s="124" t="s">
        <v>222</v>
      </c>
      <c r="AU9" s="124" t="s">
        <v>223</v>
      </c>
      <c r="AV9" s="231"/>
      <c r="AW9" s="129"/>
      <c r="AX9" s="121"/>
      <c r="AY9" s="121"/>
      <c r="AZ9" s="148">
        <f ca="1">NOW()</f>
        <v>43722.739781944445</v>
      </c>
      <c r="BA9" s="130" t="s">
        <v>105</v>
      </c>
      <c r="BB9" s="130" t="s">
        <v>105</v>
      </c>
      <c r="BC9" s="130" t="s">
        <v>107</v>
      </c>
      <c r="BD9" s="149" t="s">
        <v>15</v>
      </c>
      <c r="BE9" s="130" t="s">
        <v>106</v>
      </c>
      <c r="BF9" s="130" t="s">
        <v>104</v>
      </c>
      <c r="BG9" s="130" t="s">
        <v>103</v>
      </c>
      <c r="BH9" s="140" t="s">
        <v>102</v>
      </c>
      <c r="BI9" s="130" t="s">
        <v>196</v>
      </c>
      <c r="BJ9" s="130"/>
      <c r="BK9" s="130"/>
      <c r="BL9" s="140" t="s">
        <v>193</v>
      </c>
      <c r="BM9" s="130" t="s">
        <v>112</v>
      </c>
      <c r="BN9" s="130" t="s">
        <v>55</v>
      </c>
      <c r="BO9" s="130" t="s">
        <v>27</v>
      </c>
      <c r="BP9" s="130" t="s">
        <v>111</v>
      </c>
      <c r="BQ9" s="130"/>
      <c r="BR9" s="130"/>
      <c r="BS9" s="130"/>
      <c r="BT9" s="130" t="s">
        <v>105</v>
      </c>
      <c r="BU9" s="130" t="s">
        <v>141</v>
      </c>
      <c r="BV9" s="130"/>
      <c r="BW9" s="130"/>
      <c r="BX9" s="130"/>
      <c r="BY9" s="130"/>
      <c r="BZ9" s="130"/>
      <c r="CA9" s="130"/>
      <c r="CB9" s="130"/>
      <c r="CC9" s="130"/>
      <c r="CD9" s="130"/>
      <c r="CE9" s="121"/>
      <c r="CF9" s="121"/>
    </row>
    <row r="10" spans="1:84" s="132" customFormat="1" ht="12" customHeight="1" x14ac:dyDescent="0.2">
      <c r="A10" s="121"/>
      <c r="B10" s="122"/>
      <c r="C10" s="231"/>
      <c r="D10" s="123"/>
      <c r="E10" s="231"/>
      <c r="F10" s="231"/>
      <c r="G10" s="231"/>
      <c r="H10" s="231"/>
      <c r="I10" s="231"/>
      <c r="J10" s="231"/>
      <c r="K10" s="231"/>
      <c r="L10" s="231"/>
      <c r="M10" s="231"/>
      <c r="N10" s="231"/>
      <c r="O10" s="231"/>
      <c r="P10" s="231"/>
      <c r="Q10" s="231"/>
      <c r="R10" s="231"/>
      <c r="S10" s="231"/>
      <c r="T10" s="231"/>
      <c r="U10" s="419"/>
      <c r="V10" s="231"/>
      <c r="W10" s="125"/>
      <c r="X10" s="231"/>
      <c r="Y10" s="124"/>
      <c r="Z10" s="231"/>
      <c r="AA10" s="125"/>
      <c r="AB10" s="215"/>
      <c r="AC10" s="231"/>
      <c r="AD10" s="231"/>
      <c r="AE10" s="231"/>
      <c r="AF10" s="231"/>
      <c r="AG10" s="231"/>
      <c r="AH10" s="231"/>
      <c r="AI10" s="127"/>
      <c r="AJ10" s="231"/>
      <c r="AK10" s="150"/>
      <c r="AL10" s="150"/>
      <c r="AM10" s="427"/>
      <c r="AN10" s="231"/>
      <c r="AO10" s="429"/>
      <c r="AP10" s="231"/>
      <c r="AQ10" s="124"/>
      <c r="AR10" s="124"/>
      <c r="AS10" s="231"/>
      <c r="AT10" s="231"/>
      <c r="AU10" s="231"/>
      <c r="AV10" s="231"/>
      <c r="AW10" s="129"/>
      <c r="AX10" s="121"/>
      <c r="AY10" s="121"/>
      <c r="AZ10" s="148"/>
      <c r="BA10" s="130"/>
      <c r="BB10" s="130"/>
      <c r="BC10" s="130" t="s">
        <v>180</v>
      </c>
      <c r="BD10" s="130"/>
      <c r="BE10" s="130"/>
      <c r="BF10" s="130"/>
      <c r="BG10" s="130"/>
      <c r="BH10" s="130"/>
      <c r="BI10" s="130"/>
      <c r="BJ10" s="130"/>
      <c r="BK10" s="130"/>
      <c r="BL10" s="130"/>
      <c r="BM10" s="130"/>
      <c r="BN10" s="130"/>
      <c r="BO10" s="130"/>
      <c r="BP10" s="130"/>
      <c r="BQ10" s="130"/>
      <c r="BR10" s="130"/>
      <c r="BS10" s="130"/>
      <c r="BT10" s="130"/>
      <c r="BU10" s="130"/>
      <c r="BV10" s="130"/>
      <c r="BW10" s="130"/>
      <c r="BX10" s="148"/>
      <c r="BY10" s="130"/>
      <c r="BZ10" s="130"/>
      <c r="CA10" s="130"/>
      <c r="CB10" s="130"/>
      <c r="CC10" s="130"/>
      <c r="CD10" s="130"/>
      <c r="CE10" s="121"/>
      <c r="CF10" s="121"/>
    </row>
    <row r="11" spans="1:84" s="132" customFormat="1" ht="12" customHeight="1" x14ac:dyDescent="0.2">
      <c r="A11" s="121"/>
      <c r="B11" s="122"/>
      <c r="C11" s="151"/>
      <c r="D11" s="152"/>
      <c r="E11" s="151"/>
      <c r="F11" s="151"/>
      <c r="G11" s="151"/>
      <c r="H11" s="151"/>
      <c r="I11" s="151"/>
      <c r="J11" s="151"/>
      <c r="K11" s="151"/>
      <c r="L11" s="162">
        <f>SUM(L12:L86)</f>
        <v>31402</v>
      </c>
      <c r="M11" s="151"/>
      <c r="N11" s="151"/>
      <c r="O11" s="151"/>
      <c r="P11" s="151"/>
      <c r="Q11" s="151"/>
      <c r="R11" s="151"/>
      <c r="S11" s="151"/>
      <c r="T11" s="151"/>
      <c r="U11" s="151"/>
      <c r="V11" s="151"/>
      <c r="W11" s="153"/>
      <c r="X11" s="151"/>
      <c r="Y11" s="162">
        <f>SUM(Y12:Y86)</f>
        <v>442441</v>
      </c>
      <c r="Z11" s="151"/>
      <c r="AA11" s="153"/>
      <c r="AB11" s="216"/>
      <c r="AC11" s="151"/>
      <c r="AD11" s="151"/>
      <c r="AE11" s="151"/>
      <c r="AF11" s="151"/>
      <c r="AG11" s="151"/>
      <c r="AH11" s="151"/>
      <c r="AI11" s="154"/>
      <c r="AJ11" s="151"/>
      <c r="AK11" s="155"/>
      <c r="AL11" s="155"/>
      <c r="AM11" s="156"/>
      <c r="AN11" s="151"/>
      <c r="AO11" s="151"/>
      <c r="AP11" s="151"/>
      <c r="AQ11" s="162">
        <f>SUM(AQ12:AQ86)</f>
        <v>49442.87645512</v>
      </c>
      <c r="AR11" s="162">
        <f>SUM(AR12:AR86)</f>
        <v>593314.51746143994</v>
      </c>
      <c r="AS11" s="151"/>
      <c r="AT11" s="164">
        <f>AQ11/L11-1</f>
        <v>0.57451361235335319</v>
      </c>
      <c r="AU11" s="164">
        <f>(AQ11/(Y11/12))-1</f>
        <v>0.34100256861692291</v>
      </c>
      <c r="AV11" s="151"/>
      <c r="AW11" s="129"/>
      <c r="AX11" s="121"/>
      <c r="AY11" s="121"/>
      <c r="AZ11" s="148"/>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21"/>
      <c r="CF11" s="121"/>
    </row>
    <row r="12" spans="1:84" s="132" customFormat="1" ht="12" customHeight="1" x14ac:dyDescent="0.2">
      <c r="A12" s="121"/>
      <c r="B12" s="122"/>
      <c r="C12" s="151"/>
      <c r="D12" s="157" t="s">
        <v>188</v>
      </c>
      <c r="E12" s="158">
        <v>21915</v>
      </c>
      <c r="F12" s="159" t="s">
        <v>174</v>
      </c>
      <c r="G12" s="159">
        <v>15</v>
      </c>
      <c r="H12" s="160">
        <v>1</v>
      </c>
      <c r="I12" s="159" t="s">
        <v>368</v>
      </c>
      <c r="J12" s="161">
        <v>3</v>
      </c>
      <c r="K12" s="181">
        <f>IF(F12="",0,(VLOOKUP('wgl tot'!F12,saltab2019,'wgl tot'!G12+1,FALSE)))</f>
        <v>3910</v>
      </c>
      <c r="L12" s="163">
        <f t="shared" ref="L12:L50" si="0">K12*H12</f>
        <v>3910</v>
      </c>
      <c r="M12" s="151"/>
      <c r="N12" s="181">
        <f>ROUND(IF(('wgl tot'!L12+'wgl tot'!P12)*BF12&lt;'wgl tot'!H12*tabellen!$D$50,'wgl tot'!H12*tabellen!$D$50,('wgl tot'!L12+'wgl tot'!P12)*BF12),2)</f>
        <v>315.35000000000002</v>
      </c>
      <c r="O12" s="181">
        <f>ROUND(+('wgl tot'!L12+'wgl tot'!P12)*BG12,2)</f>
        <v>248.34</v>
      </c>
      <c r="P12" s="181">
        <f>ROUND(IF(I12="j",VLOOKUP(BD12,uitlooptoeslag,2,FALSE))*IF('wgl tot'!H12&gt;1,1,'wgl tot'!H12),2)</f>
        <v>31.88</v>
      </c>
      <c r="Q12" s="181">
        <f>ROUND(IF(BI12="j",tabellen!$D$59*IF('wgl tot'!H12&gt;1,1,'wgl tot'!H12),0),2)</f>
        <v>0</v>
      </c>
      <c r="R12" s="181">
        <f>IF(AND(F12&gt;0,F12&lt;17),tabellen!$C$41*'wgl tot'!H12,0)</f>
        <v>0</v>
      </c>
      <c r="S12" s="181">
        <f>VLOOKUP(BH12,eindejaarsuitkering_OOP,2,TRUE)*'wgl tot'!H12/12</f>
        <v>0</v>
      </c>
      <c r="T12" s="181">
        <f>ROUND(H12*tabellen!$D$57,2)</f>
        <v>200</v>
      </c>
      <c r="U12" s="181">
        <f>ROUND(H12*tabellen!C$45,2)</f>
        <v>750</v>
      </c>
      <c r="V12" s="181">
        <f>H12*(IF(F12="L10",42%*VLOOKUP(tabellen!L$45,saltab2018sept,G12+1,FALSE),IF(F12="L11",42%*VLOOKUP(tabellen!L$46,saltab2018sept,G12+1,FALSE),IF(F12="L12",42%*VLOOKUP(tabellen!L$47,saltab2018sept,G12+1,FALSE),IF(F12="L13",42%*VLOOKUP(tabellen!L$48,saltab2018sept,G12+1,FALSE),0)))))</f>
        <v>1627.5</v>
      </c>
      <c r="W12" s="182">
        <f>ROUND(((SUM(L12:S12)*12)+T12+U12+V12),0)</f>
        <v>56644</v>
      </c>
      <c r="X12" s="181">
        <f>('wgl tot'!L12+'wgl tot'!P12)*tabellen!$C$43*12</f>
        <v>378.42048</v>
      </c>
      <c r="Y12" s="163">
        <f>ROUND((SUM(L12:S12)*12+T12+X12),0)</f>
        <v>54645</v>
      </c>
      <c r="Z12" s="151"/>
      <c r="AA12" s="182">
        <f>Y12/12</f>
        <v>4553.75</v>
      </c>
      <c r="AB12" s="217">
        <f>+'wgl tot'!X12/12</f>
        <v>31.535039999999999</v>
      </c>
      <c r="AC12" s="151"/>
      <c r="AD12" s="181">
        <f>IF(F12="",0,(IF('wgl tot'!W12/'wgl tot'!H12&lt;tabellen!$E$6,0,('wgl tot'!W12-tabellen!$E$6*'wgl tot'!H12)/12)*tabellen!$C$6))</f>
        <v>622.30910000000006</v>
      </c>
      <c r="AE12" s="181">
        <f>IF(F12="",0,(IF('wgl tot'!W12/'wgl tot'!H12&lt;tabellen!$E$7,0,(+'wgl tot'!W12-tabellen!$E$7*'wgl tot'!H12)/12)*tabellen!$C$7))</f>
        <v>10.425333333333333</v>
      </c>
      <c r="AF12" s="181">
        <f>'wgl tot'!W12/12*tabellen!$C$8</f>
        <v>122.72866666666665</v>
      </c>
      <c r="AG12" s="181">
        <f>IF(H12=0,0,IF(BN12&gt;tabellen!$G$9/12,tabellen!$G$9/12,BN12)*(tabellen!$C$9+tabellen!$C$10))</f>
        <v>342.60624799999994</v>
      </c>
      <c r="AH12" s="181">
        <f>IF(F12="",0,('wgl tot'!BO12))</f>
        <v>297.64</v>
      </c>
      <c r="AI12" s="183">
        <f>IF(F12="",0,(IF('wgl tot'!BN12&gt;tabellen!$G$12*'wgl tot'!H12/12,tabellen!$G$12*'wgl tot'!H12/12,'wgl tot'!BN12)*tabellen!$C$12))</f>
        <v>33.404109179999999</v>
      </c>
      <c r="AJ12" s="151"/>
      <c r="AK12" s="183">
        <f>IF(F12="",0,('wgl tot'!BN12*IF(J12=1,tabellen!$C$13,IF(J12=2,tabellen!$C$14,IF(J12=3,tabellen!$C$15,IF(J12=5,tabellen!$C$17,IF(J12=6,tabellen!$C$18,IF(J12=7,tabellen!$C$19,IF(J12=8,tabellen!$C$20,tabellen!$C$16)))))))))</f>
        <v>9.4216718200000003</v>
      </c>
      <c r="AL12" s="183">
        <f>IF(F12="",0,('wgl tot'!BN12*tabellen!$C$21))</f>
        <v>171.303124</v>
      </c>
      <c r="AM12" s="237">
        <v>0</v>
      </c>
      <c r="AN12" s="151"/>
      <c r="AO12" s="237">
        <v>0</v>
      </c>
      <c r="AP12" s="151"/>
      <c r="AQ12" s="163">
        <f t="shared" ref="AQ12:AQ23" si="1">SUM(AA12:AO12)-AB12</f>
        <v>6163.5882530000008</v>
      </c>
      <c r="AR12" s="163">
        <f>AQ12*12</f>
        <v>73963.059036000006</v>
      </c>
      <c r="AS12" s="151"/>
      <c r="AT12" s="187">
        <f>IF(AQ12=0,"",(AQ12/L12-1))</f>
        <v>0.57636528209718696</v>
      </c>
      <c r="AU12" s="187">
        <f t="shared" ref="AU12:AU43" si="2">IF(AQ12=0,"",(AQ12/(Y12/12))-1)</f>
        <v>0.35351924304144955</v>
      </c>
      <c r="AV12" s="151"/>
      <c r="AW12" s="129"/>
      <c r="AX12" s="121"/>
      <c r="AY12" s="121"/>
      <c r="AZ12" s="165">
        <f ca="1">YEAR('wgl tot'!$AZ$9)-YEAR('wgl tot'!E12)</f>
        <v>60</v>
      </c>
      <c r="BA12" s="165">
        <f ca="1">MONTH('wgl tot'!$AZ$9)-MONTH('wgl tot'!E12)</f>
        <v>-3</v>
      </c>
      <c r="BB12" s="165">
        <f ca="1">DAY('wgl tot'!$AZ$9)-DAY('wgl tot'!E12)</f>
        <v>-17</v>
      </c>
      <c r="BC12" s="130">
        <f>IF(AND('wgl tot'!F12&gt;0,'wgl tot'!F12&lt;17),0,100)</f>
        <v>100</v>
      </c>
      <c r="BD12" s="130" t="str">
        <f t="shared" ref="BD12:BD43" si="3">F12</f>
        <v>L10</v>
      </c>
      <c r="BE12" s="148">
        <v>42583</v>
      </c>
      <c r="BF12" s="166">
        <v>0.08</v>
      </c>
      <c r="BG12" s="167">
        <f>+tabellen!$D$51</f>
        <v>6.3E-2</v>
      </c>
      <c r="BH12" s="165">
        <f>IF('wgl tot'!BC12=100,0,'wgl tot'!F12)</f>
        <v>0</v>
      </c>
      <c r="BI12" s="167" t="str">
        <f>IF(OR('wgl tot'!F12="DA",'wgl tot'!F12="DB",'wgl tot'!F12="DBuit",'wgl tot'!F12="DC",'wgl tot'!F12="DCuit",MID('wgl tot'!F12,1,5)="meerh"),"j","n")</f>
        <v>n</v>
      </c>
      <c r="BJ12" s="169">
        <f>IF('wgl tot'!W12/'wgl tot'!H12&lt;tabellen!$E$6,0,(+'wgl tot'!W12-tabellen!$E$6*'wgl tot'!H12)/12*tabellen!$D$6)</f>
        <v>266.70390000000003</v>
      </c>
      <c r="BK12" s="169">
        <f>IF('wgl tot'!W12/'wgl tot'!H12&lt;tabellen!$E$7,0,(+'wgl tot'!W12-tabellen!$E$7*'wgl tot'!H12)/12*tabellen!$D$7)</f>
        <v>4.468</v>
      </c>
      <c r="BL12" s="169">
        <f>'wgl tot'!W12/12*tabellen!$D$8</f>
        <v>0</v>
      </c>
      <c r="BM12" s="170">
        <f t="shared" ref="BM12:BM24" si="4">SUM(BJ12:BL12)</f>
        <v>271.17190000000005</v>
      </c>
      <c r="BN12" s="171">
        <f>+Y12/12-'wgl tot'!BM12</f>
        <v>4282.5780999999997</v>
      </c>
      <c r="BO12" s="171">
        <f>ROUND(IF('wgl tot'!BN12&gt;tabellen!$H$11,tabellen!$H$11,'wgl tot'!BN12)*tabellen!$C$11,2)</f>
        <v>297.64</v>
      </c>
      <c r="BP12" s="171">
        <f>+'wgl tot'!BN12+'wgl tot'!BO12</f>
        <v>4580.2181</v>
      </c>
      <c r="BQ12" s="172">
        <f t="shared" ref="BQ12:BQ43" si="5">YEAR(E12)</f>
        <v>1959</v>
      </c>
      <c r="BR12" s="172">
        <f t="shared" ref="BR12:BR43" si="6">MONTH(E12)</f>
        <v>12</v>
      </c>
      <c r="BS12" s="165">
        <f t="shared" ref="BS12:BS43" si="7">DAY(E12)</f>
        <v>31</v>
      </c>
      <c r="BT12" s="148">
        <f>DATE(BQ12+61,BR12+6,BS12)</f>
        <v>44378</v>
      </c>
      <c r="BU12" s="148">
        <f ca="1">NOW()</f>
        <v>43722.739781944445</v>
      </c>
      <c r="BV12" s="130"/>
      <c r="BW12" s="148"/>
      <c r="BX12" s="130"/>
      <c r="BY12" s="168"/>
      <c r="BZ12" s="168"/>
      <c r="CA12" s="168"/>
      <c r="CB12" s="168"/>
      <c r="CC12" s="168"/>
      <c r="CD12" s="168"/>
      <c r="CE12" s="121"/>
      <c r="CF12" s="121"/>
    </row>
    <row r="13" spans="1:84" s="132" customFormat="1" ht="12" customHeight="1" x14ac:dyDescent="0.2">
      <c r="A13" s="121"/>
      <c r="B13" s="122"/>
      <c r="C13" s="151"/>
      <c r="D13" s="157" t="s">
        <v>188</v>
      </c>
      <c r="E13" s="158">
        <v>21916</v>
      </c>
      <c r="F13" s="159" t="s">
        <v>175</v>
      </c>
      <c r="G13" s="159">
        <v>15</v>
      </c>
      <c r="H13" s="160">
        <v>1</v>
      </c>
      <c r="I13" s="159" t="s">
        <v>368</v>
      </c>
      <c r="J13" s="161">
        <v>3</v>
      </c>
      <c r="K13" s="181">
        <f>IF(F13="",0,(VLOOKUP('wgl tot'!F13,saltab2019,'wgl tot'!G13+1,FALSE)))</f>
        <v>4228</v>
      </c>
      <c r="L13" s="163">
        <f t="shared" ref="L13:L23" si="8">K13*H13</f>
        <v>4228</v>
      </c>
      <c r="M13" s="151"/>
      <c r="N13" s="181">
        <f>ROUND(IF(('wgl tot'!L13+'wgl tot'!P13)*BF13&lt;'wgl tot'!H13*tabellen!$D$50,'wgl tot'!H13*tabellen!$D$50,('wgl tot'!L13+'wgl tot'!P13)*BF13),2)</f>
        <v>340.48</v>
      </c>
      <c r="O13" s="181">
        <f>ROUND(+('wgl tot'!L13+'wgl tot'!P13)*BG13,2)</f>
        <v>268.13</v>
      </c>
      <c r="P13" s="181">
        <f>ROUND(IF(I13="j",VLOOKUP(BD13,uitlooptoeslag,2,FALSE))*IF('wgl tot'!H13&gt;1,1,'wgl tot'!H13),2)</f>
        <v>27.96</v>
      </c>
      <c r="Q13" s="181">
        <f>ROUND(IF(BI13="j",tabellen!$D$59*IF('wgl tot'!H13&gt;1,1,'wgl tot'!H13),0),2)</f>
        <v>0</v>
      </c>
      <c r="R13" s="181">
        <f>IF(AND(F13&gt;0,F13&lt;17),tabellen!$C$41*'wgl tot'!H13,0)</f>
        <v>0</v>
      </c>
      <c r="S13" s="181">
        <f>VLOOKUP(BH13,eindejaarsuitkering_OOP,2,TRUE)*'wgl tot'!H13/12</f>
        <v>0</v>
      </c>
      <c r="T13" s="181">
        <f>ROUND(H13*tabellen!$D$57,2)</f>
        <v>200</v>
      </c>
      <c r="U13" s="181">
        <f>ROUND(H13*tabellen!C$45,2)</f>
        <v>750</v>
      </c>
      <c r="V13" s="181">
        <f>H13*(IF(F13="L10",42%*VLOOKUP(tabellen!L$45,saltab2018sept,G13+1,FALSE),IF(F13="L11",42%*VLOOKUP(tabellen!L$46,saltab2018sept,G13+1,FALSE),IF(F13="L12",42%*VLOOKUP(tabellen!L$47,saltab2018sept,G13+1,FALSE),IF(F13="L13",42%*VLOOKUP(tabellen!L$48,saltab2018sept,G13+1,FALSE),0)))))</f>
        <v>1775.76</v>
      </c>
      <c r="W13" s="182">
        <f t="shared" ref="W13:W76" si="9">ROUND(((SUM(L13:S13)*12)+T13+U13+V13),0)</f>
        <v>61101</v>
      </c>
      <c r="X13" s="181">
        <f>('wgl tot'!L13+'wgl tot'!P13)*tabellen!$C$43*12</f>
        <v>408.57216</v>
      </c>
      <c r="Y13" s="163">
        <f t="shared" ref="Y13:Y76" si="10">ROUND((SUM(L13:S13)*12+T13+X13),0)</f>
        <v>58983</v>
      </c>
      <c r="Z13" s="151"/>
      <c r="AA13" s="182">
        <f t="shared" ref="AA13:AA23" si="11">Y13/12</f>
        <v>4915.25</v>
      </c>
      <c r="AB13" s="217">
        <f>+'wgl tot'!X13/12</f>
        <v>34.04768</v>
      </c>
      <c r="AC13" s="151"/>
      <c r="AD13" s="181">
        <f>IF(F13="",0,(IF('wgl tot'!W13/'wgl tot'!H13&lt;tabellen!$E$6,0,('wgl tot'!W13-tabellen!$E$6*'wgl tot'!H13)/12)*tabellen!$C$6))</f>
        <v>687.04702500000008</v>
      </c>
      <c r="AE13" s="181">
        <f>IF(F13="",0,(IF('wgl tot'!W13/'wgl tot'!H13&lt;tabellen!$E$7,0,(+'wgl tot'!W13-tabellen!$E$7*'wgl tot'!H13)/12)*tabellen!$C$7))</f>
        <v>11.725291666666667</v>
      </c>
      <c r="AF13" s="181">
        <f>'wgl tot'!W13/12*tabellen!$C$8</f>
        <v>132.38550000000001</v>
      </c>
      <c r="AG13" s="181">
        <f>IF(H13=0,0,IF(BN13&gt;tabellen!$G$9/12,tabellen!$G$9/12,BN13)*(tabellen!$C$9+tabellen!$C$10))</f>
        <v>369.26209199999994</v>
      </c>
      <c r="AH13" s="181">
        <f>IF(F13="",0,('wgl tot'!BO13))</f>
        <v>320.8</v>
      </c>
      <c r="AI13" s="183">
        <f>IF(F13="",0,(IF('wgl tot'!BN13&gt;tabellen!$G$12*'wgl tot'!H13/12,tabellen!$G$12*'wgl tot'!H13/12,'wgl tot'!BN13)*tabellen!$C$12))</f>
        <v>36.003053969999996</v>
      </c>
      <c r="AJ13" s="151"/>
      <c r="AK13" s="183">
        <f>IF(F13="",0,('wgl tot'!BN13*IF(J13=1,tabellen!$C$13,IF(J13=2,tabellen!$C$14,IF(J13=3,tabellen!$C$15,IF(J13=5,tabellen!$C$17,IF(J13=6,tabellen!$C$18,IF(J13=7,tabellen!$C$19,IF(J13=8,tabellen!$C$20,tabellen!$C$16)))))))))</f>
        <v>10.15470753</v>
      </c>
      <c r="AL13" s="183">
        <f>IF(F13="",0,('wgl tot'!BN13*tabellen!$C$21))</f>
        <v>184.631046</v>
      </c>
      <c r="AM13" s="237">
        <v>0</v>
      </c>
      <c r="AN13" s="151"/>
      <c r="AO13" s="237">
        <v>0</v>
      </c>
      <c r="AP13" s="151"/>
      <c r="AQ13" s="163">
        <f t="shared" si="1"/>
        <v>6667.2587161666679</v>
      </c>
      <c r="AR13" s="163">
        <f t="shared" ref="AR13:AR23" si="12">AQ13*12</f>
        <v>80007.104594000019</v>
      </c>
      <c r="AS13" s="151"/>
      <c r="AT13" s="187">
        <f t="shared" ref="AT13:AT23" si="13">IF(AQ13=0,"",(AQ13/L13-1))</f>
        <v>0.57692968688899438</v>
      </c>
      <c r="AU13" s="187">
        <f t="shared" ref="AU13:AU23" si="14">IF(AQ13=0,"",(AQ13/(Y13/12))-1)</f>
        <v>0.3564434598782702</v>
      </c>
      <c r="AV13" s="151"/>
      <c r="AW13" s="129"/>
      <c r="AX13" s="121"/>
      <c r="AY13" s="121"/>
      <c r="AZ13" s="165">
        <f ca="1">YEAR('wgl tot'!$AZ$9)-YEAR('wgl tot'!E13)</f>
        <v>59</v>
      </c>
      <c r="BA13" s="165">
        <f ca="1">MONTH('wgl tot'!$AZ$9)-MONTH('wgl tot'!E13)</f>
        <v>8</v>
      </c>
      <c r="BB13" s="165">
        <f ca="1">DAY('wgl tot'!$AZ$9)-DAY('wgl tot'!E13)</f>
        <v>13</v>
      </c>
      <c r="BC13" s="130">
        <f>IF(AND('wgl tot'!F13&gt;0,'wgl tot'!F13&lt;17),0,100)</f>
        <v>100</v>
      </c>
      <c r="BD13" s="130" t="str">
        <f t="shared" si="3"/>
        <v>L11</v>
      </c>
      <c r="BE13" s="148">
        <v>42583</v>
      </c>
      <c r="BF13" s="166">
        <f>$BF$12</f>
        <v>0.08</v>
      </c>
      <c r="BG13" s="167">
        <f>+tabellen!$D$51</f>
        <v>6.3E-2</v>
      </c>
      <c r="BH13" s="165">
        <f>IF('wgl tot'!BC13=100,0,'wgl tot'!F13)</f>
        <v>0</v>
      </c>
      <c r="BI13" s="167" t="str">
        <f>IF(OR('wgl tot'!F13="DA",'wgl tot'!F13="DB",'wgl tot'!F13="DBuit",'wgl tot'!F13="DC",'wgl tot'!F13="DCuit",MID('wgl tot'!F13,1,5)="meerh"),"j","n")</f>
        <v>n</v>
      </c>
      <c r="BJ13" s="169">
        <f>IF('wgl tot'!W13/'wgl tot'!H13&lt;tabellen!$E$6,0,(+'wgl tot'!W13-tabellen!$E$6*'wgl tot'!H13)/12*tabellen!$D$6)</f>
        <v>294.44872500000002</v>
      </c>
      <c r="BK13" s="169">
        <f>IF('wgl tot'!W13/'wgl tot'!H13&lt;tabellen!$E$7,0,(+'wgl tot'!W13-tabellen!$E$7*'wgl tot'!H13)/12*tabellen!$D$7)</f>
        <v>5.0251250000000001</v>
      </c>
      <c r="BL13" s="169">
        <f>'wgl tot'!W13/12*tabellen!$D$8</f>
        <v>0</v>
      </c>
      <c r="BM13" s="170">
        <f t="shared" si="4"/>
        <v>299.47385000000003</v>
      </c>
      <c r="BN13" s="171">
        <f>+Y13/12-'wgl tot'!BM13</f>
        <v>4615.7761499999997</v>
      </c>
      <c r="BO13" s="171">
        <f>ROUND(IF('wgl tot'!BN13&gt;tabellen!$H$11,tabellen!$H$11,'wgl tot'!BN13)*tabellen!$C$11,2)</f>
        <v>320.8</v>
      </c>
      <c r="BP13" s="171">
        <f>+'wgl tot'!BN13+'wgl tot'!BO13</f>
        <v>4936.5761499999999</v>
      </c>
      <c r="BQ13" s="172">
        <f t="shared" si="5"/>
        <v>1960</v>
      </c>
      <c r="BR13" s="172">
        <f t="shared" si="6"/>
        <v>1</v>
      </c>
      <c r="BS13" s="165">
        <f t="shared" si="7"/>
        <v>1</v>
      </c>
      <c r="BT13" s="148">
        <f t="shared" ref="BT13:BT86" si="15">DATE(BQ13+61,BR13+6,BS13)</f>
        <v>44378</v>
      </c>
      <c r="BU13" s="148">
        <f t="shared" ref="BU13:BU86" ca="1" si="16">NOW()</f>
        <v>43722.739781944445</v>
      </c>
      <c r="BV13" s="130"/>
      <c r="BW13" s="148"/>
      <c r="BX13" s="130"/>
      <c r="BY13" s="168"/>
      <c r="BZ13" s="168"/>
      <c r="CA13" s="168"/>
      <c r="CB13" s="168"/>
      <c r="CC13" s="168"/>
      <c r="CD13" s="168"/>
      <c r="CE13" s="121"/>
      <c r="CF13" s="121"/>
    </row>
    <row r="14" spans="1:84" s="132" customFormat="1" ht="12" customHeight="1" x14ac:dyDescent="0.2">
      <c r="A14" s="121"/>
      <c r="B14" s="122"/>
      <c r="C14" s="151"/>
      <c r="D14" s="157" t="s">
        <v>188</v>
      </c>
      <c r="E14" s="158">
        <v>21917</v>
      </c>
      <c r="F14" s="159" t="s">
        <v>176</v>
      </c>
      <c r="G14" s="159">
        <v>15</v>
      </c>
      <c r="H14" s="160">
        <v>1</v>
      </c>
      <c r="I14" s="159" t="s">
        <v>368</v>
      </c>
      <c r="J14" s="161">
        <v>3</v>
      </c>
      <c r="K14" s="181">
        <f>IF(F14="",0,(VLOOKUP('wgl tot'!F14,saltab2019,'wgl tot'!G14+1,FALSE)))</f>
        <v>4851</v>
      </c>
      <c r="L14" s="163">
        <f t="shared" si="8"/>
        <v>4851</v>
      </c>
      <c r="M14" s="151"/>
      <c r="N14" s="181">
        <f>ROUND(IF(('wgl tot'!L14+'wgl tot'!P14)*BF14&lt;'wgl tot'!H14*tabellen!$D$50,'wgl tot'!H14*tabellen!$D$50,('wgl tot'!L14+'wgl tot'!P14)*BF14),2)</f>
        <v>392.15</v>
      </c>
      <c r="O14" s="181">
        <f>ROUND(+('wgl tot'!L14+'wgl tot'!P14)*BG14,2)</f>
        <v>308.82</v>
      </c>
      <c r="P14" s="181">
        <f>ROUND(IF(I14="j",VLOOKUP(BD14,uitlooptoeslag,2,FALSE))*IF('wgl tot'!H14&gt;1,1,'wgl tot'!H14),2)</f>
        <v>50.92</v>
      </c>
      <c r="Q14" s="181">
        <f>ROUND(IF(BI14="j",tabellen!$D$59*IF('wgl tot'!H14&gt;1,1,'wgl tot'!H14),0),2)</f>
        <v>0</v>
      </c>
      <c r="R14" s="181">
        <f>IF(AND(F14&gt;0,F14&lt;17),tabellen!$C$41*'wgl tot'!H14,0)</f>
        <v>0</v>
      </c>
      <c r="S14" s="181">
        <f>VLOOKUP(BH14,eindejaarsuitkering_OOP,2,TRUE)*'wgl tot'!H14/12</f>
        <v>0</v>
      </c>
      <c r="T14" s="181">
        <f>ROUND(H14*tabellen!$D$57,2)</f>
        <v>200</v>
      </c>
      <c r="U14" s="181">
        <f>ROUND(H14*tabellen!C$45,2)</f>
        <v>750</v>
      </c>
      <c r="V14" s="181">
        <f>H14*(IF(F14="L10",42%*VLOOKUP(tabellen!L$45,saltab2018sept,G14+1,FALSE),IF(F14="L11",42%*VLOOKUP(tabellen!L$46,saltab2018sept,G14+1,FALSE),IF(F14="L12",42%*VLOOKUP(tabellen!L$47,saltab2018sept,G14+1,FALSE),IF(F14="L13",42%*VLOOKUP(tabellen!L$48,saltab2018sept,G14+1,FALSE),0)))))</f>
        <v>2037.4199999999998</v>
      </c>
      <c r="W14" s="182">
        <f t="shared" si="9"/>
        <v>70222</v>
      </c>
      <c r="X14" s="181">
        <f>('wgl tot'!L14+'wgl tot'!P14)*tabellen!$C$43*12</f>
        <v>470.58432000000005</v>
      </c>
      <c r="Y14" s="163">
        <f t="shared" si="10"/>
        <v>67905</v>
      </c>
      <c r="Z14" s="151"/>
      <c r="AA14" s="182">
        <f t="shared" si="11"/>
        <v>5658.75</v>
      </c>
      <c r="AB14" s="217">
        <f>+'wgl tot'!X14/12</f>
        <v>39.215360000000004</v>
      </c>
      <c r="AC14" s="151"/>
      <c r="AD14" s="181">
        <f>IF(F14="",0,(IF('wgl tot'!W14/'wgl tot'!H14&lt;tabellen!$E$6,0,('wgl tot'!W14-tabellen!$E$6*'wgl tot'!H14)/12)*tabellen!$C$6))</f>
        <v>819.52954999999997</v>
      </c>
      <c r="AE14" s="181">
        <f>IF(F14="",0,(IF('wgl tot'!W14/'wgl tot'!H14&lt;tabellen!$E$7,0,(+'wgl tot'!W14-tabellen!$E$7*'wgl tot'!H14)/12)*tabellen!$C$7))</f>
        <v>14.385583333333335</v>
      </c>
      <c r="AF14" s="181">
        <f>'wgl tot'!W14/12*tabellen!$C$8</f>
        <v>152.14766666666665</v>
      </c>
      <c r="AG14" s="181">
        <f>IF(H14=0,0,IF(BN14&gt;tabellen!$G$9/12,tabellen!$G$9/12,BN14)*(tabellen!$C$9+tabellen!$C$10))</f>
        <v>372.84666666666658</v>
      </c>
      <c r="AH14" s="181">
        <f>IF(F14="",0,('wgl tot'!BO14))</f>
        <v>323.91000000000003</v>
      </c>
      <c r="AI14" s="183">
        <f>IF(F14="",0,(IF('wgl tot'!BN14&gt;tabellen!$G$12*'wgl tot'!H14/12,tabellen!$G$12*'wgl tot'!H14/12,'wgl tot'!BN14)*tabellen!$C$12))</f>
        <v>36.352549999999994</v>
      </c>
      <c r="AJ14" s="151"/>
      <c r="AK14" s="183">
        <f>IF(F14="",0,('wgl tot'!BN14*IF(J14=1,tabellen!$C$13,IF(J14=2,tabellen!$C$14,IF(J14=3,tabellen!$C$15,IF(J14=5,tabellen!$C$17,IF(J14=6,tabellen!$C$18,IF(J14=7,tabellen!$C$19,IF(J14=8,tabellen!$C$20,tabellen!$C$16)))))))))</f>
        <v>11.66298716</v>
      </c>
      <c r="AL14" s="183">
        <f>IF(F14="",0,('wgl tot'!BN14*tabellen!$C$21))</f>
        <v>212.05431199999998</v>
      </c>
      <c r="AM14" s="237">
        <v>0</v>
      </c>
      <c r="AN14" s="151"/>
      <c r="AO14" s="237">
        <v>0</v>
      </c>
      <c r="AP14" s="151"/>
      <c r="AQ14" s="163">
        <f t="shared" si="1"/>
        <v>7601.6393158266665</v>
      </c>
      <c r="AR14" s="163">
        <f t="shared" si="12"/>
        <v>91219.671789920001</v>
      </c>
      <c r="AS14" s="151"/>
      <c r="AT14" s="187">
        <f t="shared" si="13"/>
        <v>0.56702521455919741</v>
      </c>
      <c r="AU14" s="187">
        <f t="shared" si="14"/>
        <v>0.34334249009528017</v>
      </c>
      <c r="AV14" s="151"/>
      <c r="AW14" s="129"/>
      <c r="AX14" s="121"/>
      <c r="AY14" s="121"/>
      <c r="AZ14" s="165">
        <f ca="1">YEAR('wgl tot'!$AZ$9)-YEAR('wgl tot'!E14)</f>
        <v>59</v>
      </c>
      <c r="BA14" s="165">
        <f ca="1">MONTH('wgl tot'!$AZ$9)-MONTH('wgl tot'!E14)</f>
        <v>8</v>
      </c>
      <c r="BB14" s="165">
        <f ca="1">DAY('wgl tot'!$AZ$9)-DAY('wgl tot'!E14)</f>
        <v>12</v>
      </c>
      <c r="BC14" s="130">
        <f>IF(AND('wgl tot'!F14&gt;0,'wgl tot'!F14&lt;17),0,100)</f>
        <v>100</v>
      </c>
      <c r="BD14" s="130" t="str">
        <f t="shared" si="3"/>
        <v>L12</v>
      </c>
      <c r="BE14" s="148">
        <v>42583</v>
      </c>
      <c r="BF14" s="166">
        <f t="shared" ref="BF14:BF86" si="17">$BF$12</f>
        <v>0.08</v>
      </c>
      <c r="BG14" s="167">
        <f>+tabellen!$D$51</f>
        <v>6.3E-2</v>
      </c>
      <c r="BH14" s="165">
        <f>IF('wgl tot'!BC14=100,0,'wgl tot'!F14)</f>
        <v>0</v>
      </c>
      <c r="BI14" s="167" t="str">
        <f>IF(OR('wgl tot'!F14="DA",'wgl tot'!F14="DB",'wgl tot'!F14="DBuit",'wgl tot'!F14="DC",'wgl tot'!F14="DCuit",MID('wgl tot'!F14,1,5)="meerh"),"j","n")</f>
        <v>n</v>
      </c>
      <c r="BJ14" s="169">
        <f>IF('wgl tot'!W14/'wgl tot'!H14&lt;tabellen!$E$6,0,(+'wgl tot'!W14-tabellen!$E$6*'wgl tot'!H14)/12*tabellen!$D$6)</f>
        <v>351.22694999999999</v>
      </c>
      <c r="BK14" s="169">
        <f>IF('wgl tot'!W14/'wgl tot'!H14&lt;tabellen!$E$7,0,(+'wgl tot'!W14-tabellen!$E$7*'wgl tot'!H14)/12*tabellen!$D$7)</f>
        <v>6.1652500000000003</v>
      </c>
      <c r="BL14" s="169">
        <f>'wgl tot'!W14/12*tabellen!$D$8</f>
        <v>0</v>
      </c>
      <c r="BM14" s="170">
        <f>SUM(BJ14:BL14)</f>
        <v>357.3922</v>
      </c>
      <c r="BN14" s="171">
        <f>+(Y14)/12-'wgl tot'!BM14</f>
        <v>5301.3577999999998</v>
      </c>
      <c r="BO14" s="171">
        <f>ROUND(IF('wgl tot'!BN14&gt;tabellen!$H$11,tabellen!$H$11,'wgl tot'!BN14)*tabellen!$C$11,2)</f>
        <v>323.91000000000003</v>
      </c>
      <c r="BP14" s="171">
        <f>+'wgl tot'!BN14+'wgl tot'!BO14</f>
        <v>5625.2677999999996</v>
      </c>
      <c r="BQ14" s="172">
        <f t="shared" si="5"/>
        <v>1960</v>
      </c>
      <c r="BR14" s="172">
        <f t="shared" si="6"/>
        <v>1</v>
      </c>
      <c r="BS14" s="165">
        <f t="shared" si="7"/>
        <v>2</v>
      </c>
      <c r="BT14" s="148">
        <f t="shared" si="15"/>
        <v>44379</v>
      </c>
      <c r="BU14" s="148">
        <f t="shared" ca="1" si="16"/>
        <v>43722.739781944445</v>
      </c>
      <c r="BV14" s="130"/>
      <c r="BW14" s="148"/>
      <c r="BX14" s="130"/>
      <c r="BY14" s="168"/>
      <c r="BZ14" s="168"/>
      <c r="CA14" s="168"/>
      <c r="CB14" s="168"/>
      <c r="CC14" s="168"/>
      <c r="CD14" s="168"/>
      <c r="CE14" s="121"/>
      <c r="CF14" s="121"/>
    </row>
    <row r="15" spans="1:84" s="132" customFormat="1" ht="12" customHeight="1" x14ac:dyDescent="0.2">
      <c r="A15" s="121"/>
      <c r="B15" s="122"/>
      <c r="C15" s="151"/>
      <c r="D15" s="157" t="s">
        <v>188</v>
      </c>
      <c r="E15" s="158">
        <v>21918</v>
      </c>
      <c r="F15" s="159" t="s">
        <v>177</v>
      </c>
      <c r="G15" s="159">
        <v>15</v>
      </c>
      <c r="H15" s="160">
        <v>1</v>
      </c>
      <c r="I15" s="159" t="s">
        <v>368</v>
      </c>
      <c r="J15" s="161">
        <v>3</v>
      </c>
      <c r="K15" s="181">
        <f>IF(F15="",0,(VLOOKUP('wgl tot'!F15,saltab2019,'wgl tot'!G15+1,FALSE)))</f>
        <v>5294</v>
      </c>
      <c r="L15" s="163">
        <f t="shared" si="8"/>
        <v>5294</v>
      </c>
      <c r="M15" s="151"/>
      <c r="N15" s="181">
        <f>ROUND(IF(('wgl tot'!L15+'wgl tot'!P15)*BF15&lt;'wgl tot'!H15*tabellen!$D$50,'wgl tot'!H15*tabellen!$D$50,('wgl tot'!L15+'wgl tot'!P15)*BF15),2)</f>
        <v>425.53</v>
      </c>
      <c r="O15" s="181">
        <f>ROUND(+('wgl tot'!L15+'wgl tot'!P15)*BG15,2)</f>
        <v>335.11</v>
      </c>
      <c r="P15" s="181">
        <f>ROUND(IF(I15="j",VLOOKUP(BD15,uitlooptoeslag,2,FALSE))*IF('wgl tot'!H15&gt;1,1,'wgl tot'!H15),2)</f>
        <v>25.18</v>
      </c>
      <c r="Q15" s="181">
        <f>ROUND(IF(BI15="j",tabellen!$D$59*IF('wgl tot'!H15&gt;1,1,'wgl tot'!H15),0),2)</f>
        <v>0</v>
      </c>
      <c r="R15" s="181">
        <f>IF(AND(F15&gt;0,F15&lt;17),tabellen!$C$41*'wgl tot'!H15,0)</f>
        <v>0</v>
      </c>
      <c r="S15" s="181">
        <f>VLOOKUP(BH15,eindejaarsuitkering_OOP,2,TRUE)*'wgl tot'!H15/12</f>
        <v>0</v>
      </c>
      <c r="T15" s="181">
        <f>ROUND(H15*tabellen!$D$57,2)</f>
        <v>200</v>
      </c>
      <c r="U15" s="181">
        <f>ROUND(H15*tabellen!C$45,2)</f>
        <v>750</v>
      </c>
      <c r="V15" s="181">
        <f>H15*(IF(F15="L10",42%*VLOOKUP(tabellen!L$45,saltab2018sept,G15+1,FALSE),IF(F15="L11",42%*VLOOKUP(tabellen!L$46,saltab2018sept,G15+1,FALSE),IF(F15="L12",42%*VLOOKUP(tabellen!L$47,saltab2018sept,G15+1,FALSE),IF(F15="L13",42%*VLOOKUP(tabellen!L$48,saltab2018sept,G15+1,FALSE),0)))))</f>
        <v>2223.48</v>
      </c>
      <c r="W15" s="182">
        <f t="shared" si="9"/>
        <v>76131</v>
      </c>
      <c r="X15" s="181">
        <f>('wgl tot'!L15+'wgl tot'!P15)*tabellen!$C$43*12</f>
        <v>510.64128000000005</v>
      </c>
      <c r="Y15" s="163">
        <f t="shared" si="10"/>
        <v>73668</v>
      </c>
      <c r="Z15" s="151"/>
      <c r="AA15" s="182">
        <f t="shared" si="11"/>
        <v>6139</v>
      </c>
      <c r="AB15" s="217">
        <f>+'wgl tot'!X15/12</f>
        <v>42.553440000000002</v>
      </c>
      <c r="AC15" s="151"/>
      <c r="AD15" s="181">
        <f>IF(F15="",0,(IF('wgl tot'!W15/'wgl tot'!H15&lt;tabellen!$E$6,0,('wgl tot'!W15-tabellen!$E$6*'wgl tot'!H15)/12)*tabellen!$C$6))</f>
        <v>905.35777500000006</v>
      </c>
      <c r="AE15" s="181">
        <f>IF(F15="",0,(IF('wgl tot'!W15/'wgl tot'!H15&lt;tabellen!$E$7,0,(+'wgl tot'!W15-tabellen!$E$7*'wgl tot'!H15)/12)*tabellen!$C$7))</f>
        <v>16.109041666666666</v>
      </c>
      <c r="AF15" s="181">
        <f>'wgl tot'!W15/12*tabellen!$C$8</f>
        <v>164.95050000000001</v>
      </c>
      <c r="AG15" s="181">
        <f>IF(H15=0,0,IF(BN15&gt;tabellen!$G$9/12,tabellen!$G$9/12,BN15)*(tabellen!$C$9+tabellen!$C$10))</f>
        <v>372.84666666666658</v>
      </c>
      <c r="AH15" s="181">
        <f>IF(F15="",0,('wgl tot'!BO15))</f>
        <v>323.91000000000003</v>
      </c>
      <c r="AI15" s="183">
        <f>IF(F15="",0,(IF('wgl tot'!BN15&gt;tabellen!$G$12*'wgl tot'!H15/12,tabellen!$G$12*'wgl tot'!H15/12,'wgl tot'!BN15)*tabellen!$C$12))</f>
        <v>36.352549999999994</v>
      </c>
      <c r="AJ15" s="151"/>
      <c r="AK15" s="183">
        <f>IF(F15="",0,('wgl tot'!BN15*IF(J15=1,tabellen!$C$13,IF(J15=2,tabellen!$C$14,IF(J15=3,tabellen!$C$15,IF(J15=5,tabellen!$C$17,IF(J15=6,tabellen!$C$18,IF(J15=7,tabellen!$C$19,IF(J15=8,tabellen!$C$20,tabellen!$C$16)))))))))</f>
        <v>12.636988430000001</v>
      </c>
      <c r="AL15" s="183">
        <f>IF(F15="",0,('wgl tot'!BN15*tabellen!$C$21))</f>
        <v>229.76342600000001</v>
      </c>
      <c r="AM15" s="237">
        <v>0</v>
      </c>
      <c r="AN15" s="151"/>
      <c r="AO15" s="237">
        <v>0</v>
      </c>
      <c r="AP15" s="151"/>
      <c r="AQ15" s="163">
        <f t="shared" si="1"/>
        <v>8200.9269477633334</v>
      </c>
      <c r="AR15" s="163">
        <f t="shared" si="12"/>
        <v>98411.123373159993</v>
      </c>
      <c r="AS15" s="151"/>
      <c r="AT15" s="187">
        <f t="shared" si="13"/>
        <v>0.54909840343092808</v>
      </c>
      <c r="AU15" s="187">
        <f t="shared" si="14"/>
        <v>0.33587342364608785</v>
      </c>
      <c r="AV15" s="151"/>
      <c r="AW15" s="129"/>
      <c r="AX15" s="121"/>
      <c r="AY15" s="121"/>
      <c r="AZ15" s="165">
        <f ca="1">YEAR('wgl tot'!$AZ$9)-YEAR('wgl tot'!E15)</f>
        <v>59</v>
      </c>
      <c r="BA15" s="165">
        <f ca="1">MONTH('wgl tot'!$AZ$9)-MONTH('wgl tot'!E15)</f>
        <v>8</v>
      </c>
      <c r="BB15" s="165">
        <f ca="1">DAY('wgl tot'!$AZ$9)-DAY('wgl tot'!E15)</f>
        <v>11</v>
      </c>
      <c r="BC15" s="130">
        <f>IF(AND('wgl tot'!F15&gt;0,'wgl tot'!F15&lt;17),0,100)</f>
        <v>100</v>
      </c>
      <c r="BD15" s="130" t="str">
        <f t="shared" si="3"/>
        <v>L13</v>
      </c>
      <c r="BE15" s="148">
        <v>42583</v>
      </c>
      <c r="BF15" s="166">
        <f t="shared" si="17"/>
        <v>0.08</v>
      </c>
      <c r="BG15" s="167">
        <f>+tabellen!$D$51</f>
        <v>6.3E-2</v>
      </c>
      <c r="BH15" s="165">
        <f>IF('wgl tot'!BC15=100,0,'wgl tot'!F15)</f>
        <v>0</v>
      </c>
      <c r="BI15" s="167" t="str">
        <f>IF(OR('wgl tot'!F15="DA",'wgl tot'!F15="DB",'wgl tot'!F15="DBuit",'wgl tot'!F15="DC",'wgl tot'!F15="DCuit",MID('wgl tot'!F15,1,5)="meerh"),"j","n")</f>
        <v>n</v>
      </c>
      <c r="BJ15" s="169">
        <f>IF('wgl tot'!W15/'wgl tot'!H15&lt;tabellen!$E$6,0,(+'wgl tot'!W15-tabellen!$E$6*'wgl tot'!H15)/12*tabellen!$D$6)</f>
        <v>388.01047499999999</v>
      </c>
      <c r="BK15" s="169">
        <f>IF('wgl tot'!W15/'wgl tot'!H15&lt;tabellen!$E$7,0,(+'wgl tot'!W15-tabellen!$E$7*'wgl tot'!H15)/12*tabellen!$D$7)</f>
        <v>6.9038749999999993</v>
      </c>
      <c r="BL15" s="169">
        <f>'wgl tot'!W15/12*tabellen!$D$8</f>
        <v>0</v>
      </c>
      <c r="BM15" s="170">
        <f t="shared" si="4"/>
        <v>394.91435000000001</v>
      </c>
      <c r="BN15" s="171">
        <f>+Y15/12-'wgl tot'!BM15</f>
        <v>5744.08565</v>
      </c>
      <c r="BO15" s="171">
        <f>ROUND(IF('wgl tot'!BN15&gt;tabellen!$H$11,tabellen!$H$11,'wgl tot'!BN15)*tabellen!$C$11,2)</f>
        <v>323.91000000000003</v>
      </c>
      <c r="BP15" s="171">
        <f>+'wgl tot'!BN15+'wgl tot'!BO15</f>
        <v>6067.9956499999998</v>
      </c>
      <c r="BQ15" s="172">
        <f t="shared" si="5"/>
        <v>1960</v>
      </c>
      <c r="BR15" s="172">
        <f t="shared" si="6"/>
        <v>1</v>
      </c>
      <c r="BS15" s="165">
        <f t="shared" si="7"/>
        <v>3</v>
      </c>
      <c r="BT15" s="148">
        <f t="shared" si="15"/>
        <v>44380</v>
      </c>
      <c r="BU15" s="148">
        <f t="shared" ca="1" si="16"/>
        <v>43722.739781944445</v>
      </c>
      <c r="BV15" s="130"/>
      <c r="BW15" s="148"/>
      <c r="BX15" s="130"/>
      <c r="BY15" s="168"/>
      <c r="BZ15" s="168"/>
      <c r="CA15" s="168"/>
      <c r="CB15" s="168"/>
      <c r="CC15" s="168"/>
      <c r="CD15" s="168"/>
      <c r="CE15" s="121"/>
      <c r="CF15" s="121"/>
    </row>
    <row r="16" spans="1:84" s="132" customFormat="1" ht="12" customHeight="1" x14ac:dyDescent="0.2">
      <c r="A16" s="121"/>
      <c r="B16" s="122"/>
      <c r="C16" s="151"/>
      <c r="D16" s="157" t="s">
        <v>188</v>
      </c>
      <c r="E16" s="158">
        <v>21919</v>
      </c>
      <c r="F16" s="159" t="s">
        <v>178</v>
      </c>
      <c r="G16" s="159">
        <v>15</v>
      </c>
      <c r="H16" s="160">
        <v>1</v>
      </c>
      <c r="I16" s="159" t="s">
        <v>368</v>
      </c>
      <c r="J16" s="161">
        <v>3</v>
      </c>
      <c r="K16" s="181">
        <f>IF(F16="",0,(VLOOKUP('wgl tot'!F16,saltab2019,'wgl tot'!G16+1,FALSE)))</f>
        <v>5732</v>
      </c>
      <c r="L16" s="163">
        <f t="shared" si="8"/>
        <v>5732</v>
      </c>
      <c r="M16" s="151"/>
      <c r="N16" s="181">
        <f>ROUND(IF(('wgl tot'!L16+'wgl tot'!P16)*BF16&lt;'wgl tot'!H16*tabellen!$D$50,'wgl tot'!H16*tabellen!$D$50,('wgl tot'!L16+'wgl tot'!P16)*BF16),2)</f>
        <v>458.56</v>
      </c>
      <c r="O16" s="181">
        <f>ROUND(+('wgl tot'!L16+'wgl tot'!P16)*BG16,2)</f>
        <v>361.12</v>
      </c>
      <c r="P16" s="181">
        <f>ROUND(IF(I16="j",VLOOKUP(BD16,uitlooptoeslag,2,FALSE))*IF('wgl tot'!H16&gt;1,1,'wgl tot'!H16),2)</f>
        <v>0</v>
      </c>
      <c r="Q16" s="181">
        <f>ROUND(IF(BI16="j",tabellen!$D$59*IF('wgl tot'!H16&gt;1,1,'wgl tot'!H16),0),2)</f>
        <v>0</v>
      </c>
      <c r="R16" s="181">
        <f>IF(AND(F16&gt;0,F16&lt;17),tabellen!$C$41*'wgl tot'!H16,0)</f>
        <v>0</v>
      </c>
      <c r="S16" s="181">
        <f>VLOOKUP(BH16,eindejaarsuitkering_OOP,2,TRUE)*'wgl tot'!H16/12</f>
        <v>0</v>
      </c>
      <c r="T16" s="181">
        <f>ROUND(H16*tabellen!$D$57,2)</f>
        <v>200</v>
      </c>
      <c r="U16" s="181">
        <f>ROUND(H16*tabellen!C$45,2)</f>
        <v>750</v>
      </c>
      <c r="V16" s="181">
        <f>H16*(IF(F16="L10",42%*VLOOKUP(tabellen!L$45,saltab2018sept,G16+1,FALSE),IF(F16="L11",42%*VLOOKUP(tabellen!L$46,saltab2018sept,G16+1,FALSE),IF(F16="L12",42%*VLOOKUP(tabellen!L$47,saltab2018sept,G16+1,FALSE),IF(F16="L13",42%*VLOOKUP(tabellen!L$48,saltab2018sept,G16+1,FALSE),0)))))</f>
        <v>0</v>
      </c>
      <c r="W16" s="182">
        <f t="shared" si="9"/>
        <v>79570</v>
      </c>
      <c r="X16" s="181">
        <f>('wgl tot'!L16+'wgl tot'!P16)*tabellen!$C$43*12</f>
        <v>550.27200000000005</v>
      </c>
      <c r="Y16" s="163">
        <f t="shared" si="10"/>
        <v>79370</v>
      </c>
      <c r="Z16" s="151"/>
      <c r="AA16" s="182">
        <f t="shared" si="11"/>
        <v>6614.166666666667</v>
      </c>
      <c r="AB16" s="217">
        <f>+'wgl tot'!X16/12</f>
        <v>45.856000000000002</v>
      </c>
      <c r="AC16" s="151"/>
      <c r="AD16" s="181">
        <f>IF(F16="",0,(IF('wgl tot'!W16/'wgl tot'!H16&lt;tabellen!$E$6,0,('wgl tot'!W16-tabellen!$E$6*'wgl tot'!H16)/12)*tabellen!$C$6))</f>
        <v>955.30925000000002</v>
      </c>
      <c r="AE16" s="181">
        <f>IF(F16="",0,(IF('wgl tot'!W16/'wgl tot'!H16&lt;tabellen!$E$7,0,(+'wgl tot'!W16-tabellen!$E$7*'wgl tot'!H16)/12)*tabellen!$C$7))</f>
        <v>17.112083333333334</v>
      </c>
      <c r="AF16" s="181">
        <f>'wgl tot'!W16/12*tabellen!$C$8</f>
        <v>172.40166666666664</v>
      </c>
      <c r="AG16" s="181">
        <f>IF(H16=0,0,IF(BN16&gt;tabellen!$G$9/12,tabellen!$G$9/12,BN16)*(tabellen!$C$9+tabellen!$C$10))</f>
        <v>372.84666666666658</v>
      </c>
      <c r="AH16" s="181">
        <f>IF(F16="",0,('wgl tot'!BO16))</f>
        <v>323.91000000000003</v>
      </c>
      <c r="AI16" s="183">
        <f>IF(F16="",0,(IF('wgl tot'!BN16&gt;tabellen!$G$12*'wgl tot'!H16/12,tabellen!$G$12*'wgl tot'!H16/12,'wgl tot'!BN16)*tabellen!$C$12))</f>
        <v>36.352549999999994</v>
      </c>
      <c r="AJ16" s="151"/>
      <c r="AK16" s="183">
        <f>IF(F16="",0,('wgl tot'!BN16*IF(J16=1,tabellen!$C$13,IF(J16=2,tabellen!$C$14,IF(J16=3,tabellen!$C$15,IF(J16=5,tabellen!$C$17,IF(J16=6,tabellen!$C$18,IF(J16=7,tabellen!$C$19,IF(J16=8,tabellen!$C$20,tabellen!$C$16)))))))))</f>
        <v>13.634312266666667</v>
      </c>
      <c r="AL16" s="183">
        <f>IF(F16="",0,('wgl tot'!BN16*tabellen!$C$21))</f>
        <v>247.89658666666668</v>
      </c>
      <c r="AM16" s="237">
        <v>0</v>
      </c>
      <c r="AN16" s="151"/>
      <c r="AO16" s="237">
        <v>0</v>
      </c>
      <c r="AP16" s="151"/>
      <c r="AQ16" s="163">
        <f t="shared" si="1"/>
        <v>8753.6297822666656</v>
      </c>
      <c r="AR16" s="163">
        <f t="shared" si="12"/>
        <v>105043.55738719998</v>
      </c>
      <c r="AS16" s="151"/>
      <c r="AT16" s="187">
        <f t="shared" si="13"/>
        <v>0.52715104366131649</v>
      </c>
      <c r="AU16" s="187">
        <f t="shared" si="14"/>
        <v>0.32346676813909525</v>
      </c>
      <c r="AV16" s="151"/>
      <c r="AW16" s="129"/>
      <c r="AX16" s="121"/>
      <c r="AY16" s="121"/>
      <c r="AZ16" s="165">
        <f ca="1">YEAR('wgl tot'!$AZ$9)-YEAR('wgl tot'!E16)</f>
        <v>59</v>
      </c>
      <c r="BA16" s="165">
        <f ca="1">MONTH('wgl tot'!$AZ$9)-MONTH('wgl tot'!E16)</f>
        <v>8</v>
      </c>
      <c r="BB16" s="165">
        <f ca="1">DAY('wgl tot'!$AZ$9)-DAY('wgl tot'!E16)</f>
        <v>10</v>
      </c>
      <c r="BC16" s="130">
        <f>IF(AND('wgl tot'!F16&gt;0,'wgl tot'!F16&lt;17),0,100)</f>
        <v>100</v>
      </c>
      <c r="BD16" s="130" t="str">
        <f t="shared" si="3"/>
        <v>L14</v>
      </c>
      <c r="BE16" s="148">
        <v>42583</v>
      </c>
      <c r="BF16" s="166">
        <f t="shared" si="17"/>
        <v>0.08</v>
      </c>
      <c r="BG16" s="167">
        <f>+tabellen!$D$51</f>
        <v>6.3E-2</v>
      </c>
      <c r="BH16" s="165">
        <f>IF('wgl tot'!BC16=100,0,'wgl tot'!F16)</f>
        <v>0</v>
      </c>
      <c r="BI16" s="167" t="str">
        <f>IF(OR('wgl tot'!F16="DA",'wgl tot'!F16="DB",'wgl tot'!F16="DBuit",'wgl tot'!F16="DC",'wgl tot'!F16="DCuit",MID('wgl tot'!F16,1,5)="meerh"),"j","n")</f>
        <v>n</v>
      </c>
      <c r="BJ16" s="169">
        <f>IF('wgl tot'!W16/'wgl tot'!H16&lt;tabellen!$E$6,0,(+'wgl tot'!W16-tabellen!$E$6*'wgl tot'!H16)/12*tabellen!$D$6)</f>
        <v>409.41825</v>
      </c>
      <c r="BK16" s="169">
        <f>IF('wgl tot'!W16/'wgl tot'!H16&lt;tabellen!$E$7,0,(+'wgl tot'!W16-tabellen!$E$7*'wgl tot'!H16)/12*tabellen!$D$7)</f>
        <v>7.3337500000000002</v>
      </c>
      <c r="BL16" s="169">
        <f>'wgl tot'!W16/12*tabellen!$D$8</f>
        <v>0</v>
      </c>
      <c r="BM16" s="170">
        <f t="shared" si="4"/>
        <v>416.75200000000001</v>
      </c>
      <c r="BN16" s="171">
        <f>+Y16/12-'wgl tot'!BM16</f>
        <v>6197.4146666666666</v>
      </c>
      <c r="BO16" s="171">
        <f>ROUND(IF('wgl tot'!BN16&gt;tabellen!$H$11,tabellen!$H$11,'wgl tot'!BN16)*tabellen!$C$11,2)</f>
        <v>323.91000000000003</v>
      </c>
      <c r="BP16" s="171">
        <f>+'wgl tot'!BN16+'wgl tot'!BO16</f>
        <v>6521.3246666666664</v>
      </c>
      <c r="BQ16" s="172">
        <f t="shared" si="5"/>
        <v>1960</v>
      </c>
      <c r="BR16" s="172">
        <f t="shared" si="6"/>
        <v>1</v>
      </c>
      <c r="BS16" s="165">
        <f t="shared" si="7"/>
        <v>4</v>
      </c>
      <c r="BT16" s="148">
        <f t="shared" si="15"/>
        <v>44381</v>
      </c>
      <c r="BU16" s="148">
        <f t="shared" ca="1" si="16"/>
        <v>43722.739781944445</v>
      </c>
      <c r="BV16" s="130"/>
      <c r="BW16" s="148"/>
      <c r="BX16" s="130"/>
      <c r="BY16" s="168"/>
      <c r="BZ16" s="168"/>
      <c r="CA16" s="168"/>
      <c r="CB16" s="168"/>
      <c r="CC16" s="168"/>
      <c r="CD16" s="168"/>
      <c r="CE16" s="121"/>
      <c r="CF16" s="121"/>
    </row>
    <row r="17" spans="1:84" s="132" customFormat="1" ht="12" customHeight="1" x14ac:dyDescent="0.2">
      <c r="A17" s="121"/>
      <c r="B17" s="122"/>
      <c r="C17" s="151"/>
      <c r="D17" s="157" t="s">
        <v>188</v>
      </c>
      <c r="E17" s="158">
        <v>21920</v>
      </c>
      <c r="F17" s="159">
        <v>8</v>
      </c>
      <c r="G17" s="159">
        <v>11</v>
      </c>
      <c r="H17" s="160">
        <v>1</v>
      </c>
      <c r="I17" s="159" t="s">
        <v>220</v>
      </c>
      <c r="J17" s="161">
        <v>3</v>
      </c>
      <c r="K17" s="181">
        <f>IF(F17="",0,(VLOOKUP('wgl tot'!F17,saltab2019,'wgl tot'!G17+1,FALSE)))</f>
        <v>3043</v>
      </c>
      <c r="L17" s="163">
        <f t="shared" si="8"/>
        <v>3043</v>
      </c>
      <c r="M17" s="151"/>
      <c r="N17" s="181">
        <f>ROUND(IF(('wgl tot'!L17+'wgl tot'!P17)*BF17&lt;'wgl tot'!H17*tabellen!$D$50,'wgl tot'!H17*tabellen!$D$50,('wgl tot'!L17+'wgl tot'!P17)*BF17),2)</f>
        <v>243.44</v>
      </c>
      <c r="O17" s="181">
        <f>ROUND(+('wgl tot'!L17+'wgl tot'!P17)*BG17,2)</f>
        <v>191.71</v>
      </c>
      <c r="P17" s="181">
        <f>ROUND(IF(I17="j",VLOOKUP(BD17,uitlooptoeslag,2,FALSE))*IF('wgl tot'!H17&gt;1,1,'wgl tot'!H17),2)</f>
        <v>0</v>
      </c>
      <c r="Q17" s="181">
        <f>ROUND(IF(BI17="j",tabellen!$D$59*IF('wgl tot'!H17&gt;1,1,'wgl tot'!H17),0),2)</f>
        <v>0</v>
      </c>
      <c r="R17" s="181">
        <f>IF(AND(F17&gt;0,F17&lt;17),tabellen!$C$41*'wgl tot'!H17,0)</f>
        <v>35.33</v>
      </c>
      <c r="S17" s="181">
        <f>VLOOKUP(BH17,eindejaarsuitkering_OOP,2,TRUE)*'wgl tot'!H17/12</f>
        <v>93.144999999999996</v>
      </c>
      <c r="T17" s="181">
        <f>ROUND(H17*tabellen!$D$57,2)</f>
        <v>200</v>
      </c>
      <c r="U17" s="181">
        <f>ROUND(H17*tabellen!C$45,2)</f>
        <v>750</v>
      </c>
      <c r="V17" s="181">
        <f>H17*(IF(F17="L10",42%*VLOOKUP(tabellen!L$45,saltab2018sept,G17+1,FALSE),IF(F17="L11",42%*VLOOKUP(tabellen!L$46,saltab2018sept,G17+1,FALSE),IF(F17="L12",42%*VLOOKUP(tabellen!L$47,saltab2018sept,G17+1,FALSE),IF(F17="L13",42%*VLOOKUP(tabellen!L$48,saltab2018sept,G17+1,FALSE),0)))))</f>
        <v>0</v>
      </c>
      <c r="W17" s="182">
        <f t="shared" si="9"/>
        <v>44230</v>
      </c>
      <c r="X17" s="181">
        <f>('wgl tot'!L17+'wgl tot'!P17)*tabellen!$C$43*12</f>
        <v>292.12800000000004</v>
      </c>
      <c r="Y17" s="163">
        <f t="shared" si="10"/>
        <v>43772</v>
      </c>
      <c r="Z17" s="151"/>
      <c r="AA17" s="182">
        <f t="shared" si="11"/>
        <v>3647.6666666666665</v>
      </c>
      <c r="AB17" s="217">
        <f>+'wgl tot'!X17/12</f>
        <v>24.344000000000005</v>
      </c>
      <c r="AC17" s="151"/>
      <c r="AD17" s="181">
        <f>IF(F17="",0,(IF('wgl tot'!W17/'wgl tot'!H17&lt;tabellen!$E$6,0,('wgl tot'!W17-tabellen!$E$6*'wgl tot'!H17)/12)*tabellen!$C$6))</f>
        <v>441.99575000000004</v>
      </c>
      <c r="AE17" s="181">
        <f>IF(F17="",0,(IF('wgl tot'!W17/'wgl tot'!H17&lt;tabellen!$E$7,0,(+'wgl tot'!W17-tabellen!$E$7*'wgl tot'!H17)/12)*tabellen!$C$7))</f>
        <v>6.8045833333333334</v>
      </c>
      <c r="AF17" s="181">
        <f>'wgl tot'!W17/12*tabellen!$C$8</f>
        <v>95.831666666666663</v>
      </c>
      <c r="AG17" s="181">
        <f>IF(H17=0,0,IF(BN17&gt;tabellen!$G$9/12,tabellen!$G$9/12,BN17)*(tabellen!$C$9+tabellen!$C$10))</f>
        <v>276.42589333333331</v>
      </c>
      <c r="AH17" s="181">
        <f>IF(F17="",0,('wgl tot'!BO17))</f>
        <v>240.14</v>
      </c>
      <c r="AI17" s="183">
        <f>IF(F17="",0,(IF('wgl tot'!BN17&gt;tabellen!$G$12*'wgl tot'!H17/12,tabellen!$G$12*'wgl tot'!H17/12,'wgl tot'!BN17)*tabellen!$C$12))</f>
        <v>26.951524599999999</v>
      </c>
      <c r="AJ17" s="151"/>
      <c r="AK17" s="183">
        <f>IF(F17="",0,('wgl tot'!BN17*IF(J17=1,tabellen!$C$13,IF(J17=2,tabellen!$C$14,IF(J17=3,tabellen!$C$15,IF(J17=5,tabellen!$C$17,IF(J17=6,tabellen!$C$18,IF(J17=7,tabellen!$C$19,IF(J17=8,tabellen!$C$20,tabellen!$C$16)))))))))</f>
        <v>7.6017120666666669</v>
      </c>
      <c r="AL17" s="183">
        <f>IF(F17="",0,('wgl tot'!BN17*tabellen!$C$21))</f>
        <v>138.21294666666668</v>
      </c>
      <c r="AM17" s="237">
        <v>0</v>
      </c>
      <c r="AN17" s="151"/>
      <c r="AO17" s="237">
        <v>0</v>
      </c>
      <c r="AP17" s="151"/>
      <c r="AQ17" s="163">
        <f t="shared" si="1"/>
        <v>4881.6307433333341</v>
      </c>
      <c r="AR17" s="163">
        <f t="shared" si="12"/>
        <v>58579.568920000005</v>
      </c>
      <c r="AS17" s="151"/>
      <c r="AT17" s="187">
        <f t="shared" si="13"/>
        <v>0.60421647825610725</v>
      </c>
      <c r="AU17" s="187">
        <f t="shared" si="14"/>
        <v>0.33828860732888621</v>
      </c>
      <c r="AV17" s="151"/>
      <c r="AW17" s="129"/>
      <c r="AX17" s="121"/>
      <c r="AY17" s="121"/>
      <c r="AZ17" s="165">
        <f ca="1">YEAR('wgl tot'!$AZ$9)-YEAR('wgl tot'!E17)</f>
        <v>59</v>
      </c>
      <c r="BA17" s="165">
        <f ca="1">MONTH('wgl tot'!$AZ$9)-MONTH('wgl tot'!E17)</f>
        <v>8</v>
      </c>
      <c r="BB17" s="165">
        <f ca="1">DAY('wgl tot'!$AZ$9)-DAY('wgl tot'!E17)</f>
        <v>9</v>
      </c>
      <c r="BC17" s="130">
        <f>IF(AND('wgl tot'!F17&gt;0,'wgl tot'!F17&lt;17),0,100)</f>
        <v>0</v>
      </c>
      <c r="BD17" s="130">
        <f t="shared" si="3"/>
        <v>8</v>
      </c>
      <c r="BE17" s="148">
        <v>42583</v>
      </c>
      <c r="BF17" s="166">
        <f t="shared" si="17"/>
        <v>0.08</v>
      </c>
      <c r="BG17" s="167">
        <f>+tabellen!$D$51</f>
        <v>6.3E-2</v>
      </c>
      <c r="BH17" s="165">
        <f>IF('wgl tot'!BC17=100,0,'wgl tot'!F17)</f>
        <v>8</v>
      </c>
      <c r="BI17" s="167" t="str">
        <f>IF(OR('wgl tot'!F17="DA",'wgl tot'!F17="DB",'wgl tot'!F17="DBuit",'wgl tot'!F17="DC",'wgl tot'!F17="DCuit",MID('wgl tot'!F17,1,5)="meerh"),"j","n")</f>
        <v>n</v>
      </c>
      <c r="BJ17" s="169">
        <f>IF('wgl tot'!W17/'wgl tot'!H17&lt;tabellen!$E$6,0,(+'wgl tot'!W17-tabellen!$E$6*'wgl tot'!H17)/12*tabellen!$D$6)</f>
        <v>189.42675000000003</v>
      </c>
      <c r="BK17" s="169">
        <f>IF('wgl tot'!W17/'wgl tot'!H17&lt;tabellen!$E$7,0,(+'wgl tot'!W17-tabellen!$E$7*'wgl tot'!H17)/12*tabellen!$D$7)</f>
        <v>2.9162500000000002</v>
      </c>
      <c r="BL17" s="169">
        <f>'wgl tot'!W17/12*tabellen!$D$8</f>
        <v>0</v>
      </c>
      <c r="BM17" s="170">
        <f t="shared" si="4"/>
        <v>192.34300000000002</v>
      </c>
      <c r="BN17" s="171">
        <f>+Y17/12-'wgl tot'!BM17</f>
        <v>3455.3236666666667</v>
      </c>
      <c r="BO17" s="171">
        <f>ROUND(IF('wgl tot'!BN17&gt;tabellen!$H$11,tabellen!$H$11,'wgl tot'!BN17)*tabellen!$C$11,2)</f>
        <v>240.14</v>
      </c>
      <c r="BP17" s="171">
        <f>+'wgl tot'!BN17+'wgl tot'!BO17</f>
        <v>3695.4636666666665</v>
      </c>
      <c r="BQ17" s="172">
        <f t="shared" si="5"/>
        <v>1960</v>
      </c>
      <c r="BR17" s="172">
        <f t="shared" si="6"/>
        <v>1</v>
      </c>
      <c r="BS17" s="165">
        <f t="shared" si="7"/>
        <v>5</v>
      </c>
      <c r="BT17" s="148">
        <f t="shared" si="15"/>
        <v>44382</v>
      </c>
      <c r="BU17" s="148">
        <f t="shared" ca="1" si="16"/>
        <v>43722.739781944445</v>
      </c>
      <c r="BV17" s="130"/>
      <c r="BW17" s="148"/>
      <c r="BX17" s="130"/>
      <c r="BY17" s="168"/>
      <c r="BZ17" s="168"/>
      <c r="CA17" s="168"/>
      <c r="CB17" s="168"/>
      <c r="CC17" s="168"/>
      <c r="CD17" s="168"/>
      <c r="CE17" s="121"/>
      <c r="CF17" s="121"/>
    </row>
    <row r="18" spans="1:84" s="132" customFormat="1" ht="12" customHeight="1" x14ac:dyDescent="0.2">
      <c r="A18" s="121"/>
      <c r="B18" s="122"/>
      <c r="C18" s="151"/>
      <c r="D18" s="157" t="s">
        <v>188</v>
      </c>
      <c r="E18" s="158">
        <v>21921</v>
      </c>
      <c r="F18" s="159" t="s">
        <v>3</v>
      </c>
      <c r="G18" s="159">
        <v>11</v>
      </c>
      <c r="H18" s="160">
        <v>1</v>
      </c>
      <c r="I18" s="159" t="s">
        <v>220</v>
      </c>
      <c r="J18" s="161">
        <v>3</v>
      </c>
      <c r="K18" s="181">
        <f>IF(F18="",0,(VLOOKUP('wgl tot'!F18,saltab2019,'wgl tot'!G18+1,FALSE)))</f>
        <v>4344</v>
      </c>
      <c r="L18" s="163">
        <f t="shared" si="8"/>
        <v>4344</v>
      </c>
      <c r="M18" s="151"/>
      <c r="N18" s="181">
        <f>ROUND(IF(('wgl tot'!L18+'wgl tot'!P18)*BF18&lt;'wgl tot'!H18*tabellen!$D$50,'wgl tot'!H18*tabellen!$D$50,('wgl tot'!L18+'wgl tot'!P18)*BF18),2)</f>
        <v>347.52</v>
      </c>
      <c r="O18" s="181">
        <f>ROUND(+('wgl tot'!L18+'wgl tot'!P18)*BG18,2)</f>
        <v>273.67</v>
      </c>
      <c r="P18" s="181">
        <f>ROUND(IF(I18="j",VLOOKUP(BD18,uitlooptoeslag,2,FALSE))*IF('wgl tot'!H18&gt;1,1,'wgl tot'!H18),2)</f>
        <v>0</v>
      </c>
      <c r="Q18" s="181">
        <f>ROUND(IF(BI18="j",tabellen!$D$59*IF('wgl tot'!H18&gt;1,1,'wgl tot'!H18),0),2)</f>
        <v>324.87</v>
      </c>
      <c r="R18" s="181">
        <f>IF(AND(F18&gt;0,F18&lt;17),tabellen!$C$41*'wgl tot'!H18,0)</f>
        <v>0</v>
      </c>
      <c r="S18" s="181">
        <f>VLOOKUP(BH18,eindejaarsuitkering_OOP,2,TRUE)*'wgl tot'!H18/12</f>
        <v>0</v>
      </c>
      <c r="T18" s="181">
        <f>ROUND(H18*tabellen!$D$57,2)</f>
        <v>200</v>
      </c>
      <c r="U18" s="181">
        <f>ROUND(H18*tabellen!C$45,2)</f>
        <v>750</v>
      </c>
      <c r="V18" s="181">
        <f>H18*(IF(F18="L10",42%*VLOOKUP(tabellen!L$45,saltab2018sept,G18+1,FALSE),IF(F18="L11",42%*VLOOKUP(tabellen!L$46,saltab2018sept,G18+1,FALSE),IF(F18="L12",42%*VLOOKUP(tabellen!L$47,saltab2018sept,G18+1,FALSE),IF(F18="L13",42%*VLOOKUP(tabellen!L$48,saltab2018sept,G18+1,FALSE),0)))))</f>
        <v>0</v>
      </c>
      <c r="W18" s="182">
        <f t="shared" si="9"/>
        <v>64431</v>
      </c>
      <c r="X18" s="181">
        <f>('wgl tot'!L18+'wgl tot'!P18)*tabellen!$C$43*12</f>
        <v>417.024</v>
      </c>
      <c r="Y18" s="163">
        <f t="shared" si="10"/>
        <v>64098</v>
      </c>
      <c r="Z18" s="151"/>
      <c r="AA18" s="182">
        <f t="shared" si="11"/>
        <v>5341.5</v>
      </c>
      <c r="AB18" s="217">
        <f>+'wgl tot'!X18/12</f>
        <v>34.752000000000002</v>
      </c>
      <c r="AC18" s="151"/>
      <c r="AD18" s="181">
        <f>IF(F18="",0,(IF('wgl tot'!W18/'wgl tot'!H18&lt;tabellen!$E$6,0,('wgl tot'!W18-tabellen!$E$6*'wgl tot'!H18)/12)*tabellen!$C$6))</f>
        <v>735.41527500000007</v>
      </c>
      <c r="AE18" s="181">
        <f>IF(F18="",0,(IF('wgl tot'!W18/'wgl tot'!H18&lt;tabellen!$E$7,0,(+'wgl tot'!W18-tabellen!$E$7*'wgl tot'!H18)/12)*tabellen!$C$7))</f>
        <v>12.696541666666667</v>
      </c>
      <c r="AF18" s="181">
        <f>'wgl tot'!W18/12*tabellen!$C$8</f>
        <v>139.60049999999998</v>
      </c>
      <c r="AG18" s="181">
        <f>IF(H18=0,0,IF(BN18&gt;tabellen!$G$9/12,tabellen!$G$9/12,BN18)*(tabellen!$C$9+tabellen!$C$10))</f>
        <v>372.84666666666658</v>
      </c>
      <c r="AH18" s="181">
        <f>IF(F18="",0,('wgl tot'!BO18))</f>
        <v>323.91000000000003</v>
      </c>
      <c r="AI18" s="183">
        <f>IF(F18="",0,(IF('wgl tot'!BN18&gt;tabellen!$G$12*'wgl tot'!H18/12,tabellen!$G$12*'wgl tot'!H18/12,'wgl tot'!BN18)*tabellen!$C$12))</f>
        <v>36.352549999999994</v>
      </c>
      <c r="AJ18" s="151"/>
      <c r="AK18" s="183">
        <f>IF(F18="",0,('wgl tot'!BN18*IF(J18=1,tabellen!$C$13,IF(J18=2,tabellen!$C$14,IF(J18=3,tabellen!$C$15,IF(J18=5,tabellen!$C$17,IF(J18=6,tabellen!$C$18,IF(J18=7,tabellen!$C$19,IF(J18=8,tabellen!$C$20,tabellen!$C$16)))))))))</f>
        <v>11.04593743</v>
      </c>
      <c r="AL18" s="183">
        <f>IF(F18="",0,('wgl tot'!BN18*tabellen!$C$21))</f>
        <v>200.83522600000001</v>
      </c>
      <c r="AM18" s="237">
        <v>0</v>
      </c>
      <c r="AN18" s="151"/>
      <c r="AO18" s="237">
        <v>0</v>
      </c>
      <c r="AP18" s="151"/>
      <c r="AQ18" s="163">
        <f t="shared" si="1"/>
        <v>7174.2026967633319</v>
      </c>
      <c r="AR18" s="163">
        <f t="shared" si="12"/>
        <v>86090.432361159983</v>
      </c>
      <c r="AS18" s="151"/>
      <c r="AT18" s="187">
        <f t="shared" si="13"/>
        <v>0.65151995781844652</v>
      </c>
      <c r="AU18" s="187">
        <f t="shared" si="14"/>
        <v>0.34310637400792521</v>
      </c>
      <c r="AV18" s="151"/>
      <c r="AW18" s="129"/>
      <c r="AX18" s="121"/>
      <c r="AY18" s="121"/>
      <c r="AZ18" s="165">
        <f ca="1">YEAR('wgl tot'!$AZ$9)-YEAR('wgl tot'!E18)</f>
        <v>59</v>
      </c>
      <c r="BA18" s="165">
        <f ca="1">MONTH('wgl tot'!$AZ$9)-MONTH('wgl tot'!E18)</f>
        <v>8</v>
      </c>
      <c r="BB18" s="165">
        <f ca="1">DAY('wgl tot'!$AZ$9)-DAY('wgl tot'!E18)</f>
        <v>8</v>
      </c>
      <c r="BC18" s="130">
        <f>IF(AND('wgl tot'!F18&gt;0,'wgl tot'!F18&lt;17),0,100)</f>
        <v>100</v>
      </c>
      <c r="BD18" s="130" t="str">
        <f t="shared" si="3"/>
        <v>DB</v>
      </c>
      <c r="BE18" s="148">
        <v>42583</v>
      </c>
      <c r="BF18" s="166">
        <f t="shared" si="17"/>
        <v>0.08</v>
      </c>
      <c r="BG18" s="167">
        <f>+tabellen!$D$51</f>
        <v>6.3E-2</v>
      </c>
      <c r="BH18" s="165">
        <f>IF('wgl tot'!BC18=100,0,'wgl tot'!F18)</f>
        <v>0</v>
      </c>
      <c r="BI18" s="167" t="str">
        <f>IF(OR('wgl tot'!F18="DA",'wgl tot'!F18="DB",'wgl tot'!F18="DBuit",'wgl tot'!F18="DC",'wgl tot'!F18="DCuit",MID('wgl tot'!F18,1,5)="meerh"),"j","n")</f>
        <v>j</v>
      </c>
      <c r="BJ18" s="169">
        <f>IF('wgl tot'!W18/'wgl tot'!H18&lt;tabellen!$E$6,0,(+'wgl tot'!W18-tabellen!$E$6*'wgl tot'!H18)/12*tabellen!$D$6)</f>
        <v>315.177975</v>
      </c>
      <c r="BK18" s="169">
        <f>IF('wgl tot'!W18/'wgl tot'!H18&lt;tabellen!$E$7,0,(+'wgl tot'!W18-tabellen!$E$7*'wgl tot'!H18)/12*tabellen!$D$7)</f>
        <v>5.4413750000000007</v>
      </c>
      <c r="BL18" s="169">
        <f>'wgl tot'!W18/12*tabellen!$D$8</f>
        <v>0</v>
      </c>
      <c r="BM18" s="170">
        <f t="shared" si="4"/>
        <v>320.61935</v>
      </c>
      <c r="BN18" s="171">
        <f>+Y18/12-'wgl tot'!BM18</f>
        <v>5020.8806500000001</v>
      </c>
      <c r="BO18" s="171">
        <f>ROUND(IF('wgl tot'!BN18&gt;tabellen!$H$11,tabellen!$H$11,'wgl tot'!BN18)*tabellen!$C$11,2)</f>
        <v>323.91000000000003</v>
      </c>
      <c r="BP18" s="171">
        <f>+'wgl tot'!BN18+'wgl tot'!BO18</f>
        <v>5344.7906499999999</v>
      </c>
      <c r="BQ18" s="172">
        <f t="shared" si="5"/>
        <v>1960</v>
      </c>
      <c r="BR18" s="172">
        <f t="shared" si="6"/>
        <v>1</v>
      </c>
      <c r="BS18" s="165">
        <f t="shared" si="7"/>
        <v>6</v>
      </c>
      <c r="BT18" s="148">
        <f t="shared" si="15"/>
        <v>44383</v>
      </c>
      <c r="BU18" s="148">
        <f t="shared" ca="1" si="16"/>
        <v>43722.739781944445</v>
      </c>
      <c r="BV18" s="130"/>
      <c r="BW18" s="148"/>
      <c r="BX18" s="130"/>
      <c r="BY18" s="168"/>
      <c r="BZ18" s="168"/>
      <c r="CA18" s="168"/>
      <c r="CB18" s="168"/>
      <c r="CC18" s="168"/>
      <c r="CD18" s="168"/>
      <c r="CE18" s="121"/>
      <c r="CF18" s="121"/>
    </row>
    <row r="19" spans="1:84" s="132" customFormat="1" ht="12" customHeight="1" x14ac:dyDescent="0.2">
      <c r="A19" s="121"/>
      <c r="B19" s="122"/>
      <c r="C19" s="151"/>
      <c r="D19" s="157"/>
      <c r="E19" s="158"/>
      <c r="F19" s="159"/>
      <c r="G19" s="159"/>
      <c r="H19" s="160"/>
      <c r="I19" s="159"/>
      <c r="J19" s="161"/>
      <c r="K19" s="181">
        <f>IF(F19="",0,(VLOOKUP('wgl tot'!F19,saltab2019,'wgl tot'!G19+1,FALSE)))</f>
        <v>0</v>
      </c>
      <c r="L19" s="163">
        <f t="shared" si="8"/>
        <v>0</v>
      </c>
      <c r="M19" s="151"/>
      <c r="N19" s="181">
        <f>ROUND(IF(('wgl tot'!L19+'wgl tot'!P19)*BF19&lt;'wgl tot'!H19*tabellen!$D$50,'wgl tot'!H19*tabellen!$D$50,('wgl tot'!L19+'wgl tot'!P19)*BF19),2)</f>
        <v>0</v>
      </c>
      <c r="O19" s="181">
        <f>ROUND(+('wgl tot'!L19+'wgl tot'!P19)*BG19,2)</f>
        <v>0</v>
      </c>
      <c r="P19" s="181">
        <f>ROUND(IF(I19="j",VLOOKUP(BD19,uitlooptoeslag,2,FALSE))*IF('wgl tot'!H19&gt;1,1,'wgl tot'!H19),2)</f>
        <v>0</v>
      </c>
      <c r="Q19" s="181">
        <f>ROUND(IF(BI19="j",tabellen!$D$59*IF('wgl tot'!H19&gt;1,1,'wgl tot'!H19),0),2)</f>
        <v>0</v>
      </c>
      <c r="R19" s="181">
        <f>IF(AND(F19&gt;0,F19&lt;17),tabellen!$C$41*'wgl tot'!H19,0)</f>
        <v>0</v>
      </c>
      <c r="S19" s="181">
        <f>VLOOKUP(BH19,eindejaarsuitkering_OOP,2,TRUE)*'wgl tot'!H19/12</f>
        <v>0</v>
      </c>
      <c r="T19" s="181">
        <f>ROUND(H19*tabellen!$D$57,2)</f>
        <v>0</v>
      </c>
      <c r="U19" s="181">
        <f>ROUND(H19*tabellen!C$45,2)</f>
        <v>0</v>
      </c>
      <c r="V19" s="181">
        <f>H19*(IF(F19="L10",42%*VLOOKUP(tabellen!L$45,saltab2018sept,G19+1,FALSE),IF(F19="L11",42%*VLOOKUP(tabellen!L$46,saltab2018sept,G19+1,FALSE),IF(F19="L12",42%*VLOOKUP(tabellen!L$47,saltab2018sept,G19+1,FALSE),IF(F19="L13",42%*VLOOKUP(tabellen!L$48,saltab2018sept,G19+1,FALSE),0)))))</f>
        <v>0</v>
      </c>
      <c r="W19" s="182">
        <f t="shared" si="9"/>
        <v>0</v>
      </c>
      <c r="X19" s="181">
        <f>('wgl tot'!L19+'wgl tot'!P19)*tabellen!$C$43*12</f>
        <v>0</v>
      </c>
      <c r="Y19" s="163">
        <f t="shared" si="10"/>
        <v>0</v>
      </c>
      <c r="Z19" s="151"/>
      <c r="AA19" s="182">
        <f t="shared" si="11"/>
        <v>0</v>
      </c>
      <c r="AB19" s="217">
        <f>+'wgl tot'!X19/12</f>
        <v>0</v>
      </c>
      <c r="AC19" s="151"/>
      <c r="AD19" s="181">
        <f>IF(F19="",0,(IF('wgl tot'!W19/'wgl tot'!H19&lt;tabellen!$E$6,0,('wgl tot'!W19-tabellen!$E$6*'wgl tot'!H19)/12)*tabellen!$C$6))</f>
        <v>0</v>
      </c>
      <c r="AE19" s="181">
        <f>IF(F19="",0,(IF('wgl tot'!W19/'wgl tot'!H19&lt;tabellen!$E$7,0,(+'wgl tot'!W19-tabellen!$E$7*'wgl tot'!H19)/12)*tabellen!$C$7))</f>
        <v>0</v>
      </c>
      <c r="AF19" s="181">
        <f>'wgl tot'!W19/12*tabellen!$C$8</f>
        <v>0</v>
      </c>
      <c r="AG19" s="181">
        <f>IF(H19=0,0,IF(BN19&gt;tabellen!$G$9/12,tabellen!$G$9/12,BN19)*(tabellen!$C$9+tabellen!$C$10))</f>
        <v>0</v>
      </c>
      <c r="AH19" s="181">
        <f>IF(F19="",0,('wgl tot'!BO19))</f>
        <v>0</v>
      </c>
      <c r="AI19" s="183">
        <f>IF(F19="",0,(IF('wgl tot'!BN19&gt;tabellen!$G$12*'wgl tot'!H19/12,tabellen!$G$12*'wgl tot'!H19/12,'wgl tot'!BN19)*tabellen!$C$12))</f>
        <v>0</v>
      </c>
      <c r="AJ19" s="151"/>
      <c r="AK19" s="183">
        <f>IF(F19="",0,('wgl tot'!BN19*IF(J19=1,tabellen!$C$13,IF(J19=2,tabellen!$C$14,IF(J19=3,tabellen!$C$15,IF(J19=5,tabellen!$C$17,IF(J19=6,tabellen!$C$18,IF(J19=7,tabellen!$C$19,IF(J19=8,tabellen!$C$20,tabellen!$C$16)))))))))</f>
        <v>0</v>
      </c>
      <c r="AL19" s="183">
        <f>IF(F19="",0,('wgl tot'!BN19*tabellen!$C$21))</f>
        <v>0</v>
      </c>
      <c r="AM19" s="237">
        <v>0</v>
      </c>
      <c r="AN19" s="151"/>
      <c r="AO19" s="237">
        <v>0</v>
      </c>
      <c r="AP19" s="151"/>
      <c r="AQ19" s="163">
        <f t="shared" si="1"/>
        <v>0</v>
      </c>
      <c r="AR19" s="163">
        <f t="shared" si="12"/>
        <v>0</v>
      </c>
      <c r="AS19" s="151"/>
      <c r="AT19" s="187" t="str">
        <f t="shared" si="13"/>
        <v/>
      </c>
      <c r="AU19" s="187" t="str">
        <f t="shared" si="14"/>
        <v/>
      </c>
      <c r="AV19" s="151"/>
      <c r="AW19" s="129"/>
      <c r="AX19" s="121"/>
      <c r="AY19" s="121"/>
      <c r="AZ19" s="165">
        <f ca="1">YEAR('wgl tot'!$AZ$9)-YEAR('wgl tot'!E19)</f>
        <v>119</v>
      </c>
      <c r="BA19" s="165">
        <f ca="1">MONTH('wgl tot'!$AZ$9)-MONTH('wgl tot'!E19)</f>
        <v>8</v>
      </c>
      <c r="BB19" s="165">
        <f ca="1">DAY('wgl tot'!$AZ$9)-DAY('wgl tot'!E19)</f>
        <v>14</v>
      </c>
      <c r="BC19" s="130">
        <f>IF(AND('wgl tot'!F19&gt;0,'wgl tot'!F19&lt;17),0,100)</f>
        <v>100</v>
      </c>
      <c r="BD19" s="130">
        <f t="shared" si="3"/>
        <v>0</v>
      </c>
      <c r="BE19" s="148">
        <v>42583</v>
      </c>
      <c r="BF19" s="166">
        <f t="shared" si="17"/>
        <v>0.08</v>
      </c>
      <c r="BG19" s="167">
        <f>+tabellen!$D$51</f>
        <v>6.3E-2</v>
      </c>
      <c r="BH19" s="165">
        <f>IF('wgl tot'!BC19=100,0,'wgl tot'!F19)</f>
        <v>0</v>
      </c>
      <c r="BI19" s="167" t="str">
        <f>IF(OR('wgl tot'!F19="DA",'wgl tot'!F19="DB",'wgl tot'!F19="DBuit",'wgl tot'!F19="DC",'wgl tot'!F19="DCuit",MID('wgl tot'!F19,1,5)="meerh"),"j","n")</f>
        <v>n</v>
      </c>
      <c r="BJ19" s="169" t="e">
        <f>IF('wgl tot'!W19/'wgl tot'!H19&lt;tabellen!$E$6,0,(+'wgl tot'!W19-tabellen!$E$6*'wgl tot'!H19)/12*tabellen!$D$6)</f>
        <v>#DIV/0!</v>
      </c>
      <c r="BK19" s="169" t="e">
        <f>IF('wgl tot'!W19/'wgl tot'!H19&lt;tabellen!$E$7,0,(+'wgl tot'!W19-tabellen!$E$7*'wgl tot'!H19)/12*tabellen!$D$7)</f>
        <v>#DIV/0!</v>
      </c>
      <c r="BL19" s="169">
        <f>'wgl tot'!W19/12*tabellen!$D$8</f>
        <v>0</v>
      </c>
      <c r="BM19" s="170" t="e">
        <f t="shared" si="4"/>
        <v>#DIV/0!</v>
      </c>
      <c r="BN19" s="171" t="e">
        <f>+Y19/12-'wgl tot'!BM19</f>
        <v>#DIV/0!</v>
      </c>
      <c r="BO19" s="171" t="e">
        <f>ROUND(IF('wgl tot'!BN19&gt;tabellen!$H$11,tabellen!$H$11,'wgl tot'!BN19)*tabellen!$C$11,2)</f>
        <v>#DIV/0!</v>
      </c>
      <c r="BP19" s="171" t="e">
        <f>+'wgl tot'!BN19+'wgl tot'!BO19</f>
        <v>#DIV/0!</v>
      </c>
      <c r="BQ19" s="172">
        <f t="shared" si="5"/>
        <v>1900</v>
      </c>
      <c r="BR19" s="172">
        <f t="shared" si="6"/>
        <v>1</v>
      </c>
      <c r="BS19" s="165">
        <f t="shared" si="7"/>
        <v>0</v>
      </c>
      <c r="BT19" s="148">
        <f t="shared" si="15"/>
        <v>22462</v>
      </c>
      <c r="BU19" s="148">
        <f t="shared" ca="1" si="16"/>
        <v>43722.739781944445</v>
      </c>
      <c r="BV19" s="130"/>
      <c r="BW19" s="148"/>
      <c r="BX19" s="130"/>
      <c r="BY19" s="168"/>
      <c r="BZ19" s="168"/>
      <c r="CA19" s="168"/>
      <c r="CB19" s="168"/>
      <c r="CC19" s="168"/>
      <c r="CD19" s="168"/>
      <c r="CE19" s="121"/>
      <c r="CF19" s="121"/>
    </row>
    <row r="20" spans="1:84" s="132" customFormat="1" ht="12" customHeight="1" x14ac:dyDescent="0.2">
      <c r="A20" s="121"/>
      <c r="B20" s="122"/>
      <c r="C20" s="151"/>
      <c r="D20" s="157"/>
      <c r="E20" s="158"/>
      <c r="F20" s="159"/>
      <c r="G20" s="159"/>
      <c r="H20" s="160"/>
      <c r="I20" s="159"/>
      <c r="J20" s="161"/>
      <c r="K20" s="181">
        <f>IF(F20="",0,(VLOOKUP('wgl tot'!F20,saltab2019,'wgl tot'!G20+1,FALSE)))</f>
        <v>0</v>
      </c>
      <c r="L20" s="163">
        <f t="shared" si="8"/>
        <v>0</v>
      </c>
      <c r="M20" s="151"/>
      <c r="N20" s="181">
        <f>ROUND(IF(('wgl tot'!L20+'wgl tot'!P20)*BF20&lt;'wgl tot'!H20*tabellen!$D$50,'wgl tot'!H20*tabellen!$D$50,('wgl tot'!L20+'wgl tot'!P20)*BF20),2)</f>
        <v>0</v>
      </c>
      <c r="O20" s="181">
        <f>ROUND(+('wgl tot'!L20+'wgl tot'!P20)*BG20,2)</f>
        <v>0</v>
      </c>
      <c r="P20" s="181">
        <f>ROUND(IF(I20="j",VLOOKUP(BD20,uitlooptoeslag,2,FALSE))*IF('wgl tot'!H20&gt;1,1,'wgl tot'!H20),2)</f>
        <v>0</v>
      </c>
      <c r="Q20" s="181">
        <f>ROUND(IF(BI20="j",tabellen!$D$59*IF('wgl tot'!H20&gt;1,1,'wgl tot'!H20),0),2)</f>
        <v>0</v>
      </c>
      <c r="R20" s="181">
        <f>IF(AND(F20&gt;0,F20&lt;17),tabellen!$C$41*'wgl tot'!H20,0)</f>
        <v>0</v>
      </c>
      <c r="S20" s="181">
        <f>VLOOKUP(BH20,eindejaarsuitkering_OOP,2,TRUE)*'wgl tot'!H20/12</f>
        <v>0</v>
      </c>
      <c r="T20" s="181">
        <f>ROUND(H20*tabellen!$D$57,2)</f>
        <v>0</v>
      </c>
      <c r="U20" s="181">
        <f>ROUND(H20*tabellen!C$45,2)</f>
        <v>0</v>
      </c>
      <c r="V20" s="181">
        <f>H20*(IF(F20="L10",42%*VLOOKUP(tabellen!L$45,saltab2018sept,G20+1,FALSE),IF(F20="L11",42%*VLOOKUP(tabellen!L$46,saltab2018sept,G20+1,FALSE),IF(F20="L12",42%*VLOOKUP(tabellen!L$47,saltab2018sept,G20+1,FALSE),IF(F20="L13",42%*VLOOKUP(tabellen!L$48,saltab2018sept,G20+1,FALSE),0)))))</f>
        <v>0</v>
      </c>
      <c r="W20" s="182">
        <f t="shared" si="9"/>
        <v>0</v>
      </c>
      <c r="X20" s="181">
        <f>('wgl tot'!L20+'wgl tot'!P20)*tabellen!$C$43*12</f>
        <v>0</v>
      </c>
      <c r="Y20" s="163">
        <f t="shared" si="10"/>
        <v>0</v>
      </c>
      <c r="Z20" s="151"/>
      <c r="AA20" s="182">
        <f t="shared" si="11"/>
        <v>0</v>
      </c>
      <c r="AB20" s="217">
        <f>+'wgl tot'!X20/12</f>
        <v>0</v>
      </c>
      <c r="AC20" s="151"/>
      <c r="AD20" s="181">
        <f>IF(F20="",0,(IF('wgl tot'!W20/'wgl tot'!H20&lt;tabellen!$E$6,0,('wgl tot'!W20-tabellen!$E$6*'wgl tot'!H20)/12)*tabellen!$C$6))</f>
        <v>0</v>
      </c>
      <c r="AE20" s="181">
        <f>IF(F20="",0,(IF('wgl tot'!W20/'wgl tot'!H20&lt;tabellen!$E$7,0,(+'wgl tot'!W20-tabellen!$E$7*'wgl tot'!H20)/12)*tabellen!$C$7))</f>
        <v>0</v>
      </c>
      <c r="AF20" s="181">
        <f>'wgl tot'!W20/12*tabellen!$C$8</f>
        <v>0</v>
      </c>
      <c r="AG20" s="181">
        <f>IF(H20=0,0,IF(BN20&gt;tabellen!$G$9/12,tabellen!$G$9/12,BN20)*(tabellen!$C$9+tabellen!$C$10))</f>
        <v>0</v>
      </c>
      <c r="AH20" s="181">
        <f>IF(F20="",0,('wgl tot'!BO20))</f>
        <v>0</v>
      </c>
      <c r="AI20" s="183">
        <f>IF(F20="",0,(IF('wgl tot'!BN20&gt;tabellen!$G$12*'wgl tot'!H20/12,tabellen!$G$12*'wgl tot'!H20/12,'wgl tot'!BN20)*tabellen!$C$12))</f>
        <v>0</v>
      </c>
      <c r="AJ20" s="151"/>
      <c r="AK20" s="183">
        <f>IF(F20="",0,('wgl tot'!BN20*IF(J20=1,tabellen!$C$13,IF(J20=2,tabellen!$C$14,IF(J20=3,tabellen!$C$15,IF(J20=5,tabellen!$C$17,IF(J20=6,tabellen!$C$18,IF(J20=7,tabellen!$C$19,IF(J20=8,tabellen!$C$20,tabellen!$C$16)))))))))</f>
        <v>0</v>
      </c>
      <c r="AL20" s="183">
        <f>IF(F20="",0,('wgl tot'!BN20*tabellen!$C$21))</f>
        <v>0</v>
      </c>
      <c r="AM20" s="237">
        <v>0</v>
      </c>
      <c r="AN20" s="151"/>
      <c r="AO20" s="237">
        <v>0</v>
      </c>
      <c r="AP20" s="151"/>
      <c r="AQ20" s="163">
        <f t="shared" si="1"/>
        <v>0</v>
      </c>
      <c r="AR20" s="163">
        <f t="shared" si="12"/>
        <v>0</v>
      </c>
      <c r="AS20" s="151"/>
      <c r="AT20" s="187" t="str">
        <f t="shared" si="13"/>
        <v/>
      </c>
      <c r="AU20" s="187" t="str">
        <f t="shared" si="14"/>
        <v/>
      </c>
      <c r="AV20" s="151"/>
      <c r="AW20" s="129"/>
      <c r="AX20" s="121"/>
      <c r="AY20" s="121"/>
      <c r="AZ20" s="165">
        <f ca="1">YEAR('wgl tot'!$AZ$9)-YEAR('wgl tot'!E20)</f>
        <v>119</v>
      </c>
      <c r="BA20" s="165">
        <f ca="1">MONTH('wgl tot'!$AZ$9)-MONTH('wgl tot'!E20)</f>
        <v>8</v>
      </c>
      <c r="BB20" s="165">
        <f ca="1">DAY('wgl tot'!$AZ$9)-DAY('wgl tot'!E20)</f>
        <v>14</v>
      </c>
      <c r="BC20" s="130">
        <f>IF(AND('wgl tot'!F20&gt;0,'wgl tot'!F20&lt;17),0,100)</f>
        <v>100</v>
      </c>
      <c r="BD20" s="130">
        <f t="shared" si="3"/>
        <v>0</v>
      </c>
      <c r="BE20" s="148">
        <v>42583</v>
      </c>
      <c r="BF20" s="166">
        <f t="shared" si="17"/>
        <v>0.08</v>
      </c>
      <c r="BG20" s="167">
        <f>+tabellen!$D$51</f>
        <v>6.3E-2</v>
      </c>
      <c r="BH20" s="165">
        <f>IF('wgl tot'!BC20=100,0,'wgl tot'!F20)</f>
        <v>0</v>
      </c>
      <c r="BI20" s="167" t="str">
        <f>IF(OR('wgl tot'!F20="DA",'wgl tot'!F20="DB",'wgl tot'!F20="DBuit",'wgl tot'!F20="DC",'wgl tot'!F20="DCuit",MID('wgl tot'!F20,1,5)="meerh"),"j","n")</f>
        <v>n</v>
      </c>
      <c r="BJ20" s="169" t="e">
        <f>IF('wgl tot'!W20/'wgl tot'!H20&lt;tabellen!$E$6,0,(+'wgl tot'!W20-tabellen!$E$6*'wgl tot'!H20)/12*tabellen!$D$6)</f>
        <v>#DIV/0!</v>
      </c>
      <c r="BK20" s="169" t="e">
        <f>IF('wgl tot'!W20/'wgl tot'!H20&lt;tabellen!$E$7,0,(+'wgl tot'!W20-tabellen!$E$7*'wgl tot'!H20)/12*tabellen!$D$7)</f>
        <v>#DIV/0!</v>
      </c>
      <c r="BL20" s="169">
        <f>'wgl tot'!W20/12*tabellen!$D$8</f>
        <v>0</v>
      </c>
      <c r="BM20" s="170" t="e">
        <f t="shared" si="4"/>
        <v>#DIV/0!</v>
      </c>
      <c r="BN20" s="171" t="e">
        <f>+Y20/12-'wgl tot'!BM20</f>
        <v>#DIV/0!</v>
      </c>
      <c r="BO20" s="171" t="e">
        <f>ROUND(IF('wgl tot'!BN20&gt;tabellen!$H$11,tabellen!$H$11,'wgl tot'!BN20)*tabellen!$C$11,2)</f>
        <v>#DIV/0!</v>
      </c>
      <c r="BP20" s="171" t="e">
        <f>+'wgl tot'!BN20+'wgl tot'!BO20</f>
        <v>#DIV/0!</v>
      </c>
      <c r="BQ20" s="172">
        <f t="shared" si="5"/>
        <v>1900</v>
      </c>
      <c r="BR20" s="172">
        <f t="shared" si="6"/>
        <v>1</v>
      </c>
      <c r="BS20" s="165">
        <f t="shared" si="7"/>
        <v>0</v>
      </c>
      <c r="BT20" s="148">
        <f t="shared" si="15"/>
        <v>22462</v>
      </c>
      <c r="BU20" s="148">
        <f t="shared" ca="1" si="16"/>
        <v>43722.739781944445</v>
      </c>
      <c r="BV20" s="130"/>
      <c r="BW20" s="148"/>
      <c r="BX20" s="130"/>
      <c r="BY20" s="168"/>
      <c r="BZ20" s="168"/>
      <c r="CA20" s="168"/>
      <c r="CB20" s="168"/>
      <c r="CC20" s="168"/>
      <c r="CD20" s="168"/>
      <c r="CE20" s="121"/>
      <c r="CF20" s="121"/>
    </row>
    <row r="21" spans="1:84" s="132" customFormat="1" ht="12" customHeight="1" x14ac:dyDescent="0.2">
      <c r="A21" s="121"/>
      <c r="B21" s="122"/>
      <c r="C21" s="151"/>
      <c r="D21" s="157"/>
      <c r="E21" s="158"/>
      <c r="F21" s="159"/>
      <c r="G21" s="159"/>
      <c r="H21" s="160"/>
      <c r="I21" s="159"/>
      <c r="J21" s="161"/>
      <c r="K21" s="181">
        <f>IF(F21="",0,(VLOOKUP('wgl tot'!F21,saltab2019,'wgl tot'!G21+1,FALSE)))</f>
        <v>0</v>
      </c>
      <c r="L21" s="163">
        <f t="shared" si="8"/>
        <v>0</v>
      </c>
      <c r="M21" s="151"/>
      <c r="N21" s="181">
        <f>ROUND(IF(('wgl tot'!L21+'wgl tot'!P21)*BF21&lt;'wgl tot'!H21*tabellen!$D$50,'wgl tot'!H21*tabellen!$D$50,('wgl tot'!L21+'wgl tot'!P21)*BF21),2)</f>
        <v>0</v>
      </c>
      <c r="O21" s="181">
        <f>ROUND(+('wgl tot'!L21+'wgl tot'!P21)*BG21,2)</f>
        <v>0</v>
      </c>
      <c r="P21" s="181">
        <f>ROUND(IF(I21="j",VLOOKUP(BD21,uitlooptoeslag,2,FALSE))*IF('wgl tot'!H21&gt;1,1,'wgl tot'!H21),2)</f>
        <v>0</v>
      </c>
      <c r="Q21" s="181">
        <f>ROUND(IF(BI21="j",tabellen!$D$59*IF('wgl tot'!H21&gt;1,1,'wgl tot'!H21),0),2)</f>
        <v>0</v>
      </c>
      <c r="R21" s="181">
        <f>IF(AND(F21&gt;0,F21&lt;17),tabellen!$C$41*'wgl tot'!H21,0)</f>
        <v>0</v>
      </c>
      <c r="S21" s="181">
        <f>VLOOKUP(BH21,eindejaarsuitkering_OOP,2,TRUE)*'wgl tot'!H21/12</f>
        <v>0</v>
      </c>
      <c r="T21" s="181">
        <f>ROUND(H21*tabellen!$D$57,2)</f>
        <v>0</v>
      </c>
      <c r="U21" s="181">
        <f>ROUND(H21*tabellen!C$45,2)</f>
        <v>0</v>
      </c>
      <c r="V21" s="181">
        <f>H21*(IF(F21="L10",42%*VLOOKUP(tabellen!L$45,saltab2018sept,G21+1,FALSE),IF(F21="L11",42%*VLOOKUP(tabellen!L$46,saltab2018sept,G21+1,FALSE),IF(F21="L12",42%*VLOOKUP(tabellen!L$47,saltab2018sept,G21+1,FALSE),IF(F21="L13",42%*VLOOKUP(tabellen!L$48,saltab2018sept,G21+1,FALSE),0)))))</f>
        <v>0</v>
      </c>
      <c r="W21" s="182">
        <f t="shared" si="9"/>
        <v>0</v>
      </c>
      <c r="X21" s="181">
        <f>('wgl tot'!L21+'wgl tot'!P21)*tabellen!$C$43*12</f>
        <v>0</v>
      </c>
      <c r="Y21" s="163">
        <f t="shared" si="10"/>
        <v>0</v>
      </c>
      <c r="Z21" s="151"/>
      <c r="AA21" s="182">
        <f t="shared" si="11"/>
        <v>0</v>
      </c>
      <c r="AB21" s="217">
        <f>+'wgl tot'!X21/12</f>
        <v>0</v>
      </c>
      <c r="AC21" s="151"/>
      <c r="AD21" s="181">
        <f>IF(F21="",0,(IF('wgl tot'!W21/'wgl tot'!H21&lt;tabellen!$E$6,0,('wgl tot'!W21-tabellen!$E$6*'wgl tot'!H21)/12)*tabellen!$C$6))</f>
        <v>0</v>
      </c>
      <c r="AE21" s="181">
        <f>IF(F21="",0,(IF('wgl tot'!W21/'wgl tot'!H21&lt;tabellen!$E$7,0,(+'wgl tot'!W21-tabellen!$E$7*'wgl tot'!H21)/12)*tabellen!$C$7))</f>
        <v>0</v>
      </c>
      <c r="AF21" s="181">
        <f>'wgl tot'!W21/12*tabellen!$C$8</f>
        <v>0</v>
      </c>
      <c r="AG21" s="181">
        <f>IF(H21=0,0,IF(BN21&gt;tabellen!$G$9/12,tabellen!$G$9/12,BN21)*(tabellen!$C$9+tabellen!$C$10))</f>
        <v>0</v>
      </c>
      <c r="AH21" s="181">
        <f>IF(F21="",0,('wgl tot'!BO21))</f>
        <v>0</v>
      </c>
      <c r="AI21" s="183">
        <f>IF(F21="",0,(IF('wgl tot'!BN21&gt;tabellen!$G$12*'wgl tot'!H21/12,tabellen!$G$12*'wgl tot'!H21/12,'wgl tot'!BN21)*tabellen!$C$12))</f>
        <v>0</v>
      </c>
      <c r="AJ21" s="151"/>
      <c r="AK21" s="183">
        <f>IF(F21="",0,('wgl tot'!BN21*IF(J21=1,tabellen!$C$13,IF(J21=2,tabellen!$C$14,IF(J21=3,tabellen!$C$15,IF(J21=5,tabellen!$C$17,IF(J21=6,tabellen!$C$18,IF(J21=7,tabellen!$C$19,IF(J21=8,tabellen!$C$20,tabellen!$C$16)))))))))</f>
        <v>0</v>
      </c>
      <c r="AL21" s="183">
        <f>IF(F21="",0,('wgl tot'!BN21*tabellen!$C$21))</f>
        <v>0</v>
      </c>
      <c r="AM21" s="237">
        <v>0</v>
      </c>
      <c r="AN21" s="151"/>
      <c r="AO21" s="237">
        <v>0</v>
      </c>
      <c r="AP21" s="151"/>
      <c r="AQ21" s="163">
        <f t="shared" si="1"/>
        <v>0</v>
      </c>
      <c r="AR21" s="163">
        <f t="shared" si="12"/>
        <v>0</v>
      </c>
      <c r="AS21" s="151"/>
      <c r="AT21" s="187" t="str">
        <f t="shared" si="13"/>
        <v/>
      </c>
      <c r="AU21" s="187" t="str">
        <f t="shared" si="14"/>
        <v/>
      </c>
      <c r="AV21" s="151"/>
      <c r="AW21" s="129"/>
      <c r="AX21" s="121"/>
      <c r="AY21" s="121"/>
      <c r="AZ21" s="165">
        <f ca="1">YEAR('wgl tot'!$AZ$9)-YEAR('wgl tot'!E21)</f>
        <v>119</v>
      </c>
      <c r="BA21" s="165">
        <f ca="1">MONTH('wgl tot'!$AZ$9)-MONTH('wgl tot'!E21)</f>
        <v>8</v>
      </c>
      <c r="BB21" s="165">
        <f ca="1">DAY('wgl tot'!$AZ$9)-DAY('wgl tot'!E21)</f>
        <v>14</v>
      </c>
      <c r="BC21" s="130">
        <f>IF(AND('wgl tot'!F21&gt;0,'wgl tot'!F21&lt;17),0,100)</f>
        <v>100</v>
      </c>
      <c r="BD21" s="130">
        <f t="shared" si="3"/>
        <v>0</v>
      </c>
      <c r="BE21" s="148">
        <v>42583</v>
      </c>
      <c r="BF21" s="166">
        <f t="shared" si="17"/>
        <v>0.08</v>
      </c>
      <c r="BG21" s="167">
        <f>+tabellen!$D$51</f>
        <v>6.3E-2</v>
      </c>
      <c r="BH21" s="165">
        <f>IF('wgl tot'!BC21=100,0,'wgl tot'!F21)</f>
        <v>0</v>
      </c>
      <c r="BI21" s="167" t="str">
        <f>IF(OR('wgl tot'!F21="DA",'wgl tot'!F21="DB",'wgl tot'!F21="DBuit",'wgl tot'!F21="DC",'wgl tot'!F21="DCuit",MID('wgl tot'!F21,1,5)="meerh"),"j","n")</f>
        <v>n</v>
      </c>
      <c r="BJ21" s="169" t="e">
        <f>IF('wgl tot'!W21/'wgl tot'!H21&lt;tabellen!$E$6,0,(+'wgl tot'!W21-tabellen!$E$6*'wgl tot'!H21)/12*tabellen!$D$6)</f>
        <v>#DIV/0!</v>
      </c>
      <c r="BK21" s="169" t="e">
        <f>IF('wgl tot'!W21/'wgl tot'!H21&lt;tabellen!$E$7,0,(+'wgl tot'!W21-tabellen!$E$7*'wgl tot'!H21)/12*tabellen!$D$7)</f>
        <v>#DIV/0!</v>
      </c>
      <c r="BL21" s="169">
        <f>'wgl tot'!W21/12*tabellen!$D$8</f>
        <v>0</v>
      </c>
      <c r="BM21" s="170" t="e">
        <f t="shared" si="4"/>
        <v>#DIV/0!</v>
      </c>
      <c r="BN21" s="171" t="e">
        <f>+Y21/12-'wgl tot'!BM21</f>
        <v>#DIV/0!</v>
      </c>
      <c r="BO21" s="171" t="e">
        <f>ROUND(IF('wgl tot'!BN21&gt;tabellen!$H$11,tabellen!$H$11,'wgl tot'!BN21)*tabellen!$C$11,2)</f>
        <v>#DIV/0!</v>
      </c>
      <c r="BP21" s="171" t="e">
        <f>+'wgl tot'!BN21+'wgl tot'!BO21</f>
        <v>#DIV/0!</v>
      </c>
      <c r="BQ21" s="172">
        <f t="shared" si="5"/>
        <v>1900</v>
      </c>
      <c r="BR21" s="172">
        <f t="shared" si="6"/>
        <v>1</v>
      </c>
      <c r="BS21" s="165">
        <f t="shared" si="7"/>
        <v>0</v>
      </c>
      <c r="BT21" s="148">
        <f t="shared" si="15"/>
        <v>22462</v>
      </c>
      <c r="BU21" s="148">
        <f t="shared" ca="1" si="16"/>
        <v>43722.739781944445</v>
      </c>
      <c r="BV21" s="130"/>
      <c r="BW21" s="148"/>
      <c r="BX21" s="130"/>
      <c r="BY21" s="168"/>
      <c r="BZ21" s="168"/>
      <c r="CA21" s="168"/>
      <c r="CB21" s="168"/>
      <c r="CC21" s="168"/>
      <c r="CD21" s="168"/>
      <c r="CE21" s="121"/>
      <c r="CF21" s="121"/>
    </row>
    <row r="22" spans="1:84" s="132" customFormat="1" ht="12" customHeight="1" x14ac:dyDescent="0.2">
      <c r="A22" s="121"/>
      <c r="B22" s="122"/>
      <c r="C22" s="151"/>
      <c r="D22" s="157"/>
      <c r="E22" s="158"/>
      <c r="F22" s="159"/>
      <c r="G22" s="159"/>
      <c r="H22" s="160"/>
      <c r="I22" s="159"/>
      <c r="J22" s="161"/>
      <c r="K22" s="181">
        <f>IF(F22="",0,(VLOOKUP('wgl tot'!F22,saltab2019,'wgl tot'!G22+1,FALSE)))</f>
        <v>0</v>
      </c>
      <c r="L22" s="163">
        <f t="shared" si="8"/>
        <v>0</v>
      </c>
      <c r="M22" s="151"/>
      <c r="N22" s="181">
        <f>ROUND(IF(('wgl tot'!L22+'wgl tot'!P22)*BF22&lt;'wgl tot'!H22*tabellen!$D$50,'wgl tot'!H22*tabellen!$D$50,('wgl tot'!L22+'wgl tot'!P22)*BF22),2)</f>
        <v>0</v>
      </c>
      <c r="O22" s="181">
        <f>ROUND(+('wgl tot'!L22+'wgl tot'!P22)*BG22,2)</f>
        <v>0</v>
      </c>
      <c r="P22" s="181">
        <f>ROUND(IF(I22="j",VLOOKUP(BD22,uitlooptoeslag,2,FALSE))*IF('wgl tot'!H22&gt;1,1,'wgl tot'!H22),2)</f>
        <v>0</v>
      </c>
      <c r="Q22" s="181">
        <f>ROUND(IF(BI22="j",tabellen!$D$59*IF('wgl tot'!H22&gt;1,1,'wgl tot'!H22),0),2)</f>
        <v>0</v>
      </c>
      <c r="R22" s="181">
        <f>IF(AND(F22&gt;0,F22&lt;17),tabellen!$C$41*'wgl tot'!H22,0)</f>
        <v>0</v>
      </c>
      <c r="S22" s="181">
        <f>VLOOKUP(BH22,eindejaarsuitkering_OOP,2,TRUE)*'wgl tot'!H22/12</f>
        <v>0</v>
      </c>
      <c r="T22" s="181">
        <f>ROUND(H22*tabellen!$D$57,2)</f>
        <v>0</v>
      </c>
      <c r="U22" s="181">
        <f>ROUND(H22*tabellen!C$45,2)</f>
        <v>0</v>
      </c>
      <c r="V22" s="181">
        <f>H22*(IF(F22="L10",42%*VLOOKUP(tabellen!L$45,saltab2018sept,G22+1,FALSE),IF(F22="L11",42%*VLOOKUP(tabellen!L$46,saltab2018sept,G22+1,FALSE),IF(F22="L12",42%*VLOOKUP(tabellen!L$47,saltab2018sept,G22+1,FALSE),IF(F22="L13",42%*VLOOKUP(tabellen!L$48,saltab2018sept,G22+1,FALSE),0)))))</f>
        <v>0</v>
      </c>
      <c r="W22" s="182">
        <f t="shared" si="9"/>
        <v>0</v>
      </c>
      <c r="X22" s="181">
        <f>('wgl tot'!L22+'wgl tot'!P22)*tabellen!$C$43*12</f>
        <v>0</v>
      </c>
      <c r="Y22" s="163">
        <f t="shared" si="10"/>
        <v>0</v>
      </c>
      <c r="Z22" s="151"/>
      <c r="AA22" s="182">
        <f t="shared" si="11"/>
        <v>0</v>
      </c>
      <c r="AB22" s="217">
        <f>+'wgl tot'!X22/12</f>
        <v>0</v>
      </c>
      <c r="AC22" s="151"/>
      <c r="AD22" s="181">
        <f>IF(F22="",0,(IF('wgl tot'!W22/'wgl tot'!H22&lt;tabellen!$E$6,0,('wgl tot'!W22-tabellen!$E$6*'wgl tot'!H22)/12)*tabellen!$C$6))</f>
        <v>0</v>
      </c>
      <c r="AE22" s="181">
        <f>IF(F22="",0,(IF('wgl tot'!W22/'wgl tot'!H22&lt;tabellen!$E$7,0,(+'wgl tot'!W22-tabellen!$E$7*'wgl tot'!H22)/12)*tabellen!$C$7))</f>
        <v>0</v>
      </c>
      <c r="AF22" s="181">
        <f>'wgl tot'!W22/12*tabellen!$C$8</f>
        <v>0</v>
      </c>
      <c r="AG22" s="181">
        <f>IF(H22=0,0,IF(BN22&gt;tabellen!$G$9/12,tabellen!$G$9/12,BN22)*(tabellen!$C$9+tabellen!$C$10))</f>
        <v>0</v>
      </c>
      <c r="AH22" s="181">
        <f>IF(F22="",0,('wgl tot'!BO22))</f>
        <v>0</v>
      </c>
      <c r="AI22" s="183">
        <f>IF(F22="",0,(IF('wgl tot'!BN22&gt;tabellen!$G$12*'wgl tot'!H22/12,tabellen!$G$12*'wgl tot'!H22/12,'wgl tot'!BN22)*tabellen!$C$12))</f>
        <v>0</v>
      </c>
      <c r="AJ22" s="151"/>
      <c r="AK22" s="183">
        <f>IF(F22="",0,('wgl tot'!BN22*IF(J22=1,tabellen!$C$13,IF(J22=2,tabellen!$C$14,IF(J22=3,tabellen!$C$15,IF(J22=5,tabellen!$C$17,IF(J22=6,tabellen!$C$18,IF(J22=7,tabellen!$C$19,IF(J22=8,tabellen!$C$20,tabellen!$C$16)))))))))</f>
        <v>0</v>
      </c>
      <c r="AL22" s="183">
        <f>IF(F22="",0,('wgl tot'!BN22*tabellen!$C$21))</f>
        <v>0</v>
      </c>
      <c r="AM22" s="237">
        <v>0</v>
      </c>
      <c r="AN22" s="151"/>
      <c r="AO22" s="237">
        <v>0</v>
      </c>
      <c r="AP22" s="151"/>
      <c r="AQ22" s="163">
        <f t="shared" si="1"/>
        <v>0</v>
      </c>
      <c r="AR22" s="163">
        <f t="shared" si="12"/>
        <v>0</v>
      </c>
      <c r="AS22" s="151"/>
      <c r="AT22" s="187" t="str">
        <f t="shared" si="13"/>
        <v/>
      </c>
      <c r="AU22" s="187" t="str">
        <f t="shared" si="14"/>
        <v/>
      </c>
      <c r="AV22" s="151"/>
      <c r="AW22" s="129"/>
      <c r="AX22" s="121"/>
      <c r="AY22" s="121"/>
      <c r="AZ22" s="165">
        <f ca="1">YEAR('wgl tot'!$AZ$9)-YEAR('wgl tot'!E22)</f>
        <v>119</v>
      </c>
      <c r="BA22" s="165">
        <f ca="1">MONTH('wgl tot'!$AZ$9)-MONTH('wgl tot'!E22)</f>
        <v>8</v>
      </c>
      <c r="BB22" s="165">
        <f ca="1">DAY('wgl tot'!$AZ$9)-DAY('wgl tot'!E22)</f>
        <v>14</v>
      </c>
      <c r="BC22" s="130">
        <f>IF(AND('wgl tot'!F22&gt;0,'wgl tot'!F22&lt;17),0,100)</f>
        <v>100</v>
      </c>
      <c r="BD22" s="130">
        <f t="shared" si="3"/>
        <v>0</v>
      </c>
      <c r="BE22" s="148">
        <v>42583</v>
      </c>
      <c r="BF22" s="166">
        <f t="shared" si="17"/>
        <v>0.08</v>
      </c>
      <c r="BG22" s="167">
        <f>+tabellen!$D$51</f>
        <v>6.3E-2</v>
      </c>
      <c r="BH22" s="165">
        <f>IF('wgl tot'!BC22=100,0,'wgl tot'!F22)</f>
        <v>0</v>
      </c>
      <c r="BI22" s="167" t="str">
        <f>IF(OR('wgl tot'!F22="DA",'wgl tot'!F22="DB",'wgl tot'!F22="DBuit",'wgl tot'!F22="DC",'wgl tot'!F22="DCuit",MID('wgl tot'!F22,1,5)="meerh"),"j","n")</f>
        <v>n</v>
      </c>
      <c r="BJ22" s="169" t="e">
        <f>IF('wgl tot'!W22/'wgl tot'!H22&lt;tabellen!$E$6,0,(+'wgl tot'!W22-tabellen!$E$6*'wgl tot'!H22)/12*tabellen!$D$6)</f>
        <v>#DIV/0!</v>
      </c>
      <c r="BK22" s="169" t="e">
        <f>IF('wgl tot'!W22/'wgl tot'!H22&lt;tabellen!$E$7,0,(+'wgl tot'!W22-tabellen!$E$7*'wgl tot'!H22)/12*tabellen!$D$7)</f>
        <v>#DIV/0!</v>
      </c>
      <c r="BL22" s="169">
        <f>'wgl tot'!W22/12*tabellen!$D$8</f>
        <v>0</v>
      </c>
      <c r="BM22" s="170" t="e">
        <f t="shared" si="4"/>
        <v>#DIV/0!</v>
      </c>
      <c r="BN22" s="171" t="e">
        <f>+Y22/12-'wgl tot'!BM22</f>
        <v>#DIV/0!</v>
      </c>
      <c r="BO22" s="171" t="e">
        <f>ROUND(IF('wgl tot'!BN22&gt;tabellen!$H$11,tabellen!$H$11,'wgl tot'!BN22)*tabellen!$C$11,2)</f>
        <v>#DIV/0!</v>
      </c>
      <c r="BP22" s="171" t="e">
        <f>+'wgl tot'!BN22+'wgl tot'!BO22</f>
        <v>#DIV/0!</v>
      </c>
      <c r="BQ22" s="172">
        <f t="shared" si="5"/>
        <v>1900</v>
      </c>
      <c r="BR22" s="172">
        <f t="shared" si="6"/>
        <v>1</v>
      </c>
      <c r="BS22" s="165">
        <f t="shared" si="7"/>
        <v>0</v>
      </c>
      <c r="BT22" s="148">
        <f t="shared" si="15"/>
        <v>22462</v>
      </c>
      <c r="BU22" s="148">
        <f t="shared" ca="1" si="16"/>
        <v>43722.739781944445</v>
      </c>
      <c r="BV22" s="130"/>
      <c r="BW22" s="148"/>
      <c r="BX22" s="130"/>
      <c r="BY22" s="168"/>
      <c r="BZ22" s="168"/>
      <c r="CA22" s="168"/>
      <c r="CB22" s="168"/>
      <c r="CC22" s="168"/>
      <c r="CD22" s="168"/>
      <c r="CE22" s="121"/>
      <c r="CF22" s="121"/>
    </row>
    <row r="23" spans="1:84" s="132" customFormat="1" ht="12" customHeight="1" x14ac:dyDescent="0.2">
      <c r="A23" s="121"/>
      <c r="B23" s="122"/>
      <c r="C23" s="151"/>
      <c r="D23" s="157"/>
      <c r="E23" s="158"/>
      <c r="F23" s="159"/>
      <c r="G23" s="159"/>
      <c r="H23" s="160"/>
      <c r="I23" s="159"/>
      <c r="J23" s="161"/>
      <c r="K23" s="181">
        <f>IF(F23="",0,(VLOOKUP('wgl tot'!F23,saltab2019,'wgl tot'!G23+1,FALSE)))</f>
        <v>0</v>
      </c>
      <c r="L23" s="163">
        <f t="shared" si="8"/>
        <v>0</v>
      </c>
      <c r="M23" s="151"/>
      <c r="N23" s="181">
        <f>ROUND(IF(('wgl tot'!L23+'wgl tot'!P23)*BF23&lt;'wgl tot'!H23*tabellen!$D$50,'wgl tot'!H23*tabellen!$D$50,('wgl tot'!L23+'wgl tot'!P23)*BF23),2)</f>
        <v>0</v>
      </c>
      <c r="O23" s="181">
        <f>ROUND(+('wgl tot'!L23+'wgl tot'!P23)*BG23,2)</f>
        <v>0</v>
      </c>
      <c r="P23" s="181">
        <f>ROUND(IF(I23="j",VLOOKUP(BD23,uitlooptoeslag,2,FALSE))*IF('wgl tot'!H23&gt;1,1,'wgl tot'!H23),2)</f>
        <v>0</v>
      </c>
      <c r="Q23" s="181">
        <f>ROUND(IF(BI23="j",tabellen!$D$59*IF('wgl tot'!H23&gt;1,1,'wgl tot'!H23),0),2)</f>
        <v>0</v>
      </c>
      <c r="R23" s="181">
        <f>IF(AND(F23&gt;0,F23&lt;17),tabellen!$C$41*'wgl tot'!H23,0)</f>
        <v>0</v>
      </c>
      <c r="S23" s="181">
        <f>VLOOKUP(BH23,eindejaarsuitkering_OOP,2,TRUE)*'wgl tot'!H23/12</f>
        <v>0</v>
      </c>
      <c r="T23" s="181">
        <f>ROUND(H23*tabellen!$D$57,2)</f>
        <v>0</v>
      </c>
      <c r="U23" s="181">
        <f>ROUND(H23*tabellen!C$45,2)</f>
        <v>0</v>
      </c>
      <c r="V23" s="181">
        <f>H23*(IF(F23="L10",42%*VLOOKUP(tabellen!L$45,saltab2018sept,G23+1,FALSE),IF(F23="L11",42%*VLOOKUP(tabellen!L$46,saltab2018sept,G23+1,FALSE),IF(F23="L12",42%*VLOOKUP(tabellen!L$47,saltab2018sept,G23+1,FALSE),IF(F23="L13",42%*VLOOKUP(tabellen!L$48,saltab2018sept,G23+1,FALSE),0)))))</f>
        <v>0</v>
      </c>
      <c r="W23" s="182">
        <f t="shared" si="9"/>
        <v>0</v>
      </c>
      <c r="X23" s="181">
        <f>('wgl tot'!L23+'wgl tot'!P23)*tabellen!$C$43*12</f>
        <v>0</v>
      </c>
      <c r="Y23" s="163">
        <f t="shared" si="10"/>
        <v>0</v>
      </c>
      <c r="Z23" s="151"/>
      <c r="AA23" s="182">
        <f t="shared" si="11"/>
        <v>0</v>
      </c>
      <c r="AB23" s="217">
        <f>+'wgl tot'!X23/12</f>
        <v>0</v>
      </c>
      <c r="AC23" s="151"/>
      <c r="AD23" s="181">
        <f>IF(F23="",0,(IF('wgl tot'!W23/'wgl tot'!H23&lt;tabellen!$E$6,0,('wgl tot'!W23-tabellen!$E$6*'wgl tot'!H23)/12)*tabellen!$C$6))</f>
        <v>0</v>
      </c>
      <c r="AE23" s="181">
        <f>IF(F23="",0,(IF('wgl tot'!W23/'wgl tot'!H23&lt;tabellen!$E$7,0,(+'wgl tot'!W23-tabellen!$E$7*'wgl tot'!H23)/12)*tabellen!$C$7))</f>
        <v>0</v>
      </c>
      <c r="AF23" s="181">
        <f>'wgl tot'!W23/12*tabellen!$C$8</f>
        <v>0</v>
      </c>
      <c r="AG23" s="181">
        <f>IF(H23=0,0,IF(BN23&gt;tabellen!$G$9/12,tabellen!$G$9/12,BN23)*(tabellen!$C$9+tabellen!$C$10))</f>
        <v>0</v>
      </c>
      <c r="AH23" s="181">
        <f>IF(F23="",0,('wgl tot'!BO23))</f>
        <v>0</v>
      </c>
      <c r="AI23" s="183">
        <f>IF(F23="",0,(IF('wgl tot'!BN23&gt;tabellen!$G$12*'wgl tot'!H23/12,tabellen!$G$12*'wgl tot'!H23/12,'wgl tot'!BN23)*tabellen!$C$12))</f>
        <v>0</v>
      </c>
      <c r="AJ23" s="151"/>
      <c r="AK23" s="183">
        <f>IF(F23="",0,('wgl tot'!BN23*IF(J23=1,tabellen!$C$13,IF(J23=2,tabellen!$C$14,IF(J23=3,tabellen!$C$15,IF(J23=5,tabellen!$C$17,IF(J23=6,tabellen!$C$18,IF(J23=7,tabellen!$C$19,IF(J23=8,tabellen!$C$20,tabellen!$C$16)))))))))</f>
        <v>0</v>
      </c>
      <c r="AL23" s="183">
        <f>IF(F23="",0,('wgl tot'!BN23*tabellen!$C$21))</f>
        <v>0</v>
      </c>
      <c r="AM23" s="237">
        <v>0</v>
      </c>
      <c r="AN23" s="151"/>
      <c r="AO23" s="237">
        <v>0</v>
      </c>
      <c r="AP23" s="151"/>
      <c r="AQ23" s="163">
        <f t="shared" si="1"/>
        <v>0</v>
      </c>
      <c r="AR23" s="163">
        <f t="shared" si="12"/>
        <v>0</v>
      </c>
      <c r="AS23" s="151"/>
      <c r="AT23" s="187" t="str">
        <f t="shared" si="13"/>
        <v/>
      </c>
      <c r="AU23" s="187" t="str">
        <f t="shared" si="14"/>
        <v/>
      </c>
      <c r="AV23" s="151"/>
      <c r="AW23" s="129"/>
      <c r="AX23" s="121"/>
      <c r="AY23" s="121"/>
      <c r="AZ23" s="165">
        <f ca="1">YEAR('wgl tot'!$AZ$9)-YEAR('wgl tot'!E23)</f>
        <v>119</v>
      </c>
      <c r="BA23" s="165">
        <f ca="1">MONTH('wgl tot'!$AZ$9)-MONTH('wgl tot'!E23)</f>
        <v>8</v>
      </c>
      <c r="BB23" s="165">
        <f ca="1">DAY('wgl tot'!$AZ$9)-DAY('wgl tot'!E23)</f>
        <v>14</v>
      </c>
      <c r="BC23" s="130">
        <f>IF(AND('wgl tot'!F23&gt;0,'wgl tot'!F23&lt;17),0,100)</f>
        <v>100</v>
      </c>
      <c r="BD23" s="130">
        <f t="shared" si="3"/>
        <v>0</v>
      </c>
      <c r="BE23" s="148">
        <v>42583</v>
      </c>
      <c r="BF23" s="166">
        <f t="shared" si="17"/>
        <v>0.08</v>
      </c>
      <c r="BG23" s="167">
        <f>+tabellen!$D$51</f>
        <v>6.3E-2</v>
      </c>
      <c r="BH23" s="165">
        <f>IF('wgl tot'!BC23=100,0,'wgl tot'!F23)</f>
        <v>0</v>
      </c>
      <c r="BI23" s="167" t="str">
        <f>IF(OR('wgl tot'!F23="DA",'wgl tot'!F23="DB",'wgl tot'!F23="DBuit",'wgl tot'!F23="DC",'wgl tot'!F23="DCuit",MID('wgl tot'!F23,1,5)="meerh"),"j","n")</f>
        <v>n</v>
      </c>
      <c r="BJ23" s="169" t="e">
        <f>IF('wgl tot'!W23/'wgl tot'!H23&lt;tabellen!$E$6,0,(+'wgl tot'!W23-tabellen!$E$6*'wgl tot'!H23)/12*tabellen!$D$6)</f>
        <v>#DIV/0!</v>
      </c>
      <c r="BK23" s="169" t="e">
        <f>IF('wgl tot'!W23/'wgl tot'!H23&lt;tabellen!$E$7,0,(+'wgl tot'!W23-tabellen!$E$7*'wgl tot'!H23)/12*tabellen!$D$7)</f>
        <v>#DIV/0!</v>
      </c>
      <c r="BL23" s="169">
        <f>'wgl tot'!W23/12*tabellen!$D$8</f>
        <v>0</v>
      </c>
      <c r="BM23" s="170" t="e">
        <f t="shared" si="4"/>
        <v>#DIV/0!</v>
      </c>
      <c r="BN23" s="171" t="e">
        <f>+Y23/12-'wgl tot'!BM23</f>
        <v>#DIV/0!</v>
      </c>
      <c r="BO23" s="171" t="e">
        <f>ROUND(IF('wgl tot'!BN23&gt;tabellen!$H$11,tabellen!$H$11,'wgl tot'!BN23)*tabellen!$C$11,2)</f>
        <v>#DIV/0!</v>
      </c>
      <c r="BP23" s="171" t="e">
        <f>+'wgl tot'!BN23+'wgl tot'!BO23</f>
        <v>#DIV/0!</v>
      </c>
      <c r="BQ23" s="172">
        <f t="shared" si="5"/>
        <v>1900</v>
      </c>
      <c r="BR23" s="172">
        <f t="shared" si="6"/>
        <v>1</v>
      </c>
      <c r="BS23" s="165">
        <f t="shared" si="7"/>
        <v>0</v>
      </c>
      <c r="BT23" s="148">
        <f t="shared" si="15"/>
        <v>22462</v>
      </c>
      <c r="BU23" s="148">
        <f t="shared" ca="1" si="16"/>
        <v>43722.739781944445</v>
      </c>
      <c r="BV23" s="130"/>
      <c r="BW23" s="148"/>
      <c r="BX23" s="130"/>
      <c r="BY23" s="168"/>
      <c r="BZ23" s="168"/>
      <c r="CA23" s="168"/>
      <c r="CB23" s="168"/>
      <c r="CC23" s="168"/>
      <c r="CD23" s="168"/>
      <c r="CE23" s="121"/>
      <c r="CF23" s="121"/>
    </row>
    <row r="24" spans="1:84" s="132" customFormat="1" ht="12" customHeight="1" x14ac:dyDescent="0.2">
      <c r="A24" s="121"/>
      <c r="B24" s="122"/>
      <c r="C24" s="151"/>
      <c r="D24" s="157"/>
      <c r="E24" s="158"/>
      <c r="F24" s="159"/>
      <c r="G24" s="159"/>
      <c r="H24" s="160"/>
      <c r="I24" s="159"/>
      <c r="J24" s="161"/>
      <c r="K24" s="181">
        <f>IF(F24="",0,(VLOOKUP('wgl tot'!F24,saltab2019,'wgl tot'!G24+1,FALSE)))</f>
        <v>0</v>
      </c>
      <c r="L24" s="163">
        <f t="shared" si="0"/>
        <v>0</v>
      </c>
      <c r="M24" s="151"/>
      <c r="N24" s="181">
        <f>ROUND(IF(('wgl tot'!L24+'wgl tot'!P24)*BF24&lt;'wgl tot'!H24*tabellen!$D$50,'wgl tot'!H24*tabellen!$D$50,('wgl tot'!L24+'wgl tot'!P24)*BF24),2)</f>
        <v>0</v>
      </c>
      <c r="O24" s="181">
        <f>ROUND(+('wgl tot'!L24+'wgl tot'!P24)*BG24,2)</f>
        <v>0</v>
      </c>
      <c r="P24" s="181">
        <f>ROUND(IF(I24="j",VLOOKUP(BD24,uitlooptoeslag,2,FALSE))*IF('wgl tot'!H24&gt;1,1,'wgl tot'!H24),2)</f>
        <v>0</v>
      </c>
      <c r="Q24" s="181">
        <f>ROUND(IF(BI24="j",tabellen!$D$59*IF('wgl tot'!H24&gt;1,1,'wgl tot'!H24),0),2)</f>
        <v>0</v>
      </c>
      <c r="R24" s="181">
        <f>IF(AND(F24&gt;0,F24&lt;17),tabellen!$C$41*'wgl tot'!H24,0)</f>
        <v>0</v>
      </c>
      <c r="S24" s="181">
        <f>VLOOKUP(BH24,eindejaarsuitkering_OOP,2,TRUE)*'wgl tot'!H24/12</f>
        <v>0</v>
      </c>
      <c r="T24" s="181">
        <f>ROUND(H24*tabellen!$D$57,2)</f>
        <v>0</v>
      </c>
      <c r="U24" s="181">
        <f>ROUND(H24*tabellen!C$45,2)</f>
        <v>0</v>
      </c>
      <c r="V24" s="181">
        <f>H24*(IF(F24="L10",42%*VLOOKUP(tabellen!L$45,saltab2018sept,G24+1,FALSE),IF(F24="L11",42%*VLOOKUP(tabellen!L$46,saltab2018sept,G24+1,FALSE),IF(F24="L12",42%*VLOOKUP(tabellen!L$47,saltab2018sept,G24+1,FALSE),IF(F24="L13",42%*VLOOKUP(tabellen!L$48,saltab2018sept,G24+1,FALSE),0)))))</f>
        <v>0</v>
      </c>
      <c r="W24" s="182">
        <f t="shared" si="9"/>
        <v>0</v>
      </c>
      <c r="X24" s="181">
        <f>('wgl tot'!L24+'wgl tot'!P24)*tabellen!$C$43*12</f>
        <v>0</v>
      </c>
      <c r="Y24" s="163">
        <f t="shared" si="10"/>
        <v>0</v>
      </c>
      <c r="Z24" s="151"/>
      <c r="AA24" s="182">
        <f t="shared" ref="AA24:AA76" si="18">Y24/12</f>
        <v>0</v>
      </c>
      <c r="AB24" s="217">
        <f>+'wgl tot'!X24/12</f>
        <v>0</v>
      </c>
      <c r="AC24" s="151"/>
      <c r="AD24" s="181">
        <f>IF(F24="",0,(IF('wgl tot'!W24/'wgl tot'!H24&lt;tabellen!$E$6,0,('wgl tot'!W24-tabellen!$E$6*'wgl tot'!H24)/12)*tabellen!$C$6))</f>
        <v>0</v>
      </c>
      <c r="AE24" s="181">
        <f>IF(F24="",0,(IF('wgl tot'!W24/'wgl tot'!H24&lt;tabellen!$E$7,0,(+'wgl tot'!W24-tabellen!$E$7*'wgl tot'!H24)/12)*tabellen!$C$7))</f>
        <v>0</v>
      </c>
      <c r="AF24" s="181">
        <f>'wgl tot'!W24/12*tabellen!$C$8</f>
        <v>0</v>
      </c>
      <c r="AG24" s="181">
        <f>IF(H24=0,0,IF(BN24&gt;tabellen!$G$9/12,tabellen!$G$9/12,BN24)*(tabellen!$C$9+tabellen!$C$10))</f>
        <v>0</v>
      </c>
      <c r="AH24" s="181">
        <f>IF(F24="",0,('wgl tot'!BO24))</f>
        <v>0</v>
      </c>
      <c r="AI24" s="183">
        <f>IF(F24="",0,(IF('wgl tot'!BN24&gt;tabellen!$G$12*'wgl tot'!H24/12,tabellen!$G$12*'wgl tot'!H24/12,'wgl tot'!BN24)*tabellen!$C$12))</f>
        <v>0</v>
      </c>
      <c r="AJ24" s="151"/>
      <c r="AK24" s="183">
        <f>IF(F24="",0,('wgl tot'!BN24*IF(J24=1,tabellen!$C$13,IF(J24=2,tabellen!$C$14,IF(J24=3,tabellen!$C$15,IF(J24=5,tabellen!$C$17,IF(J24=6,tabellen!$C$18,IF(J24=7,tabellen!$C$19,IF(J24=8,tabellen!$C$20,tabellen!$C$16)))))))))</f>
        <v>0</v>
      </c>
      <c r="AL24" s="183">
        <f>IF(F24="",0,('wgl tot'!BN24*tabellen!$C$21))</f>
        <v>0</v>
      </c>
      <c r="AM24" s="237">
        <v>0</v>
      </c>
      <c r="AN24" s="151"/>
      <c r="AO24" s="237">
        <v>0</v>
      </c>
      <c r="AP24" s="151"/>
      <c r="AQ24" s="163">
        <f t="shared" ref="AQ24:AQ78" si="19">SUM(AA24:AO24)-AB24</f>
        <v>0</v>
      </c>
      <c r="AR24" s="163">
        <f t="shared" ref="AR24:AR86" si="20">AQ24*12</f>
        <v>0</v>
      </c>
      <c r="AS24" s="151"/>
      <c r="AT24" s="187" t="str">
        <f t="shared" ref="AT24:AT43" si="21">IF(AQ24=0,"",(AQ24/L24-1))</f>
        <v/>
      </c>
      <c r="AU24" s="187" t="str">
        <f t="shared" si="2"/>
        <v/>
      </c>
      <c r="AV24" s="151"/>
      <c r="AW24" s="129"/>
      <c r="AX24" s="121"/>
      <c r="AY24" s="121"/>
      <c r="AZ24" s="165">
        <f ca="1">YEAR('wgl tot'!$AZ$9)-YEAR('wgl tot'!E24)</f>
        <v>119</v>
      </c>
      <c r="BA24" s="165">
        <f ca="1">MONTH('wgl tot'!$AZ$9)-MONTH('wgl tot'!E24)</f>
        <v>8</v>
      </c>
      <c r="BB24" s="165">
        <f ca="1">DAY('wgl tot'!$AZ$9)-DAY('wgl tot'!E24)</f>
        <v>14</v>
      </c>
      <c r="BC24" s="130">
        <f>IF(AND('wgl tot'!F24&gt;0,'wgl tot'!F24&lt;17),0,100)</f>
        <v>100</v>
      </c>
      <c r="BD24" s="130">
        <f t="shared" si="3"/>
        <v>0</v>
      </c>
      <c r="BE24" s="148">
        <v>42583</v>
      </c>
      <c r="BF24" s="166">
        <f t="shared" si="17"/>
        <v>0.08</v>
      </c>
      <c r="BG24" s="167">
        <f>+tabellen!$D$51</f>
        <v>6.3E-2</v>
      </c>
      <c r="BH24" s="165">
        <f>IF('wgl tot'!BC24=100,0,'wgl tot'!F24)</f>
        <v>0</v>
      </c>
      <c r="BI24" s="167" t="str">
        <f>IF(OR('wgl tot'!F24="DA",'wgl tot'!F24="DB",'wgl tot'!F24="DBuit",'wgl tot'!F24="DC",'wgl tot'!F24="DCuit",MID('wgl tot'!F24,1,5)="meerh"),"j","n")</f>
        <v>n</v>
      </c>
      <c r="BJ24" s="169" t="e">
        <f>IF('wgl tot'!W24/'wgl tot'!H24&lt;tabellen!$E$6,0,(+'wgl tot'!W24-tabellen!$E$6*'wgl tot'!H24)/12*tabellen!$D$6)</f>
        <v>#DIV/0!</v>
      </c>
      <c r="BK24" s="169" t="e">
        <f>IF('wgl tot'!W24/'wgl tot'!H24&lt;tabellen!$E$7,0,(+'wgl tot'!W24-tabellen!$E$7*'wgl tot'!H24)/12*tabellen!$D$7)</f>
        <v>#DIV/0!</v>
      </c>
      <c r="BL24" s="169">
        <f>'wgl tot'!W24/12*tabellen!$D$8</f>
        <v>0</v>
      </c>
      <c r="BM24" s="170" t="e">
        <f t="shared" si="4"/>
        <v>#DIV/0!</v>
      </c>
      <c r="BN24" s="171" t="e">
        <f>+Y24/12-'wgl tot'!BM24</f>
        <v>#DIV/0!</v>
      </c>
      <c r="BO24" s="171" t="e">
        <f>ROUND(IF('wgl tot'!BN24&gt;tabellen!$H$11,tabellen!$H$11,'wgl tot'!BN24)*tabellen!$C$11,2)</f>
        <v>#DIV/0!</v>
      </c>
      <c r="BP24" s="171" t="e">
        <f>+'wgl tot'!BN24+'wgl tot'!BO24</f>
        <v>#DIV/0!</v>
      </c>
      <c r="BQ24" s="172">
        <f t="shared" si="5"/>
        <v>1900</v>
      </c>
      <c r="BR24" s="172">
        <f t="shared" si="6"/>
        <v>1</v>
      </c>
      <c r="BS24" s="165">
        <f t="shared" si="7"/>
        <v>0</v>
      </c>
      <c r="BT24" s="148">
        <f t="shared" si="15"/>
        <v>22462</v>
      </c>
      <c r="BU24" s="148">
        <f t="shared" ca="1" si="16"/>
        <v>43722.739781944445</v>
      </c>
      <c r="BV24" s="130"/>
      <c r="BW24" s="148"/>
      <c r="BX24" s="130"/>
      <c r="BY24" s="168"/>
      <c r="BZ24" s="168"/>
      <c r="CA24" s="168"/>
      <c r="CB24" s="168"/>
      <c r="CC24" s="168"/>
      <c r="CD24" s="168"/>
      <c r="CE24" s="121"/>
      <c r="CF24" s="121"/>
    </row>
    <row r="25" spans="1:84" s="132" customFormat="1" ht="12" customHeight="1" x14ac:dyDescent="0.2">
      <c r="A25" s="121"/>
      <c r="B25" s="122"/>
      <c r="C25" s="151"/>
      <c r="D25" s="157"/>
      <c r="E25" s="158"/>
      <c r="F25" s="159"/>
      <c r="G25" s="159"/>
      <c r="H25" s="160"/>
      <c r="I25" s="159"/>
      <c r="J25" s="161"/>
      <c r="K25" s="181">
        <f>IF(F25="",0,(VLOOKUP('wgl tot'!F25,saltab2019,'wgl tot'!G25+1,FALSE)))</f>
        <v>0</v>
      </c>
      <c r="L25" s="163">
        <f t="shared" si="0"/>
        <v>0</v>
      </c>
      <c r="M25" s="151"/>
      <c r="N25" s="181">
        <f>ROUND(IF(('wgl tot'!L25+'wgl tot'!P25)*BF25&lt;'wgl tot'!H25*tabellen!$D$50,'wgl tot'!H25*tabellen!$D$50,('wgl tot'!L25+'wgl tot'!P25)*BF25),2)</f>
        <v>0</v>
      </c>
      <c r="O25" s="181">
        <f>ROUND(+('wgl tot'!L25+'wgl tot'!P25)*BG25,2)</f>
        <v>0</v>
      </c>
      <c r="P25" s="181">
        <f>ROUND(IF(I25="j",VLOOKUP(BD25,uitlooptoeslag,2,FALSE))*IF('wgl tot'!H25&gt;1,1,'wgl tot'!H25),2)</f>
        <v>0</v>
      </c>
      <c r="Q25" s="181">
        <f>ROUND(IF(BI25="j",tabellen!$D$59*IF('wgl tot'!H25&gt;1,1,'wgl tot'!H25),0),2)</f>
        <v>0</v>
      </c>
      <c r="R25" s="181">
        <f>IF(AND(F25&gt;0,F25&lt;17),tabellen!$C$41*'wgl tot'!H25,0)</f>
        <v>0</v>
      </c>
      <c r="S25" s="181">
        <f>VLOOKUP(BH25,eindejaarsuitkering_OOP,2,TRUE)*'wgl tot'!H25/12</f>
        <v>0</v>
      </c>
      <c r="T25" s="181">
        <f>ROUND(H25*tabellen!$D$57,2)</f>
        <v>0</v>
      </c>
      <c r="U25" s="181">
        <f>ROUND(H25*tabellen!C$45,2)</f>
        <v>0</v>
      </c>
      <c r="V25" s="181">
        <f>H25*(IF(F25="L10",42%*VLOOKUP(tabellen!L$45,saltab2018sept,G25+1,FALSE),IF(F25="L11",42%*VLOOKUP(tabellen!L$46,saltab2018sept,G25+1,FALSE),IF(F25="L12",42%*VLOOKUP(tabellen!L$47,saltab2018sept,G25+1,FALSE),IF(F25="L13",42%*VLOOKUP(tabellen!L$48,saltab2018sept,G25+1,FALSE),0)))))</f>
        <v>0</v>
      </c>
      <c r="W25" s="182">
        <f t="shared" si="9"/>
        <v>0</v>
      </c>
      <c r="X25" s="181">
        <f>('wgl tot'!L25+'wgl tot'!P25)*tabellen!$C$43*12</f>
        <v>0</v>
      </c>
      <c r="Y25" s="163">
        <f t="shared" si="10"/>
        <v>0</v>
      </c>
      <c r="Z25" s="151"/>
      <c r="AA25" s="182">
        <f t="shared" si="18"/>
        <v>0</v>
      </c>
      <c r="AB25" s="217">
        <f>+'wgl tot'!X25/12</f>
        <v>0</v>
      </c>
      <c r="AC25" s="151"/>
      <c r="AD25" s="181">
        <f>IF(F25="",0,(IF('wgl tot'!W25/'wgl tot'!H25&lt;tabellen!$E$6,0,('wgl tot'!W25-tabellen!$E$6*'wgl tot'!H25)/12)*tabellen!$C$6))</f>
        <v>0</v>
      </c>
      <c r="AE25" s="181">
        <f>IF(F25="",0,(IF('wgl tot'!W25/'wgl tot'!H25&lt;tabellen!$E$7,0,(+'wgl tot'!W25-tabellen!$E$7*'wgl tot'!H25)/12)*tabellen!$C$7))</f>
        <v>0</v>
      </c>
      <c r="AF25" s="181">
        <f>'wgl tot'!W25/12*tabellen!$C$8</f>
        <v>0</v>
      </c>
      <c r="AG25" s="181">
        <f>IF(H25=0,0,IF(BN25&gt;tabellen!$G$9/12,tabellen!$G$9/12,BN25)*(tabellen!$C$9+tabellen!$C$10))</f>
        <v>0</v>
      </c>
      <c r="AH25" s="181">
        <f>IF(F25="",0,('wgl tot'!BO25))</f>
        <v>0</v>
      </c>
      <c r="AI25" s="183">
        <f>IF(F25="",0,(IF('wgl tot'!BN25&gt;tabellen!$G$12*'wgl tot'!H25/12,tabellen!$G$12*'wgl tot'!H25/12,'wgl tot'!BN25)*tabellen!$C$12))</f>
        <v>0</v>
      </c>
      <c r="AJ25" s="151"/>
      <c r="AK25" s="183">
        <f>IF(F25="",0,('wgl tot'!BN25*IF(J25=1,tabellen!$C$13,IF(J25=2,tabellen!$C$14,IF(J25=3,tabellen!$C$15,IF(J25=5,tabellen!$C$17,IF(J25=6,tabellen!$C$18,IF(J25=7,tabellen!$C$19,IF(J25=8,tabellen!$C$20,tabellen!$C$16)))))))))</f>
        <v>0</v>
      </c>
      <c r="AL25" s="183">
        <f>IF(F25="",0,('wgl tot'!BN25*tabellen!$C$21))</f>
        <v>0</v>
      </c>
      <c r="AM25" s="237">
        <v>0</v>
      </c>
      <c r="AN25" s="151"/>
      <c r="AO25" s="237">
        <v>0</v>
      </c>
      <c r="AP25" s="151"/>
      <c r="AQ25" s="163">
        <f t="shared" si="19"/>
        <v>0</v>
      </c>
      <c r="AR25" s="163">
        <f t="shared" si="20"/>
        <v>0</v>
      </c>
      <c r="AS25" s="151"/>
      <c r="AT25" s="187" t="str">
        <f t="shared" si="21"/>
        <v/>
      </c>
      <c r="AU25" s="187" t="str">
        <f t="shared" si="2"/>
        <v/>
      </c>
      <c r="AV25" s="151"/>
      <c r="AW25" s="129"/>
      <c r="AX25" s="121"/>
      <c r="AY25" s="121"/>
      <c r="AZ25" s="165">
        <f ca="1">YEAR('wgl tot'!$AZ$9)-YEAR('wgl tot'!E25)</f>
        <v>119</v>
      </c>
      <c r="BA25" s="165">
        <f ca="1">MONTH('wgl tot'!$AZ$9)-MONTH('wgl tot'!E25)</f>
        <v>8</v>
      </c>
      <c r="BB25" s="165">
        <f ca="1">DAY('wgl tot'!$AZ$9)-DAY('wgl tot'!E25)</f>
        <v>14</v>
      </c>
      <c r="BC25" s="130">
        <f>IF(AND('wgl tot'!F25&gt;0,'wgl tot'!F25&lt;17),0,100)</f>
        <v>100</v>
      </c>
      <c r="BD25" s="130">
        <f t="shared" si="3"/>
        <v>0</v>
      </c>
      <c r="BE25" s="148">
        <v>42583</v>
      </c>
      <c r="BF25" s="166">
        <f t="shared" si="17"/>
        <v>0.08</v>
      </c>
      <c r="BG25" s="167">
        <f>+tabellen!$D$51</f>
        <v>6.3E-2</v>
      </c>
      <c r="BH25" s="165">
        <f>IF('wgl tot'!BC25=100,0,'wgl tot'!F25)</f>
        <v>0</v>
      </c>
      <c r="BI25" s="167" t="str">
        <f>IF(OR('wgl tot'!F25="DA",'wgl tot'!F25="DB",'wgl tot'!F25="DBuit",'wgl tot'!F25="DC",'wgl tot'!F25="DCuit",MID('wgl tot'!F25,1,5)="meerh"),"j","n")</f>
        <v>n</v>
      </c>
      <c r="BJ25" s="169" t="e">
        <f>IF('wgl tot'!W25/'wgl tot'!H25&lt;tabellen!$E$6,0,(+'wgl tot'!W25-tabellen!$E$6*'wgl tot'!H25)/12*tabellen!$D$6)</f>
        <v>#DIV/0!</v>
      </c>
      <c r="BK25" s="169" t="e">
        <f>IF('wgl tot'!W25/'wgl tot'!H25&lt;tabellen!$E$7,0,(+'wgl tot'!W25-tabellen!$E$7*'wgl tot'!H25)/12*tabellen!$D$7)</f>
        <v>#DIV/0!</v>
      </c>
      <c r="BL25" s="169">
        <f>'wgl tot'!W25/12*tabellen!$D$8</f>
        <v>0</v>
      </c>
      <c r="BM25" s="170" t="e">
        <f t="shared" ref="BM25:BM86" si="22">SUM(BJ25:BL25)</f>
        <v>#DIV/0!</v>
      </c>
      <c r="BN25" s="171" t="e">
        <f>+Y25/12-'wgl tot'!BM25</f>
        <v>#DIV/0!</v>
      </c>
      <c r="BO25" s="171" t="e">
        <f>ROUND(IF('wgl tot'!BN25&gt;tabellen!$H$11,tabellen!$H$11,'wgl tot'!BN25)*tabellen!$C$11,2)</f>
        <v>#DIV/0!</v>
      </c>
      <c r="BP25" s="171" t="e">
        <f>+'wgl tot'!BN25+'wgl tot'!BO25</f>
        <v>#DIV/0!</v>
      </c>
      <c r="BQ25" s="172">
        <f t="shared" si="5"/>
        <v>1900</v>
      </c>
      <c r="BR25" s="172">
        <f t="shared" si="6"/>
        <v>1</v>
      </c>
      <c r="BS25" s="165">
        <f t="shared" si="7"/>
        <v>0</v>
      </c>
      <c r="BT25" s="148">
        <f t="shared" si="15"/>
        <v>22462</v>
      </c>
      <c r="BU25" s="148">
        <f t="shared" ca="1" si="16"/>
        <v>43722.739781944445</v>
      </c>
      <c r="BV25" s="130"/>
      <c r="BW25" s="148"/>
      <c r="BX25" s="130"/>
      <c r="BY25" s="168"/>
      <c r="BZ25" s="168"/>
      <c r="CA25" s="168"/>
      <c r="CB25" s="168"/>
      <c r="CC25" s="168"/>
      <c r="CD25" s="168"/>
      <c r="CE25" s="121"/>
      <c r="CF25" s="121"/>
    </row>
    <row r="26" spans="1:84" s="132" customFormat="1" ht="12" customHeight="1" x14ac:dyDescent="0.2">
      <c r="A26" s="121"/>
      <c r="B26" s="122"/>
      <c r="C26" s="151"/>
      <c r="D26" s="157"/>
      <c r="E26" s="158"/>
      <c r="F26" s="159"/>
      <c r="G26" s="159"/>
      <c r="H26" s="160"/>
      <c r="I26" s="159"/>
      <c r="J26" s="161"/>
      <c r="K26" s="181">
        <f>IF(F26="",0,(VLOOKUP('wgl tot'!F26,saltab2019,'wgl tot'!G26+1,FALSE)))</f>
        <v>0</v>
      </c>
      <c r="L26" s="163">
        <f t="shared" si="0"/>
        <v>0</v>
      </c>
      <c r="M26" s="151"/>
      <c r="N26" s="181">
        <f>ROUND(IF(('wgl tot'!L26+'wgl tot'!P26)*BF26&lt;'wgl tot'!H26*tabellen!$D$50,'wgl tot'!H26*tabellen!$D$50,('wgl tot'!L26+'wgl tot'!P26)*BF26),2)</f>
        <v>0</v>
      </c>
      <c r="O26" s="181">
        <f>ROUND(+('wgl tot'!L26+'wgl tot'!P26)*BG26,2)</f>
        <v>0</v>
      </c>
      <c r="P26" s="181">
        <f>ROUND(IF(I26="j",VLOOKUP(BD26,uitlooptoeslag,2,FALSE))*IF('wgl tot'!H26&gt;1,1,'wgl tot'!H26),2)</f>
        <v>0</v>
      </c>
      <c r="Q26" s="181">
        <f>ROUND(IF(BI26="j",tabellen!$D$59*IF('wgl tot'!H26&gt;1,1,'wgl tot'!H26),0),2)</f>
        <v>0</v>
      </c>
      <c r="R26" s="181">
        <f>IF(AND(F26&gt;0,F26&lt;17),tabellen!$C$41*'wgl tot'!H26,0)</f>
        <v>0</v>
      </c>
      <c r="S26" s="181">
        <f>VLOOKUP(BH26,eindejaarsuitkering_OOP,2,TRUE)*'wgl tot'!H26/12</f>
        <v>0</v>
      </c>
      <c r="T26" s="181">
        <f>ROUND(H26*tabellen!$D$57,2)</f>
        <v>0</v>
      </c>
      <c r="U26" s="181">
        <f>ROUND(H26*tabellen!C$45,2)</f>
        <v>0</v>
      </c>
      <c r="V26" s="181">
        <f>H26*(IF(F26="L10",42%*VLOOKUP(tabellen!L$45,saltab2018sept,G26+1,FALSE),IF(F26="L11",42%*VLOOKUP(tabellen!L$46,saltab2018sept,G26+1,FALSE),IF(F26="L12",42%*VLOOKUP(tabellen!L$47,saltab2018sept,G26+1,FALSE),IF(F26="L13",42%*VLOOKUP(tabellen!L$48,saltab2018sept,G26+1,FALSE),0)))))</f>
        <v>0</v>
      </c>
      <c r="W26" s="182">
        <f t="shared" si="9"/>
        <v>0</v>
      </c>
      <c r="X26" s="181">
        <f>('wgl tot'!L26+'wgl tot'!P26)*tabellen!$C$43*12</f>
        <v>0</v>
      </c>
      <c r="Y26" s="163">
        <f t="shared" si="10"/>
        <v>0</v>
      </c>
      <c r="Z26" s="151"/>
      <c r="AA26" s="182">
        <f t="shared" si="18"/>
        <v>0</v>
      </c>
      <c r="AB26" s="217">
        <f>+'wgl tot'!X26/12</f>
        <v>0</v>
      </c>
      <c r="AC26" s="151"/>
      <c r="AD26" s="181">
        <f>IF(F26="",0,(IF('wgl tot'!W26/'wgl tot'!H26&lt;tabellen!$E$6,0,('wgl tot'!W26-tabellen!$E$6*'wgl tot'!H26)/12)*tabellen!$C$6))</f>
        <v>0</v>
      </c>
      <c r="AE26" s="181">
        <f>IF(F26="",0,(IF('wgl tot'!W26/'wgl tot'!H26&lt;tabellen!$E$7,0,(+'wgl tot'!W26-tabellen!$E$7*'wgl tot'!H26)/12)*tabellen!$C$7))</f>
        <v>0</v>
      </c>
      <c r="AF26" s="181">
        <f>'wgl tot'!W26/12*tabellen!$C$8</f>
        <v>0</v>
      </c>
      <c r="AG26" s="181">
        <f>IF(H26=0,0,IF(BN26&gt;tabellen!$G$9/12,tabellen!$G$9/12,BN26)*(tabellen!$C$9+tabellen!$C$10))</f>
        <v>0</v>
      </c>
      <c r="AH26" s="181">
        <f>IF(F26="",0,('wgl tot'!BO26))</f>
        <v>0</v>
      </c>
      <c r="AI26" s="183">
        <f>IF(F26="",0,(IF('wgl tot'!BN26&gt;tabellen!$G$12*'wgl tot'!H26/12,tabellen!$G$12*'wgl tot'!H26/12,'wgl tot'!BN26)*tabellen!$C$12))</f>
        <v>0</v>
      </c>
      <c r="AJ26" s="151"/>
      <c r="AK26" s="183">
        <f>IF(F26="",0,('wgl tot'!BN26*IF(J26=1,tabellen!$C$13,IF(J26=2,tabellen!$C$14,IF(J26=3,tabellen!$C$15,IF(J26=5,tabellen!$C$17,IF(J26=6,tabellen!$C$18,IF(J26=7,tabellen!$C$19,IF(J26=8,tabellen!$C$20,tabellen!$C$16)))))))))</f>
        <v>0</v>
      </c>
      <c r="AL26" s="183">
        <f>IF(F26="",0,('wgl tot'!BN26*tabellen!$C$21))</f>
        <v>0</v>
      </c>
      <c r="AM26" s="237">
        <v>0</v>
      </c>
      <c r="AN26" s="151"/>
      <c r="AO26" s="237">
        <v>0</v>
      </c>
      <c r="AP26" s="151"/>
      <c r="AQ26" s="163">
        <f t="shared" si="19"/>
        <v>0</v>
      </c>
      <c r="AR26" s="163">
        <f t="shared" si="20"/>
        <v>0</v>
      </c>
      <c r="AS26" s="151"/>
      <c r="AT26" s="187" t="str">
        <f t="shared" si="21"/>
        <v/>
      </c>
      <c r="AU26" s="187" t="str">
        <f t="shared" si="2"/>
        <v/>
      </c>
      <c r="AV26" s="151"/>
      <c r="AW26" s="129"/>
      <c r="AX26" s="121"/>
      <c r="AY26" s="121"/>
      <c r="AZ26" s="165">
        <f ca="1">YEAR('wgl tot'!$AZ$9)-YEAR('wgl tot'!E26)</f>
        <v>119</v>
      </c>
      <c r="BA26" s="165">
        <f ca="1">MONTH('wgl tot'!$AZ$9)-MONTH('wgl tot'!E26)</f>
        <v>8</v>
      </c>
      <c r="BB26" s="165">
        <f ca="1">DAY('wgl tot'!$AZ$9)-DAY('wgl tot'!E26)</f>
        <v>14</v>
      </c>
      <c r="BC26" s="130">
        <f>IF(AND('wgl tot'!F26&gt;0,'wgl tot'!F26&lt;17),0,100)</f>
        <v>100</v>
      </c>
      <c r="BD26" s="130">
        <f t="shared" si="3"/>
        <v>0</v>
      </c>
      <c r="BE26" s="148">
        <v>42583</v>
      </c>
      <c r="BF26" s="166">
        <f t="shared" si="17"/>
        <v>0.08</v>
      </c>
      <c r="BG26" s="167">
        <f>+tabellen!$D$51</f>
        <v>6.3E-2</v>
      </c>
      <c r="BH26" s="165">
        <f>IF('wgl tot'!BC26=100,0,'wgl tot'!F26)</f>
        <v>0</v>
      </c>
      <c r="BI26" s="167" t="str">
        <f>IF(OR('wgl tot'!F26="DA",'wgl tot'!F26="DB",'wgl tot'!F26="DBuit",'wgl tot'!F26="DC",'wgl tot'!F26="DCuit",MID('wgl tot'!F26,1,5)="meerh"),"j","n")</f>
        <v>n</v>
      </c>
      <c r="BJ26" s="169" t="e">
        <f>IF('wgl tot'!W26/'wgl tot'!H26&lt;tabellen!$E$6,0,(+'wgl tot'!W26-tabellen!$E$6*'wgl tot'!H26)/12*tabellen!$D$6)</f>
        <v>#DIV/0!</v>
      </c>
      <c r="BK26" s="169" t="e">
        <f>IF('wgl tot'!W26/'wgl tot'!H26&lt;tabellen!$E$7,0,(+'wgl tot'!W26-tabellen!$E$7*'wgl tot'!H26)/12*tabellen!$D$7)</f>
        <v>#DIV/0!</v>
      </c>
      <c r="BL26" s="169">
        <f>'wgl tot'!W26/12*tabellen!$D$8</f>
        <v>0</v>
      </c>
      <c r="BM26" s="170" t="e">
        <f t="shared" si="22"/>
        <v>#DIV/0!</v>
      </c>
      <c r="BN26" s="171" t="e">
        <f>+Y26/12-'wgl tot'!BM26</f>
        <v>#DIV/0!</v>
      </c>
      <c r="BO26" s="171" t="e">
        <f>ROUND(IF('wgl tot'!BN26&gt;tabellen!$H$11,tabellen!$H$11,'wgl tot'!BN26)*tabellen!$C$11,2)</f>
        <v>#DIV/0!</v>
      </c>
      <c r="BP26" s="171" t="e">
        <f>+'wgl tot'!BN26+'wgl tot'!BO26</f>
        <v>#DIV/0!</v>
      </c>
      <c r="BQ26" s="172">
        <f t="shared" si="5"/>
        <v>1900</v>
      </c>
      <c r="BR26" s="172">
        <f t="shared" si="6"/>
        <v>1</v>
      </c>
      <c r="BS26" s="165">
        <f t="shared" si="7"/>
        <v>0</v>
      </c>
      <c r="BT26" s="148">
        <f t="shared" si="15"/>
        <v>22462</v>
      </c>
      <c r="BU26" s="148">
        <f t="shared" ca="1" si="16"/>
        <v>43722.739781944445</v>
      </c>
      <c r="BV26" s="130"/>
      <c r="BW26" s="148"/>
      <c r="BX26" s="130"/>
      <c r="BY26" s="168"/>
      <c r="BZ26" s="168"/>
      <c r="CA26" s="168"/>
      <c r="CB26" s="168"/>
      <c r="CC26" s="168"/>
      <c r="CD26" s="168"/>
      <c r="CE26" s="121"/>
      <c r="CF26" s="121"/>
    </row>
    <row r="27" spans="1:84" s="132" customFormat="1" ht="12" customHeight="1" x14ac:dyDescent="0.2">
      <c r="A27" s="121"/>
      <c r="B27" s="122"/>
      <c r="C27" s="151"/>
      <c r="D27" s="157"/>
      <c r="E27" s="158"/>
      <c r="F27" s="159"/>
      <c r="G27" s="159"/>
      <c r="H27" s="160"/>
      <c r="I27" s="159"/>
      <c r="J27" s="161"/>
      <c r="K27" s="181">
        <f>IF(F27="",0,(VLOOKUP('wgl tot'!F27,saltab2019,'wgl tot'!G27+1,FALSE)))</f>
        <v>0</v>
      </c>
      <c r="L27" s="163">
        <f t="shared" si="0"/>
        <v>0</v>
      </c>
      <c r="M27" s="151"/>
      <c r="N27" s="181">
        <f>ROUND(IF(('wgl tot'!L27+'wgl tot'!P27)*BF27&lt;'wgl tot'!H27*tabellen!$D$50,'wgl tot'!H27*tabellen!$D$50,('wgl tot'!L27+'wgl tot'!P27)*BF27),2)</f>
        <v>0</v>
      </c>
      <c r="O27" s="181">
        <f>ROUND(+('wgl tot'!L27+'wgl tot'!P27)*BG27,2)</f>
        <v>0</v>
      </c>
      <c r="P27" s="181">
        <f>ROUND(IF(I27="j",VLOOKUP(BD27,uitlooptoeslag,2,FALSE))*IF('wgl tot'!H27&gt;1,1,'wgl tot'!H27),2)</f>
        <v>0</v>
      </c>
      <c r="Q27" s="181">
        <f>ROUND(IF(BI27="j",tabellen!$D$59*IF('wgl tot'!H27&gt;1,1,'wgl tot'!H27),0),2)</f>
        <v>0</v>
      </c>
      <c r="R27" s="181">
        <f>IF(AND(F27&gt;0,F27&lt;17),tabellen!$C$41*'wgl tot'!H27,0)</f>
        <v>0</v>
      </c>
      <c r="S27" s="181">
        <f>VLOOKUP(BH27,eindejaarsuitkering_OOP,2,TRUE)*'wgl tot'!H27/12</f>
        <v>0</v>
      </c>
      <c r="T27" s="181">
        <f>ROUND(H27*tabellen!$D$57,2)</f>
        <v>0</v>
      </c>
      <c r="U27" s="181">
        <f>ROUND(H27*tabellen!C$45,2)</f>
        <v>0</v>
      </c>
      <c r="V27" s="181">
        <f>H27*(IF(F27="L10",42%*VLOOKUP(tabellen!L$45,saltab2018sept,G27+1,FALSE),IF(F27="L11",42%*VLOOKUP(tabellen!L$46,saltab2018sept,G27+1,FALSE),IF(F27="L12",42%*VLOOKUP(tabellen!L$47,saltab2018sept,G27+1,FALSE),IF(F27="L13",42%*VLOOKUP(tabellen!L$48,saltab2018sept,G27+1,FALSE),0)))))</f>
        <v>0</v>
      </c>
      <c r="W27" s="182">
        <f t="shared" si="9"/>
        <v>0</v>
      </c>
      <c r="X27" s="181">
        <f>('wgl tot'!L27+'wgl tot'!P27)*tabellen!$C$43*12</f>
        <v>0</v>
      </c>
      <c r="Y27" s="163">
        <f t="shared" si="10"/>
        <v>0</v>
      </c>
      <c r="Z27" s="151"/>
      <c r="AA27" s="182">
        <f t="shared" si="18"/>
        <v>0</v>
      </c>
      <c r="AB27" s="217">
        <f>+'wgl tot'!X27/12</f>
        <v>0</v>
      </c>
      <c r="AC27" s="151"/>
      <c r="AD27" s="181">
        <f>IF(F27="",0,(IF('wgl tot'!W27/'wgl tot'!H27&lt;tabellen!$E$6,0,('wgl tot'!W27-tabellen!$E$6*'wgl tot'!H27)/12)*tabellen!$C$6))</f>
        <v>0</v>
      </c>
      <c r="AE27" s="181">
        <f>IF(F27="",0,(IF('wgl tot'!W27/'wgl tot'!H27&lt;tabellen!$E$7,0,(+'wgl tot'!W27-tabellen!$E$7*'wgl tot'!H27)/12)*tabellen!$C$7))</f>
        <v>0</v>
      </c>
      <c r="AF27" s="181">
        <f>'wgl tot'!W27/12*tabellen!$C$8</f>
        <v>0</v>
      </c>
      <c r="AG27" s="181">
        <f>IF(H27=0,0,IF(BN27&gt;tabellen!$G$9/12,tabellen!$G$9/12,BN27)*(tabellen!$C$9+tabellen!$C$10))</f>
        <v>0</v>
      </c>
      <c r="AH27" s="181">
        <f>IF(F27="",0,('wgl tot'!BO27))</f>
        <v>0</v>
      </c>
      <c r="AI27" s="183">
        <f>IF(F27="",0,(IF('wgl tot'!BN27&gt;tabellen!$G$12*'wgl tot'!H27/12,tabellen!$G$12*'wgl tot'!H27/12,'wgl tot'!BN27)*tabellen!$C$12))</f>
        <v>0</v>
      </c>
      <c r="AJ27" s="151"/>
      <c r="AK27" s="183">
        <f>IF(F27="",0,('wgl tot'!BN27*IF(J27=1,tabellen!$C$13,IF(J27=2,tabellen!$C$14,IF(J27=3,tabellen!$C$15,IF(J27=5,tabellen!$C$17,IF(J27=6,tabellen!$C$18,IF(J27=7,tabellen!$C$19,IF(J27=8,tabellen!$C$20,tabellen!$C$16)))))))))</f>
        <v>0</v>
      </c>
      <c r="AL27" s="183">
        <f>IF(F27="",0,('wgl tot'!BN27*tabellen!$C$21))</f>
        <v>0</v>
      </c>
      <c r="AM27" s="237">
        <v>0</v>
      </c>
      <c r="AN27" s="151"/>
      <c r="AO27" s="237">
        <v>0</v>
      </c>
      <c r="AP27" s="151"/>
      <c r="AQ27" s="163">
        <f t="shared" si="19"/>
        <v>0</v>
      </c>
      <c r="AR27" s="163">
        <f t="shared" si="20"/>
        <v>0</v>
      </c>
      <c r="AS27" s="151"/>
      <c r="AT27" s="187" t="str">
        <f t="shared" si="21"/>
        <v/>
      </c>
      <c r="AU27" s="187" t="str">
        <f t="shared" si="2"/>
        <v/>
      </c>
      <c r="AV27" s="151"/>
      <c r="AW27" s="129"/>
      <c r="AX27" s="121"/>
      <c r="AY27" s="121"/>
      <c r="AZ27" s="165">
        <f ca="1">YEAR('wgl tot'!$AZ$9)-YEAR('wgl tot'!E27)</f>
        <v>119</v>
      </c>
      <c r="BA27" s="165">
        <f ca="1">MONTH('wgl tot'!$AZ$9)-MONTH('wgl tot'!E27)</f>
        <v>8</v>
      </c>
      <c r="BB27" s="165">
        <f ca="1">DAY('wgl tot'!$AZ$9)-DAY('wgl tot'!E27)</f>
        <v>14</v>
      </c>
      <c r="BC27" s="130">
        <f>IF(AND('wgl tot'!F27&gt;0,'wgl tot'!F27&lt;17),0,100)</f>
        <v>100</v>
      </c>
      <c r="BD27" s="130">
        <f t="shared" si="3"/>
        <v>0</v>
      </c>
      <c r="BE27" s="148">
        <v>42583</v>
      </c>
      <c r="BF27" s="166">
        <f t="shared" si="17"/>
        <v>0.08</v>
      </c>
      <c r="BG27" s="167">
        <f>+tabellen!$D$51</f>
        <v>6.3E-2</v>
      </c>
      <c r="BH27" s="165">
        <f>IF('wgl tot'!BC27=100,0,'wgl tot'!F27)</f>
        <v>0</v>
      </c>
      <c r="BI27" s="167" t="str">
        <f>IF(OR('wgl tot'!F27="DA",'wgl tot'!F27="DB",'wgl tot'!F27="DBuit",'wgl tot'!F27="DC",'wgl tot'!F27="DCuit",MID('wgl tot'!F27,1,5)="meerh"),"j","n")</f>
        <v>n</v>
      </c>
      <c r="BJ27" s="169" t="e">
        <f>IF('wgl tot'!W27/'wgl tot'!H27&lt;tabellen!$E$6,0,(+'wgl tot'!W27-tabellen!$E$6*'wgl tot'!H27)/12*tabellen!$D$6)</f>
        <v>#DIV/0!</v>
      </c>
      <c r="BK27" s="169" t="e">
        <f>IF('wgl tot'!W27/'wgl tot'!H27&lt;tabellen!$E$7,0,(+'wgl tot'!W27-tabellen!$E$7*'wgl tot'!H27)/12*tabellen!$D$7)</f>
        <v>#DIV/0!</v>
      </c>
      <c r="BL27" s="169">
        <f>'wgl tot'!W27/12*tabellen!$D$8</f>
        <v>0</v>
      </c>
      <c r="BM27" s="170" t="e">
        <f t="shared" si="22"/>
        <v>#DIV/0!</v>
      </c>
      <c r="BN27" s="171" t="e">
        <f>+Y27/12-'wgl tot'!BM27</f>
        <v>#DIV/0!</v>
      </c>
      <c r="BO27" s="171" t="e">
        <f>ROUND(IF('wgl tot'!BN27&gt;tabellen!$H$11,tabellen!$H$11,'wgl tot'!BN27)*tabellen!$C$11,2)</f>
        <v>#DIV/0!</v>
      </c>
      <c r="BP27" s="171" t="e">
        <f>+'wgl tot'!BN27+'wgl tot'!BO27</f>
        <v>#DIV/0!</v>
      </c>
      <c r="BQ27" s="172">
        <f t="shared" si="5"/>
        <v>1900</v>
      </c>
      <c r="BR27" s="172">
        <f t="shared" si="6"/>
        <v>1</v>
      </c>
      <c r="BS27" s="165">
        <f t="shared" si="7"/>
        <v>0</v>
      </c>
      <c r="BT27" s="148">
        <f t="shared" si="15"/>
        <v>22462</v>
      </c>
      <c r="BU27" s="148">
        <f t="shared" ca="1" si="16"/>
        <v>43722.739781944445</v>
      </c>
      <c r="BV27" s="130"/>
      <c r="BW27" s="148"/>
      <c r="BX27" s="130"/>
      <c r="BY27" s="168"/>
      <c r="BZ27" s="168"/>
      <c r="CA27" s="168"/>
      <c r="CB27" s="168"/>
      <c r="CC27" s="168"/>
      <c r="CD27" s="168"/>
      <c r="CE27" s="121"/>
      <c r="CF27" s="121"/>
    </row>
    <row r="28" spans="1:84" s="132" customFormat="1" ht="12" customHeight="1" x14ac:dyDescent="0.2">
      <c r="A28" s="121"/>
      <c r="B28" s="122"/>
      <c r="C28" s="151"/>
      <c r="D28" s="157"/>
      <c r="E28" s="158"/>
      <c r="F28" s="159"/>
      <c r="G28" s="159"/>
      <c r="H28" s="160"/>
      <c r="I28" s="159"/>
      <c r="J28" s="161"/>
      <c r="K28" s="181">
        <f>IF(F28="",0,(VLOOKUP('wgl tot'!F28,saltab2019,'wgl tot'!G28+1,FALSE)))</f>
        <v>0</v>
      </c>
      <c r="L28" s="163">
        <f t="shared" si="0"/>
        <v>0</v>
      </c>
      <c r="M28" s="151"/>
      <c r="N28" s="181">
        <f>ROUND(IF(('wgl tot'!L28+'wgl tot'!P28)*BF28&lt;'wgl tot'!H28*tabellen!$D$50,'wgl tot'!H28*tabellen!$D$50,('wgl tot'!L28+'wgl tot'!P28)*BF28),2)</f>
        <v>0</v>
      </c>
      <c r="O28" s="181">
        <f>ROUND(+('wgl tot'!L28+'wgl tot'!P28)*BG28,2)</f>
        <v>0</v>
      </c>
      <c r="P28" s="181">
        <f>ROUND(IF(I28="j",VLOOKUP(BD28,uitlooptoeslag,2,FALSE))*IF('wgl tot'!H28&gt;1,1,'wgl tot'!H28),2)</f>
        <v>0</v>
      </c>
      <c r="Q28" s="181">
        <f>ROUND(IF(BI28="j",tabellen!$D$59*IF('wgl tot'!H28&gt;1,1,'wgl tot'!H28),0),2)</f>
        <v>0</v>
      </c>
      <c r="R28" s="181">
        <f>IF(AND(F28&gt;0,F28&lt;17),tabellen!$C$41*'wgl tot'!H28,0)</f>
        <v>0</v>
      </c>
      <c r="S28" s="181">
        <f>VLOOKUP(BH28,eindejaarsuitkering_OOP,2,TRUE)*'wgl tot'!H28/12</f>
        <v>0</v>
      </c>
      <c r="T28" s="181">
        <f>ROUND(H28*tabellen!$D$57,2)</f>
        <v>0</v>
      </c>
      <c r="U28" s="181">
        <f>ROUND(H28*tabellen!C$45,2)</f>
        <v>0</v>
      </c>
      <c r="V28" s="181">
        <f>H28*(IF(F28="L10",42%*VLOOKUP(tabellen!L$45,saltab2018sept,G28+1,FALSE),IF(F28="L11",42%*VLOOKUP(tabellen!L$46,saltab2018sept,G28+1,FALSE),IF(F28="L12",42%*VLOOKUP(tabellen!L$47,saltab2018sept,G28+1,FALSE),IF(F28="L13",42%*VLOOKUP(tabellen!L$48,saltab2018sept,G28+1,FALSE),0)))))</f>
        <v>0</v>
      </c>
      <c r="W28" s="182">
        <f t="shared" si="9"/>
        <v>0</v>
      </c>
      <c r="X28" s="181">
        <f>('wgl tot'!L28+'wgl tot'!P28)*tabellen!$C$43*12</f>
        <v>0</v>
      </c>
      <c r="Y28" s="163">
        <f t="shared" si="10"/>
        <v>0</v>
      </c>
      <c r="Z28" s="151"/>
      <c r="AA28" s="182">
        <f t="shared" si="18"/>
        <v>0</v>
      </c>
      <c r="AB28" s="217">
        <f>+'wgl tot'!X28/12</f>
        <v>0</v>
      </c>
      <c r="AC28" s="151"/>
      <c r="AD28" s="181">
        <f>IF(F28="",0,(IF('wgl tot'!W28/'wgl tot'!H28&lt;tabellen!$E$6,0,('wgl tot'!W28-tabellen!$E$6*'wgl tot'!H28)/12)*tabellen!$C$6))</f>
        <v>0</v>
      </c>
      <c r="AE28" s="181">
        <f>IF(F28="",0,(IF('wgl tot'!W28/'wgl tot'!H28&lt;tabellen!$E$7,0,(+'wgl tot'!W28-tabellen!$E$7*'wgl tot'!H28)/12)*tabellen!$C$7))</f>
        <v>0</v>
      </c>
      <c r="AF28" s="181">
        <f>'wgl tot'!W28/12*tabellen!$C$8</f>
        <v>0</v>
      </c>
      <c r="AG28" s="181">
        <f>IF(H28=0,0,IF(BN28&gt;tabellen!$G$9/12,tabellen!$G$9/12,BN28)*(tabellen!$C$9+tabellen!$C$10))</f>
        <v>0</v>
      </c>
      <c r="AH28" s="181">
        <f>IF(F28="",0,('wgl tot'!BO28))</f>
        <v>0</v>
      </c>
      <c r="AI28" s="183">
        <f>IF(F28="",0,(IF('wgl tot'!BN28&gt;tabellen!$G$12*'wgl tot'!H28/12,tabellen!$G$12*'wgl tot'!H28/12,'wgl tot'!BN28)*tabellen!$C$12))</f>
        <v>0</v>
      </c>
      <c r="AJ28" s="151"/>
      <c r="AK28" s="183">
        <f>IF(F28="",0,('wgl tot'!BN28*IF(J28=1,tabellen!$C$13,IF(J28=2,tabellen!$C$14,IF(J28=3,tabellen!$C$15,IF(J28=5,tabellen!$C$17,IF(J28=6,tabellen!$C$18,IF(J28=7,tabellen!$C$19,IF(J28=8,tabellen!$C$20,tabellen!$C$16)))))))))</f>
        <v>0</v>
      </c>
      <c r="AL28" s="183">
        <f>IF(F28="",0,('wgl tot'!BN28*tabellen!$C$21))</f>
        <v>0</v>
      </c>
      <c r="AM28" s="237">
        <v>0</v>
      </c>
      <c r="AN28" s="151"/>
      <c r="AO28" s="237">
        <v>0</v>
      </c>
      <c r="AP28" s="151"/>
      <c r="AQ28" s="163">
        <f t="shared" si="19"/>
        <v>0</v>
      </c>
      <c r="AR28" s="163">
        <f t="shared" si="20"/>
        <v>0</v>
      </c>
      <c r="AS28" s="151"/>
      <c r="AT28" s="187" t="str">
        <f t="shared" si="21"/>
        <v/>
      </c>
      <c r="AU28" s="187" t="str">
        <f t="shared" si="2"/>
        <v/>
      </c>
      <c r="AV28" s="151"/>
      <c r="AW28" s="129"/>
      <c r="AX28" s="121"/>
      <c r="AY28" s="121"/>
      <c r="AZ28" s="165">
        <f ca="1">YEAR('wgl tot'!$AZ$9)-YEAR('wgl tot'!E28)</f>
        <v>119</v>
      </c>
      <c r="BA28" s="165">
        <f ca="1">MONTH('wgl tot'!$AZ$9)-MONTH('wgl tot'!E28)</f>
        <v>8</v>
      </c>
      <c r="BB28" s="165">
        <f ca="1">DAY('wgl tot'!$AZ$9)-DAY('wgl tot'!E28)</f>
        <v>14</v>
      </c>
      <c r="BC28" s="130">
        <f>IF(AND('wgl tot'!F28&gt;0,'wgl tot'!F28&lt;17),0,100)</f>
        <v>100</v>
      </c>
      <c r="BD28" s="130">
        <f t="shared" si="3"/>
        <v>0</v>
      </c>
      <c r="BE28" s="148">
        <v>42583</v>
      </c>
      <c r="BF28" s="166">
        <f t="shared" si="17"/>
        <v>0.08</v>
      </c>
      <c r="BG28" s="167">
        <f>+tabellen!$D$51</f>
        <v>6.3E-2</v>
      </c>
      <c r="BH28" s="165">
        <f>IF('wgl tot'!BC28=100,0,'wgl tot'!F28)</f>
        <v>0</v>
      </c>
      <c r="BI28" s="167" t="str">
        <f>IF(OR('wgl tot'!F28="DA",'wgl tot'!F28="DB",'wgl tot'!F28="DBuit",'wgl tot'!F28="DC",'wgl tot'!F28="DCuit",MID('wgl tot'!F28,1,5)="meerh"),"j","n")</f>
        <v>n</v>
      </c>
      <c r="BJ28" s="169" t="e">
        <f>IF('wgl tot'!W28/'wgl tot'!H28&lt;tabellen!$E$6,0,(+'wgl tot'!W28-tabellen!$E$6*'wgl tot'!H28)/12*tabellen!$D$6)</f>
        <v>#DIV/0!</v>
      </c>
      <c r="BK28" s="169" t="e">
        <f>IF('wgl tot'!W28/'wgl tot'!H28&lt;tabellen!$E$7,0,(+'wgl tot'!W28-tabellen!$E$7*'wgl tot'!H28)/12*tabellen!$D$7)</f>
        <v>#DIV/0!</v>
      </c>
      <c r="BL28" s="169">
        <f>'wgl tot'!W28/12*tabellen!$D$8</f>
        <v>0</v>
      </c>
      <c r="BM28" s="170" t="e">
        <f t="shared" si="22"/>
        <v>#DIV/0!</v>
      </c>
      <c r="BN28" s="171" t="e">
        <f>+Y28/12-'wgl tot'!BM28</f>
        <v>#DIV/0!</v>
      </c>
      <c r="BO28" s="171" t="e">
        <f>ROUND(IF('wgl tot'!BN28&gt;tabellen!$H$11,tabellen!$H$11,'wgl tot'!BN28)*tabellen!$C$11,2)</f>
        <v>#DIV/0!</v>
      </c>
      <c r="BP28" s="171" t="e">
        <f>+'wgl tot'!BN28+'wgl tot'!BO28</f>
        <v>#DIV/0!</v>
      </c>
      <c r="BQ28" s="172">
        <f t="shared" si="5"/>
        <v>1900</v>
      </c>
      <c r="BR28" s="172">
        <f t="shared" si="6"/>
        <v>1</v>
      </c>
      <c r="BS28" s="165">
        <f t="shared" si="7"/>
        <v>0</v>
      </c>
      <c r="BT28" s="148">
        <f t="shared" si="15"/>
        <v>22462</v>
      </c>
      <c r="BU28" s="148">
        <f t="shared" ca="1" si="16"/>
        <v>43722.739781944445</v>
      </c>
      <c r="BV28" s="130"/>
      <c r="BW28" s="148"/>
      <c r="BX28" s="130"/>
      <c r="BY28" s="168"/>
      <c r="BZ28" s="168"/>
      <c r="CA28" s="168"/>
      <c r="CB28" s="168"/>
      <c r="CC28" s="168"/>
      <c r="CD28" s="168"/>
      <c r="CE28" s="121"/>
      <c r="CF28" s="121"/>
    </row>
    <row r="29" spans="1:84" s="132" customFormat="1" ht="12" customHeight="1" x14ac:dyDescent="0.2">
      <c r="A29" s="121"/>
      <c r="B29" s="122"/>
      <c r="C29" s="151"/>
      <c r="D29" s="157"/>
      <c r="E29" s="158"/>
      <c r="F29" s="159"/>
      <c r="G29" s="159"/>
      <c r="H29" s="160"/>
      <c r="I29" s="159"/>
      <c r="J29" s="161"/>
      <c r="K29" s="181">
        <f>IF(F29="",0,(VLOOKUP('wgl tot'!F29,saltab2019,'wgl tot'!G29+1,FALSE)))</f>
        <v>0</v>
      </c>
      <c r="L29" s="163">
        <f t="shared" si="0"/>
        <v>0</v>
      </c>
      <c r="M29" s="151"/>
      <c r="N29" s="181">
        <f>ROUND(IF(('wgl tot'!L29+'wgl tot'!P29)*BF29&lt;'wgl tot'!H29*tabellen!$D$50,'wgl tot'!H29*tabellen!$D$50,('wgl tot'!L29+'wgl tot'!P29)*BF29),2)</f>
        <v>0</v>
      </c>
      <c r="O29" s="181">
        <f>ROUND(+('wgl tot'!L29+'wgl tot'!P29)*BG29,2)</f>
        <v>0</v>
      </c>
      <c r="P29" s="181">
        <f>ROUND(IF(I29="j",VLOOKUP(BD29,uitlooptoeslag,2,FALSE))*IF('wgl tot'!H29&gt;1,1,'wgl tot'!H29),2)</f>
        <v>0</v>
      </c>
      <c r="Q29" s="181">
        <f>ROUND(IF(BI29="j",tabellen!$D$59*IF('wgl tot'!H29&gt;1,1,'wgl tot'!H29),0),2)</f>
        <v>0</v>
      </c>
      <c r="R29" s="181">
        <f>IF(AND(F29&gt;0,F29&lt;17),tabellen!$C$41*'wgl tot'!H29,0)</f>
        <v>0</v>
      </c>
      <c r="S29" s="181">
        <f>VLOOKUP(BH29,eindejaarsuitkering_OOP,2,TRUE)*'wgl tot'!H29/12</f>
        <v>0</v>
      </c>
      <c r="T29" s="181">
        <f>ROUND(H29*tabellen!$D$57,2)</f>
        <v>0</v>
      </c>
      <c r="U29" s="181">
        <f>ROUND(H29*tabellen!C$45,2)</f>
        <v>0</v>
      </c>
      <c r="V29" s="181">
        <f>H29*(IF(F29="L10",42%*VLOOKUP(tabellen!L$45,saltab2018sept,G29+1,FALSE),IF(F29="L11",42%*VLOOKUP(tabellen!L$46,saltab2018sept,G29+1,FALSE),IF(F29="L12",42%*VLOOKUP(tabellen!L$47,saltab2018sept,G29+1,FALSE),IF(F29="L13",42%*VLOOKUP(tabellen!L$48,saltab2018sept,G29+1,FALSE),0)))))</f>
        <v>0</v>
      </c>
      <c r="W29" s="182">
        <f t="shared" si="9"/>
        <v>0</v>
      </c>
      <c r="X29" s="181">
        <f>('wgl tot'!L29+'wgl tot'!P29)*tabellen!$C$43*12</f>
        <v>0</v>
      </c>
      <c r="Y29" s="163">
        <f t="shared" si="10"/>
        <v>0</v>
      </c>
      <c r="Z29" s="151"/>
      <c r="AA29" s="182">
        <f t="shared" si="18"/>
        <v>0</v>
      </c>
      <c r="AB29" s="217">
        <f>+'wgl tot'!X29/12</f>
        <v>0</v>
      </c>
      <c r="AC29" s="151"/>
      <c r="AD29" s="181">
        <f>IF(F29="",0,(IF('wgl tot'!W29/'wgl tot'!H29&lt;tabellen!$E$6,0,('wgl tot'!W29-tabellen!$E$6*'wgl tot'!H29)/12)*tabellen!$C$6))</f>
        <v>0</v>
      </c>
      <c r="AE29" s="181">
        <f>IF(F29="",0,(IF('wgl tot'!W29/'wgl tot'!H29&lt;tabellen!$E$7,0,(+'wgl tot'!W29-tabellen!$E$7*'wgl tot'!H29)/12)*tabellen!$C$7))</f>
        <v>0</v>
      </c>
      <c r="AF29" s="181">
        <f>'wgl tot'!W29/12*tabellen!$C$8</f>
        <v>0</v>
      </c>
      <c r="AG29" s="181">
        <f>IF(H29=0,0,IF(BN29&gt;tabellen!$G$9/12,tabellen!$G$9/12,BN29)*(tabellen!$C$9+tabellen!$C$10))</f>
        <v>0</v>
      </c>
      <c r="AH29" s="181">
        <f>IF(F29="",0,('wgl tot'!BO29))</f>
        <v>0</v>
      </c>
      <c r="AI29" s="183">
        <f>IF(F29="",0,(IF('wgl tot'!BN29&gt;tabellen!$G$12*'wgl tot'!H29/12,tabellen!$G$12*'wgl tot'!H29/12,'wgl tot'!BN29)*tabellen!$C$12))</f>
        <v>0</v>
      </c>
      <c r="AJ29" s="151"/>
      <c r="AK29" s="183">
        <f>IF(F29="",0,('wgl tot'!BN29*IF(J29=1,tabellen!$C$13,IF(J29=2,tabellen!$C$14,IF(J29=3,tabellen!$C$15,IF(J29=5,tabellen!$C$17,IF(J29=6,tabellen!$C$18,IF(J29=7,tabellen!$C$19,IF(J29=8,tabellen!$C$20,tabellen!$C$16)))))))))</f>
        <v>0</v>
      </c>
      <c r="AL29" s="183">
        <f>IF(F29="",0,('wgl tot'!BN29*tabellen!$C$21))</f>
        <v>0</v>
      </c>
      <c r="AM29" s="237">
        <v>0</v>
      </c>
      <c r="AN29" s="151"/>
      <c r="AO29" s="237">
        <v>0</v>
      </c>
      <c r="AP29" s="151"/>
      <c r="AQ29" s="163">
        <f t="shared" si="19"/>
        <v>0</v>
      </c>
      <c r="AR29" s="163">
        <f t="shared" si="20"/>
        <v>0</v>
      </c>
      <c r="AS29" s="151"/>
      <c r="AT29" s="187" t="str">
        <f t="shared" si="21"/>
        <v/>
      </c>
      <c r="AU29" s="187" t="str">
        <f t="shared" si="2"/>
        <v/>
      </c>
      <c r="AV29" s="151"/>
      <c r="AW29" s="129"/>
      <c r="AX29" s="121"/>
      <c r="AY29" s="121"/>
      <c r="AZ29" s="165">
        <f ca="1">YEAR('wgl tot'!$AZ$9)-YEAR('wgl tot'!E29)</f>
        <v>119</v>
      </c>
      <c r="BA29" s="165">
        <f ca="1">MONTH('wgl tot'!$AZ$9)-MONTH('wgl tot'!E29)</f>
        <v>8</v>
      </c>
      <c r="BB29" s="165">
        <f ca="1">DAY('wgl tot'!$AZ$9)-DAY('wgl tot'!E29)</f>
        <v>14</v>
      </c>
      <c r="BC29" s="130">
        <f>IF(AND('wgl tot'!F29&gt;0,'wgl tot'!F29&lt;17),0,100)</f>
        <v>100</v>
      </c>
      <c r="BD29" s="130">
        <f t="shared" si="3"/>
        <v>0</v>
      </c>
      <c r="BE29" s="148">
        <v>42583</v>
      </c>
      <c r="BF29" s="166">
        <f t="shared" si="17"/>
        <v>0.08</v>
      </c>
      <c r="BG29" s="167">
        <f>+tabellen!$D$51</f>
        <v>6.3E-2</v>
      </c>
      <c r="BH29" s="165">
        <f>IF('wgl tot'!BC29=100,0,'wgl tot'!F29)</f>
        <v>0</v>
      </c>
      <c r="BI29" s="167" t="str">
        <f>IF(OR('wgl tot'!F29="DA",'wgl tot'!F29="DB",'wgl tot'!F29="DBuit",'wgl tot'!F29="DC",'wgl tot'!F29="DCuit",MID('wgl tot'!F29,1,5)="meerh"),"j","n")</f>
        <v>n</v>
      </c>
      <c r="BJ29" s="169" t="e">
        <f>IF('wgl tot'!W29/'wgl tot'!H29&lt;tabellen!$E$6,0,(+'wgl tot'!W29-tabellen!$E$6*'wgl tot'!H29)/12*tabellen!$D$6)</f>
        <v>#DIV/0!</v>
      </c>
      <c r="BK29" s="169" t="e">
        <f>IF('wgl tot'!W29/'wgl tot'!H29&lt;tabellen!$E$7,0,(+'wgl tot'!W29-tabellen!$E$7*'wgl tot'!H29)/12*tabellen!$D$7)</f>
        <v>#DIV/0!</v>
      </c>
      <c r="BL29" s="169">
        <f>'wgl tot'!W29/12*tabellen!$D$8</f>
        <v>0</v>
      </c>
      <c r="BM29" s="170" t="e">
        <f t="shared" si="22"/>
        <v>#DIV/0!</v>
      </c>
      <c r="BN29" s="171" t="e">
        <f>+Y29/12-'wgl tot'!BM29</f>
        <v>#DIV/0!</v>
      </c>
      <c r="BO29" s="171" t="e">
        <f>ROUND(IF('wgl tot'!BN29&gt;tabellen!$H$11,tabellen!$H$11,'wgl tot'!BN29)*tabellen!$C$11,2)</f>
        <v>#DIV/0!</v>
      </c>
      <c r="BP29" s="171" t="e">
        <f>+'wgl tot'!BN29+'wgl tot'!BO29</f>
        <v>#DIV/0!</v>
      </c>
      <c r="BQ29" s="172">
        <f t="shared" si="5"/>
        <v>1900</v>
      </c>
      <c r="BR29" s="172">
        <f t="shared" si="6"/>
        <v>1</v>
      </c>
      <c r="BS29" s="165">
        <f t="shared" si="7"/>
        <v>0</v>
      </c>
      <c r="BT29" s="148">
        <f t="shared" si="15"/>
        <v>22462</v>
      </c>
      <c r="BU29" s="148">
        <f t="shared" ca="1" si="16"/>
        <v>43722.739781944445</v>
      </c>
      <c r="BV29" s="130"/>
      <c r="BW29" s="148"/>
      <c r="BX29" s="130"/>
      <c r="BY29" s="168"/>
      <c r="BZ29" s="168"/>
      <c r="CA29" s="168"/>
      <c r="CB29" s="168"/>
      <c r="CC29" s="168"/>
      <c r="CD29" s="168"/>
      <c r="CE29" s="121"/>
      <c r="CF29" s="121"/>
    </row>
    <row r="30" spans="1:84" s="132" customFormat="1" ht="12" customHeight="1" x14ac:dyDescent="0.2">
      <c r="A30" s="121"/>
      <c r="B30" s="122"/>
      <c r="C30" s="151"/>
      <c r="D30" s="157"/>
      <c r="E30" s="158"/>
      <c r="F30" s="159"/>
      <c r="G30" s="159"/>
      <c r="H30" s="160"/>
      <c r="I30" s="159"/>
      <c r="J30" s="161"/>
      <c r="K30" s="181">
        <f>IF(F30="",0,(VLOOKUP('wgl tot'!F30,saltab2019,'wgl tot'!G30+1,FALSE)))</f>
        <v>0</v>
      </c>
      <c r="L30" s="163">
        <f t="shared" si="0"/>
        <v>0</v>
      </c>
      <c r="M30" s="151"/>
      <c r="N30" s="181">
        <f>ROUND(IF(('wgl tot'!L30+'wgl tot'!P30)*BF30&lt;'wgl tot'!H30*tabellen!$D$50,'wgl tot'!H30*tabellen!$D$50,('wgl tot'!L30+'wgl tot'!P30)*BF30),2)</f>
        <v>0</v>
      </c>
      <c r="O30" s="181">
        <f>ROUND(+('wgl tot'!L30+'wgl tot'!P30)*BG30,2)</f>
        <v>0</v>
      </c>
      <c r="P30" s="181">
        <f>ROUND(IF(I30="j",VLOOKUP(BD30,uitlooptoeslag,2,FALSE))*IF('wgl tot'!H30&gt;1,1,'wgl tot'!H30),2)</f>
        <v>0</v>
      </c>
      <c r="Q30" s="181">
        <f>ROUND(IF(BI30="j",tabellen!$D$59*IF('wgl tot'!H30&gt;1,1,'wgl tot'!H30),0),2)</f>
        <v>0</v>
      </c>
      <c r="R30" s="181">
        <f>IF(AND(F30&gt;0,F30&lt;17),tabellen!$C$41*'wgl tot'!H30,0)</f>
        <v>0</v>
      </c>
      <c r="S30" s="181">
        <f>VLOOKUP(BH30,eindejaarsuitkering_OOP,2,TRUE)*'wgl tot'!H30/12</f>
        <v>0</v>
      </c>
      <c r="T30" s="181">
        <f>ROUND(H30*tabellen!$D$57,2)</f>
        <v>0</v>
      </c>
      <c r="U30" s="181">
        <f>ROUND(H30*tabellen!C$45,2)</f>
        <v>0</v>
      </c>
      <c r="V30" s="181">
        <f>H30*(IF(F30="L10",42%*VLOOKUP(tabellen!L$45,saltab2018sept,G30+1,FALSE),IF(F30="L11",42%*VLOOKUP(tabellen!L$46,saltab2018sept,G30+1,FALSE),IF(F30="L12",42%*VLOOKUP(tabellen!L$47,saltab2018sept,G30+1,FALSE),IF(F30="L13",42%*VLOOKUP(tabellen!L$48,saltab2018sept,G30+1,FALSE),0)))))</f>
        <v>0</v>
      </c>
      <c r="W30" s="182">
        <f t="shared" si="9"/>
        <v>0</v>
      </c>
      <c r="X30" s="181">
        <f>('wgl tot'!L30+'wgl tot'!P30)*tabellen!$C$43*12</f>
        <v>0</v>
      </c>
      <c r="Y30" s="163">
        <f t="shared" si="10"/>
        <v>0</v>
      </c>
      <c r="Z30" s="151"/>
      <c r="AA30" s="182">
        <f t="shared" si="18"/>
        <v>0</v>
      </c>
      <c r="AB30" s="217">
        <f>+'wgl tot'!X30/12</f>
        <v>0</v>
      </c>
      <c r="AC30" s="151"/>
      <c r="AD30" s="181">
        <f>IF(F30="",0,(IF('wgl tot'!W30/'wgl tot'!H30&lt;tabellen!$E$6,0,('wgl tot'!W30-tabellen!$E$6*'wgl tot'!H30)/12)*tabellen!$C$6))</f>
        <v>0</v>
      </c>
      <c r="AE30" s="181">
        <f>IF(F30="",0,(IF('wgl tot'!W30/'wgl tot'!H30&lt;tabellen!$E$7,0,(+'wgl tot'!W30-tabellen!$E$7*'wgl tot'!H30)/12)*tabellen!$C$7))</f>
        <v>0</v>
      </c>
      <c r="AF30" s="181">
        <f>'wgl tot'!W30/12*tabellen!$C$8</f>
        <v>0</v>
      </c>
      <c r="AG30" s="181">
        <f>IF(H30=0,0,IF(BN30&gt;tabellen!$G$9/12,tabellen!$G$9/12,BN30)*(tabellen!$C$9+tabellen!$C$10))</f>
        <v>0</v>
      </c>
      <c r="AH30" s="181">
        <f>IF(F30="",0,('wgl tot'!BO30))</f>
        <v>0</v>
      </c>
      <c r="AI30" s="183">
        <f>IF(F30="",0,(IF('wgl tot'!BN30&gt;tabellen!$G$12*'wgl tot'!H30/12,tabellen!$G$12*'wgl tot'!H30/12,'wgl tot'!BN30)*tabellen!$C$12))</f>
        <v>0</v>
      </c>
      <c r="AJ30" s="151"/>
      <c r="AK30" s="183">
        <f>IF(F30="",0,('wgl tot'!BN30*IF(J30=1,tabellen!$C$13,IF(J30=2,tabellen!$C$14,IF(J30=3,tabellen!$C$15,IF(J30=5,tabellen!$C$17,IF(J30=6,tabellen!$C$18,IF(J30=7,tabellen!$C$19,IF(J30=8,tabellen!$C$20,tabellen!$C$16)))))))))</f>
        <v>0</v>
      </c>
      <c r="AL30" s="183">
        <f>IF(F30="",0,('wgl tot'!BN30*tabellen!$C$21))</f>
        <v>0</v>
      </c>
      <c r="AM30" s="237">
        <v>0</v>
      </c>
      <c r="AN30" s="151"/>
      <c r="AO30" s="237">
        <v>0</v>
      </c>
      <c r="AP30" s="151"/>
      <c r="AQ30" s="163">
        <f t="shared" si="19"/>
        <v>0</v>
      </c>
      <c r="AR30" s="163">
        <f t="shared" si="20"/>
        <v>0</v>
      </c>
      <c r="AS30" s="151"/>
      <c r="AT30" s="187" t="str">
        <f t="shared" si="21"/>
        <v/>
      </c>
      <c r="AU30" s="187" t="str">
        <f t="shared" si="2"/>
        <v/>
      </c>
      <c r="AV30" s="151"/>
      <c r="AW30" s="129"/>
      <c r="AX30" s="121"/>
      <c r="AY30" s="121"/>
      <c r="AZ30" s="165">
        <f ca="1">YEAR('wgl tot'!$AZ$9)-YEAR('wgl tot'!E30)</f>
        <v>119</v>
      </c>
      <c r="BA30" s="165">
        <f ca="1">MONTH('wgl tot'!$AZ$9)-MONTH('wgl tot'!E30)</f>
        <v>8</v>
      </c>
      <c r="BB30" s="165">
        <f ca="1">DAY('wgl tot'!$AZ$9)-DAY('wgl tot'!E30)</f>
        <v>14</v>
      </c>
      <c r="BC30" s="130">
        <f>IF(AND('wgl tot'!F30&gt;0,'wgl tot'!F30&lt;17),0,100)</f>
        <v>100</v>
      </c>
      <c r="BD30" s="130">
        <f t="shared" si="3"/>
        <v>0</v>
      </c>
      <c r="BE30" s="148">
        <v>42583</v>
      </c>
      <c r="BF30" s="166">
        <f t="shared" si="17"/>
        <v>0.08</v>
      </c>
      <c r="BG30" s="167">
        <f>+tabellen!$D$51</f>
        <v>6.3E-2</v>
      </c>
      <c r="BH30" s="165">
        <f>IF('wgl tot'!BC30=100,0,'wgl tot'!F30)</f>
        <v>0</v>
      </c>
      <c r="BI30" s="167" t="str">
        <f>IF(OR('wgl tot'!F30="DA",'wgl tot'!F30="DB",'wgl tot'!F30="DBuit",'wgl tot'!F30="DC",'wgl tot'!F30="DCuit",MID('wgl tot'!F30,1,5)="meerh"),"j","n")</f>
        <v>n</v>
      </c>
      <c r="BJ30" s="169" t="e">
        <f>IF('wgl tot'!W30/'wgl tot'!H30&lt;tabellen!$E$6,0,(+'wgl tot'!W30-tabellen!$E$6*'wgl tot'!H30)/12*tabellen!$D$6)</f>
        <v>#DIV/0!</v>
      </c>
      <c r="BK30" s="169" t="e">
        <f>IF('wgl tot'!W30/'wgl tot'!H30&lt;tabellen!$E$7,0,(+'wgl tot'!W30-tabellen!$E$7*'wgl tot'!H30)/12*tabellen!$D$7)</f>
        <v>#DIV/0!</v>
      </c>
      <c r="BL30" s="169">
        <f>'wgl tot'!W30/12*tabellen!$D$8</f>
        <v>0</v>
      </c>
      <c r="BM30" s="170" t="e">
        <f t="shared" si="22"/>
        <v>#DIV/0!</v>
      </c>
      <c r="BN30" s="171" t="e">
        <f>+Y30/12-'wgl tot'!BM30</f>
        <v>#DIV/0!</v>
      </c>
      <c r="BO30" s="171" t="e">
        <f>ROUND(IF('wgl tot'!BN30&gt;tabellen!$H$11,tabellen!$H$11,'wgl tot'!BN30)*tabellen!$C$11,2)</f>
        <v>#DIV/0!</v>
      </c>
      <c r="BP30" s="171" t="e">
        <f>+'wgl tot'!BN30+'wgl tot'!BO30</f>
        <v>#DIV/0!</v>
      </c>
      <c r="BQ30" s="172">
        <f t="shared" si="5"/>
        <v>1900</v>
      </c>
      <c r="BR30" s="172">
        <f t="shared" si="6"/>
        <v>1</v>
      </c>
      <c r="BS30" s="165">
        <f t="shared" si="7"/>
        <v>0</v>
      </c>
      <c r="BT30" s="148">
        <f t="shared" si="15"/>
        <v>22462</v>
      </c>
      <c r="BU30" s="148">
        <f t="shared" ca="1" si="16"/>
        <v>43722.739781944445</v>
      </c>
      <c r="BV30" s="130"/>
      <c r="BW30" s="148"/>
      <c r="BX30" s="130"/>
      <c r="BY30" s="168"/>
      <c r="BZ30" s="168"/>
      <c r="CA30" s="168"/>
      <c r="CB30" s="168"/>
      <c r="CC30" s="168"/>
      <c r="CD30" s="168"/>
      <c r="CE30" s="121"/>
      <c r="CF30" s="121"/>
    </row>
    <row r="31" spans="1:84" s="132" customFormat="1" ht="12" customHeight="1" x14ac:dyDescent="0.2">
      <c r="A31" s="121"/>
      <c r="B31" s="122"/>
      <c r="C31" s="151"/>
      <c r="D31" s="157"/>
      <c r="E31" s="158"/>
      <c r="F31" s="159"/>
      <c r="G31" s="159"/>
      <c r="H31" s="160"/>
      <c r="I31" s="159"/>
      <c r="J31" s="161"/>
      <c r="K31" s="181">
        <f>IF(F31="",0,(VLOOKUP('wgl tot'!F31,saltab2019,'wgl tot'!G31+1,FALSE)))</f>
        <v>0</v>
      </c>
      <c r="L31" s="163">
        <f t="shared" si="0"/>
        <v>0</v>
      </c>
      <c r="M31" s="151"/>
      <c r="N31" s="181">
        <f>ROUND(IF(('wgl tot'!L31+'wgl tot'!P31)*BF31&lt;'wgl tot'!H31*tabellen!$D$50,'wgl tot'!H31*tabellen!$D$50,('wgl tot'!L31+'wgl tot'!P31)*BF31),2)</f>
        <v>0</v>
      </c>
      <c r="O31" s="181">
        <f>ROUND(+('wgl tot'!L31+'wgl tot'!P31)*BG31,2)</f>
        <v>0</v>
      </c>
      <c r="P31" s="181">
        <f>ROUND(IF(I31="j",VLOOKUP(BD31,uitlooptoeslag,2,FALSE))*IF('wgl tot'!H31&gt;1,1,'wgl tot'!H31),2)</f>
        <v>0</v>
      </c>
      <c r="Q31" s="181">
        <f>ROUND(IF(BI31="j",tabellen!$D$59*IF('wgl tot'!H31&gt;1,1,'wgl tot'!H31),0),2)</f>
        <v>0</v>
      </c>
      <c r="R31" s="181">
        <f>IF(AND(F31&gt;0,F31&lt;17),tabellen!$C$41*'wgl tot'!H31,0)</f>
        <v>0</v>
      </c>
      <c r="S31" s="181">
        <f>VLOOKUP(BH31,eindejaarsuitkering_OOP,2,TRUE)*'wgl tot'!H31/12</f>
        <v>0</v>
      </c>
      <c r="T31" s="181">
        <f>ROUND(H31*tabellen!$D$57,2)</f>
        <v>0</v>
      </c>
      <c r="U31" s="181">
        <f>ROUND(H31*tabellen!C$45,2)</f>
        <v>0</v>
      </c>
      <c r="V31" s="181">
        <f>H31*(IF(F31="L10",42%*VLOOKUP(tabellen!L$45,saltab2018sept,G31+1,FALSE),IF(F31="L11",42%*VLOOKUP(tabellen!L$46,saltab2018sept,G31+1,FALSE),IF(F31="L12",42%*VLOOKUP(tabellen!L$47,saltab2018sept,G31+1,FALSE),IF(F31="L13",42%*VLOOKUP(tabellen!L$48,saltab2018sept,G31+1,FALSE),0)))))</f>
        <v>0</v>
      </c>
      <c r="W31" s="182">
        <f t="shared" si="9"/>
        <v>0</v>
      </c>
      <c r="X31" s="181">
        <f>('wgl tot'!L31+'wgl tot'!P31)*tabellen!$C$43*12</f>
        <v>0</v>
      </c>
      <c r="Y31" s="163">
        <f t="shared" si="10"/>
        <v>0</v>
      </c>
      <c r="Z31" s="151"/>
      <c r="AA31" s="182">
        <f t="shared" si="18"/>
        <v>0</v>
      </c>
      <c r="AB31" s="217">
        <f>+'wgl tot'!X31/12</f>
        <v>0</v>
      </c>
      <c r="AC31" s="151"/>
      <c r="AD31" s="181">
        <f>IF(F31="",0,(IF('wgl tot'!W31/'wgl tot'!H31&lt;tabellen!$E$6,0,('wgl tot'!W31-tabellen!$E$6*'wgl tot'!H31)/12)*tabellen!$C$6))</f>
        <v>0</v>
      </c>
      <c r="AE31" s="181">
        <f>IF(F31="",0,(IF('wgl tot'!W31/'wgl tot'!H31&lt;tabellen!$E$7,0,(+'wgl tot'!W31-tabellen!$E$7*'wgl tot'!H31)/12)*tabellen!$C$7))</f>
        <v>0</v>
      </c>
      <c r="AF31" s="181">
        <f>'wgl tot'!W31/12*tabellen!$C$8</f>
        <v>0</v>
      </c>
      <c r="AG31" s="181">
        <f>IF(H31=0,0,IF(BN31&gt;tabellen!$G$9/12,tabellen!$G$9/12,BN31)*(tabellen!$C$9+tabellen!$C$10))</f>
        <v>0</v>
      </c>
      <c r="AH31" s="181">
        <f>IF(F31="",0,('wgl tot'!BO31))</f>
        <v>0</v>
      </c>
      <c r="AI31" s="183">
        <f>IF(F31="",0,(IF('wgl tot'!BN31&gt;tabellen!$G$12*'wgl tot'!H31/12,tabellen!$G$12*'wgl tot'!H31/12,'wgl tot'!BN31)*tabellen!$C$12))</f>
        <v>0</v>
      </c>
      <c r="AJ31" s="151"/>
      <c r="AK31" s="183">
        <f>IF(F31="",0,('wgl tot'!BN31*IF(J31=1,tabellen!$C$13,IF(J31=2,tabellen!$C$14,IF(J31=3,tabellen!$C$15,IF(J31=5,tabellen!$C$17,IF(J31=6,tabellen!$C$18,IF(J31=7,tabellen!$C$19,IF(J31=8,tabellen!$C$20,tabellen!$C$16)))))))))</f>
        <v>0</v>
      </c>
      <c r="AL31" s="183">
        <f>IF(F31="",0,('wgl tot'!BN31*tabellen!$C$21))</f>
        <v>0</v>
      </c>
      <c r="AM31" s="237">
        <v>0</v>
      </c>
      <c r="AN31" s="151"/>
      <c r="AO31" s="237">
        <v>0</v>
      </c>
      <c r="AP31" s="151"/>
      <c r="AQ31" s="163">
        <f t="shared" si="19"/>
        <v>0</v>
      </c>
      <c r="AR31" s="163">
        <f t="shared" si="20"/>
        <v>0</v>
      </c>
      <c r="AS31" s="151"/>
      <c r="AT31" s="187" t="str">
        <f t="shared" si="21"/>
        <v/>
      </c>
      <c r="AU31" s="187" t="str">
        <f t="shared" si="2"/>
        <v/>
      </c>
      <c r="AV31" s="151"/>
      <c r="AW31" s="129"/>
      <c r="AX31" s="121"/>
      <c r="AY31" s="121"/>
      <c r="AZ31" s="165">
        <f ca="1">YEAR('wgl tot'!$AZ$9)-YEAR('wgl tot'!E31)</f>
        <v>119</v>
      </c>
      <c r="BA31" s="165">
        <f ca="1">MONTH('wgl tot'!$AZ$9)-MONTH('wgl tot'!E31)</f>
        <v>8</v>
      </c>
      <c r="BB31" s="165">
        <f ca="1">DAY('wgl tot'!$AZ$9)-DAY('wgl tot'!E31)</f>
        <v>14</v>
      </c>
      <c r="BC31" s="130">
        <f>IF(AND('wgl tot'!F31&gt;0,'wgl tot'!F31&lt;17),0,100)</f>
        <v>100</v>
      </c>
      <c r="BD31" s="130">
        <f t="shared" si="3"/>
        <v>0</v>
      </c>
      <c r="BE31" s="148">
        <v>42583</v>
      </c>
      <c r="BF31" s="166">
        <f t="shared" si="17"/>
        <v>0.08</v>
      </c>
      <c r="BG31" s="167">
        <f>+tabellen!$D$51</f>
        <v>6.3E-2</v>
      </c>
      <c r="BH31" s="165">
        <f>IF('wgl tot'!BC31=100,0,'wgl tot'!F31)</f>
        <v>0</v>
      </c>
      <c r="BI31" s="167" t="str">
        <f>IF(OR('wgl tot'!F31="DA",'wgl tot'!F31="DB",'wgl tot'!F31="DBuit",'wgl tot'!F31="DC",'wgl tot'!F31="DCuit",MID('wgl tot'!F31,1,5)="meerh"),"j","n")</f>
        <v>n</v>
      </c>
      <c r="BJ31" s="169" t="e">
        <f>IF('wgl tot'!W31/'wgl tot'!H31&lt;tabellen!$E$6,0,(+'wgl tot'!W31-tabellen!$E$6*'wgl tot'!H31)/12*tabellen!$D$6)</f>
        <v>#DIV/0!</v>
      </c>
      <c r="BK31" s="169" t="e">
        <f>IF('wgl tot'!W31/'wgl tot'!H31&lt;tabellen!$E$7,0,(+'wgl tot'!W31-tabellen!$E$7*'wgl tot'!H31)/12*tabellen!$D$7)</f>
        <v>#DIV/0!</v>
      </c>
      <c r="BL31" s="169">
        <f>'wgl tot'!W31/12*tabellen!$D$8</f>
        <v>0</v>
      </c>
      <c r="BM31" s="170" t="e">
        <f t="shared" si="22"/>
        <v>#DIV/0!</v>
      </c>
      <c r="BN31" s="171" t="e">
        <f>+Y31/12-'wgl tot'!BM31</f>
        <v>#DIV/0!</v>
      </c>
      <c r="BO31" s="171" t="e">
        <f>ROUND(IF('wgl tot'!BN31&gt;tabellen!$H$11,tabellen!$H$11,'wgl tot'!BN31)*tabellen!$C$11,2)</f>
        <v>#DIV/0!</v>
      </c>
      <c r="BP31" s="171" t="e">
        <f>+'wgl tot'!BN31+'wgl tot'!BO31</f>
        <v>#DIV/0!</v>
      </c>
      <c r="BQ31" s="172">
        <f t="shared" si="5"/>
        <v>1900</v>
      </c>
      <c r="BR31" s="172">
        <f t="shared" si="6"/>
        <v>1</v>
      </c>
      <c r="BS31" s="165">
        <f t="shared" si="7"/>
        <v>0</v>
      </c>
      <c r="BT31" s="148">
        <f t="shared" si="15"/>
        <v>22462</v>
      </c>
      <c r="BU31" s="148">
        <f t="shared" ca="1" si="16"/>
        <v>43722.739781944445</v>
      </c>
      <c r="BV31" s="130"/>
      <c r="BW31" s="148"/>
      <c r="BX31" s="130"/>
      <c r="BY31" s="168"/>
      <c r="BZ31" s="168"/>
      <c r="CA31" s="168"/>
      <c r="CB31" s="168"/>
      <c r="CC31" s="168"/>
      <c r="CD31" s="168"/>
      <c r="CE31" s="121"/>
      <c r="CF31" s="121"/>
    </row>
    <row r="32" spans="1:84" s="132" customFormat="1" ht="12" customHeight="1" x14ac:dyDescent="0.2">
      <c r="A32" s="121"/>
      <c r="B32" s="122"/>
      <c r="C32" s="151"/>
      <c r="D32" s="157"/>
      <c r="E32" s="158"/>
      <c r="F32" s="159"/>
      <c r="G32" s="159"/>
      <c r="H32" s="160"/>
      <c r="I32" s="159"/>
      <c r="J32" s="161"/>
      <c r="K32" s="181">
        <f>IF(F32="",0,(VLOOKUP('wgl tot'!F32,saltab2019,'wgl tot'!G32+1,FALSE)))</f>
        <v>0</v>
      </c>
      <c r="L32" s="163">
        <f t="shared" si="0"/>
        <v>0</v>
      </c>
      <c r="M32" s="151"/>
      <c r="N32" s="181">
        <f>ROUND(IF(('wgl tot'!L32+'wgl tot'!P32)*BF32&lt;'wgl tot'!H32*tabellen!$D$50,'wgl tot'!H32*tabellen!$D$50,('wgl tot'!L32+'wgl tot'!P32)*BF32),2)</f>
        <v>0</v>
      </c>
      <c r="O32" s="181">
        <f>ROUND(+('wgl tot'!L32+'wgl tot'!P32)*BG32,2)</f>
        <v>0</v>
      </c>
      <c r="P32" s="181">
        <f>ROUND(IF(I32="j",VLOOKUP(BD32,uitlooptoeslag,2,FALSE))*IF('wgl tot'!H32&gt;1,1,'wgl tot'!H32),2)</f>
        <v>0</v>
      </c>
      <c r="Q32" s="181">
        <f>ROUND(IF(BI32="j",tabellen!$D$59*IF('wgl tot'!H32&gt;1,1,'wgl tot'!H32),0),2)</f>
        <v>0</v>
      </c>
      <c r="R32" s="181">
        <f>IF(AND(F32&gt;0,F32&lt;17),tabellen!$C$41*'wgl tot'!H32,0)</f>
        <v>0</v>
      </c>
      <c r="S32" s="181">
        <f>VLOOKUP(BH32,eindejaarsuitkering_OOP,2,TRUE)*'wgl tot'!H32/12</f>
        <v>0</v>
      </c>
      <c r="T32" s="181">
        <f>ROUND(H32*tabellen!$D$57,2)</f>
        <v>0</v>
      </c>
      <c r="U32" s="181">
        <f>ROUND(H32*tabellen!C$45,2)</f>
        <v>0</v>
      </c>
      <c r="V32" s="181">
        <f>H32*(IF(F32="L10",42%*VLOOKUP(tabellen!L$45,saltab2018sept,G32+1,FALSE),IF(F32="L11",42%*VLOOKUP(tabellen!L$46,saltab2018sept,G32+1,FALSE),IF(F32="L12",42%*VLOOKUP(tabellen!L$47,saltab2018sept,G32+1,FALSE),IF(F32="L13",42%*VLOOKUP(tabellen!L$48,saltab2018sept,G32+1,FALSE),0)))))</f>
        <v>0</v>
      </c>
      <c r="W32" s="182">
        <f t="shared" si="9"/>
        <v>0</v>
      </c>
      <c r="X32" s="181">
        <f>('wgl tot'!L32+'wgl tot'!P32)*tabellen!$C$43*12</f>
        <v>0</v>
      </c>
      <c r="Y32" s="163">
        <f t="shared" si="10"/>
        <v>0</v>
      </c>
      <c r="Z32" s="151"/>
      <c r="AA32" s="182">
        <f t="shared" si="18"/>
        <v>0</v>
      </c>
      <c r="AB32" s="217">
        <f>+'wgl tot'!X32/12</f>
        <v>0</v>
      </c>
      <c r="AC32" s="151"/>
      <c r="AD32" s="181">
        <f>IF(F32="",0,(IF('wgl tot'!W32/'wgl tot'!H32&lt;tabellen!$E$6,0,('wgl tot'!W32-tabellen!$E$6*'wgl tot'!H32)/12)*tabellen!$C$6))</f>
        <v>0</v>
      </c>
      <c r="AE32" s="181">
        <f>IF(F32="",0,(IF('wgl tot'!W32/'wgl tot'!H32&lt;tabellen!$E$7,0,(+'wgl tot'!W32-tabellen!$E$7*'wgl tot'!H32)/12)*tabellen!$C$7))</f>
        <v>0</v>
      </c>
      <c r="AF32" s="181">
        <f>'wgl tot'!W32/12*tabellen!$C$8</f>
        <v>0</v>
      </c>
      <c r="AG32" s="181">
        <f>IF(H32=0,0,IF(BN32&gt;tabellen!$G$9/12,tabellen!$G$9/12,BN32)*(tabellen!$C$9+tabellen!$C$10))</f>
        <v>0</v>
      </c>
      <c r="AH32" s="181">
        <f>IF(F32="",0,('wgl tot'!BO32))</f>
        <v>0</v>
      </c>
      <c r="AI32" s="183">
        <f>IF(F32="",0,(IF('wgl tot'!BN32&gt;tabellen!$G$12*'wgl tot'!H32/12,tabellen!$G$12*'wgl tot'!H32/12,'wgl tot'!BN32)*tabellen!$C$12))</f>
        <v>0</v>
      </c>
      <c r="AJ32" s="151"/>
      <c r="AK32" s="183">
        <f>IF(F32="",0,('wgl tot'!BN32*IF(J32=1,tabellen!$C$13,IF(J32=2,tabellen!$C$14,IF(J32=3,tabellen!$C$15,IF(J32=5,tabellen!$C$17,IF(J32=6,tabellen!$C$18,IF(J32=7,tabellen!$C$19,IF(J32=8,tabellen!$C$20,tabellen!$C$16)))))))))</f>
        <v>0</v>
      </c>
      <c r="AL32" s="183">
        <f>IF(F32="",0,('wgl tot'!BN32*tabellen!$C$21))</f>
        <v>0</v>
      </c>
      <c r="AM32" s="237">
        <v>0</v>
      </c>
      <c r="AN32" s="151"/>
      <c r="AO32" s="237">
        <v>0</v>
      </c>
      <c r="AP32" s="151"/>
      <c r="AQ32" s="163">
        <f t="shared" si="19"/>
        <v>0</v>
      </c>
      <c r="AR32" s="163">
        <f t="shared" si="20"/>
        <v>0</v>
      </c>
      <c r="AS32" s="151"/>
      <c r="AT32" s="187" t="str">
        <f t="shared" si="21"/>
        <v/>
      </c>
      <c r="AU32" s="187" t="str">
        <f t="shared" si="2"/>
        <v/>
      </c>
      <c r="AV32" s="151"/>
      <c r="AW32" s="129"/>
      <c r="AX32" s="121"/>
      <c r="AY32" s="121"/>
      <c r="AZ32" s="165">
        <f ca="1">YEAR('wgl tot'!$AZ$9)-YEAR('wgl tot'!E32)</f>
        <v>119</v>
      </c>
      <c r="BA32" s="165">
        <f ca="1">MONTH('wgl tot'!$AZ$9)-MONTH('wgl tot'!E32)</f>
        <v>8</v>
      </c>
      <c r="BB32" s="165">
        <f ca="1">DAY('wgl tot'!$AZ$9)-DAY('wgl tot'!E32)</f>
        <v>14</v>
      </c>
      <c r="BC32" s="130">
        <f>IF(AND('wgl tot'!F32&gt;0,'wgl tot'!F32&lt;17),0,100)</f>
        <v>100</v>
      </c>
      <c r="BD32" s="130">
        <f t="shared" si="3"/>
        <v>0</v>
      </c>
      <c r="BE32" s="148">
        <v>42583</v>
      </c>
      <c r="BF32" s="166">
        <f t="shared" si="17"/>
        <v>0.08</v>
      </c>
      <c r="BG32" s="167">
        <f>+tabellen!$D$51</f>
        <v>6.3E-2</v>
      </c>
      <c r="BH32" s="165">
        <f>IF('wgl tot'!BC32=100,0,'wgl tot'!F32)</f>
        <v>0</v>
      </c>
      <c r="BI32" s="167" t="str">
        <f>IF(OR('wgl tot'!F32="DA",'wgl tot'!F32="DB",'wgl tot'!F32="DBuit",'wgl tot'!F32="DC",'wgl tot'!F32="DCuit",MID('wgl tot'!F32,1,5)="meerh"),"j","n")</f>
        <v>n</v>
      </c>
      <c r="BJ32" s="169" t="e">
        <f>IF('wgl tot'!W32/'wgl tot'!H32&lt;tabellen!$E$6,0,(+'wgl tot'!W32-tabellen!$E$6*'wgl tot'!H32)/12*tabellen!$D$6)</f>
        <v>#DIV/0!</v>
      </c>
      <c r="BK32" s="169" t="e">
        <f>IF('wgl tot'!W32/'wgl tot'!H32&lt;tabellen!$E$7,0,(+'wgl tot'!W32-tabellen!$E$7*'wgl tot'!H32)/12*tabellen!$D$7)</f>
        <v>#DIV/0!</v>
      </c>
      <c r="BL32" s="169">
        <f>'wgl tot'!W32/12*tabellen!$D$8</f>
        <v>0</v>
      </c>
      <c r="BM32" s="170" t="e">
        <f t="shared" si="22"/>
        <v>#DIV/0!</v>
      </c>
      <c r="BN32" s="171" t="e">
        <f>+Y32/12-'wgl tot'!BM32</f>
        <v>#DIV/0!</v>
      </c>
      <c r="BO32" s="171" t="e">
        <f>ROUND(IF('wgl tot'!BN32&gt;tabellen!$H$11,tabellen!$H$11,'wgl tot'!BN32)*tabellen!$C$11,2)</f>
        <v>#DIV/0!</v>
      </c>
      <c r="BP32" s="171" t="e">
        <f>+'wgl tot'!BN32+'wgl tot'!BO32</f>
        <v>#DIV/0!</v>
      </c>
      <c r="BQ32" s="172">
        <f t="shared" si="5"/>
        <v>1900</v>
      </c>
      <c r="BR32" s="172">
        <f t="shared" si="6"/>
        <v>1</v>
      </c>
      <c r="BS32" s="165">
        <f t="shared" si="7"/>
        <v>0</v>
      </c>
      <c r="BT32" s="148">
        <f t="shared" si="15"/>
        <v>22462</v>
      </c>
      <c r="BU32" s="148">
        <f t="shared" ca="1" si="16"/>
        <v>43722.739781944445</v>
      </c>
      <c r="BV32" s="130"/>
      <c r="BW32" s="148"/>
      <c r="BX32" s="130"/>
      <c r="BY32" s="168"/>
      <c r="BZ32" s="168"/>
      <c r="CA32" s="168"/>
      <c r="CB32" s="168"/>
      <c r="CC32" s="168"/>
      <c r="CD32" s="168"/>
      <c r="CE32" s="121"/>
      <c r="CF32" s="121"/>
    </row>
    <row r="33" spans="1:84" s="132" customFormat="1" ht="12" customHeight="1" x14ac:dyDescent="0.2">
      <c r="A33" s="121"/>
      <c r="B33" s="122"/>
      <c r="C33" s="151"/>
      <c r="D33" s="157"/>
      <c r="E33" s="158"/>
      <c r="F33" s="159"/>
      <c r="G33" s="159"/>
      <c r="H33" s="160"/>
      <c r="I33" s="159"/>
      <c r="J33" s="161"/>
      <c r="K33" s="181">
        <f>IF(F33="",0,(VLOOKUP('wgl tot'!F33,saltab2019,'wgl tot'!G33+1,FALSE)))</f>
        <v>0</v>
      </c>
      <c r="L33" s="163">
        <f t="shared" si="0"/>
        <v>0</v>
      </c>
      <c r="M33" s="151"/>
      <c r="N33" s="181">
        <f>ROUND(IF(('wgl tot'!L33+'wgl tot'!P33)*BF33&lt;'wgl tot'!H33*tabellen!$D$50,'wgl tot'!H33*tabellen!$D$50,('wgl tot'!L33+'wgl tot'!P33)*BF33),2)</f>
        <v>0</v>
      </c>
      <c r="O33" s="181">
        <f>ROUND(+('wgl tot'!L33+'wgl tot'!P33)*BG33,2)</f>
        <v>0</v>
      </c>
      <c r="P33" s="181">
        <f>ROUND(IF(I33="j",VLOOKUP(BD33,uitlooptoeslag,2,FALSE))*IF('wgl tot'!H33&gt;1,1,'wgl tot'!H33),2)</f>
        <v>0</v>
      </c>
      <c r="Q33" s="181">
        <f>ROUND(IF(BI33="j",tabellen!$D$59*IF('wgl tot'!H33&gt;1,1,'wgl tot'!H33),0),2)</f>
        <v>0</v>
      </c>
      <c r="R33" s="181">
        <f>IF(AND(F33&gt;0,F33&lt;17),tabellen!$C$41*'wgl tot'!H33,0)</f>
        <v>0</v>
      </c>
      <c r="S33" s="181">
        <f>VLOOKUP(BH33,eindejaarsuitkering_OOP,2,TRUE)*'wgl tot'!H33/12</f>
        <v>0</v>
      </c>
      <c r="T33" s="181">
        <f>ROUND(H33*tabellen!$D$57,2)</f>
        <v>0</v>
      </c>
      <c r="U33" s="181">
        <f>ROUND(H33*tabellen!C$45,2)</f>
        <v>0</v>
      </c>
      <c r="V33" s="181">
        <f>H33*(IF(F33="L10",42%*VLOOKUP(tabellen!L$45,saltab2018sept,G33+1,FALSE),IF(F33="L11",42%*VLOOKUP(tabellen!L$46,saltab2018sept,G33+1,FALSE),IF(F33="L12",42%*VLOOKUP(tabellen!L$47,saltab2018sept,G33+1,FALSE),IF(F33="L13",42%*VLOOKUP(tabellen!L$48,saltab2018sept,G33+1,FALSE),0)))))</f>
        <v>0</v>
      </c>
      <c r="W33" s="182">
        <f t="shared" si="9"/>
        <v>0</v>
      </c>
      <c r="X33" s="181">
        <f>('wgl tot'!L33+'wgl tot'!P33)*tabellen!$C$43*12</f>
        <v>0</v>
      </c>
      <c r="Y33" s="163">
        <f t="shared" si="10"/>
        <v>0</v>
      </c>
      <c r="Z33" s="151"/>
      <c r="AA33" s="182">
        <f t="shared" si="18"/>
        <v>0</v>
      </c>
      <c r="AB33" s="217">
        <f>+'wgl tot'!X33/12</f>
        <v>0</v>
      </c>
      <c r="AC33" s="151"/>
      <c r="AD33" s="181">
        <f>IF(F33="",0,(IF('wgl tot'!W33/'wgl tot'!H33&lt;tabellen!$E$6,0,('wgl tot'!W33-tabellen!$E$6*'wgl tot'!H33)/12)*tabellen!$C$6))</f>
        <v>0</v>
      </c>
      <c r="AE33" s="181">
        <f>IF(F33="",0,(IF('wgl tot'!W33/'wgl tot'!H33&lt;tabellen!$E$7,0,(+'wgl tot'!W33-tabellen!$E$7*'wgl tot'!H33)/12)*tabellen!$C$7))</f>
        <v>0</v>
      </c>
      <c r="AF33" s="181">
        <f>'wgl tot'!W33/12*tabellen!$C$8</f>
        <v>0</v>
      </c>
      <c r="AG33" s="181">
        <f>IF(H33=0,0,IF(BN33&gt;tabellen!$G$9/12,tabellen!$G$9/12,BN33)*(tabellen!$C$9+tabellen!$C$10))</f>
        <v>0</v>
      </c>
      <c r="AH33" s="181">
        <f>IF(F33="",0,('wgl tot'!BO33))</f>
        <v>0</v>
      </c>
      <c r="AI33" s="183">
        <f>IF(F33="",0,(IF('wgl tot'!BN33&gt;tabellen!$G$12*'wgl tot'!H33/12,tabellen!$G$12*'wgl tot'!H33/12,'wgl tot'!BN33)*tabellen!$C$12))</f>
        <v>0</v>
      </c>
      <c r="AJ33" s="151"/>
      <c r="AK33" s="183">
        <f>IF(F33="",0,('wgl tot'!BN33*IF(J33=1,tabellen!$C$13,IF(J33=2,tabellen!$C$14,IF(J33=3,tabellen!$C$15,IF(J33=5,tabellen!$C$17,IF(J33=6,tabellen!$C$18,IF(J33=7,tabellen!$C$19,IF(J33=8,tabellen!$C$20,tabellen!$C$16)))))))))</f>
        <v>0</v>
      </c>
      <c r="AL33" s="183">
        <f>IF(F33="",0,('wgl tot'!BN33*tabellen!$C$21))</f>
        <v>0</v>
      </c>
      <c r="AM33" s="237">
        <v>0</v>
      </c>
      <c r="AN33" s="151"/>
      <c r="AO33" s="237">
        <v>0</v>
      </c>
      <c r="AP33" s="151"/>
      <c r="AQ33" s="163">
        <f t="shared" si="19"/>
        <v>0</v>
      </c>
      <c r="AR33" s="163">
        <f t="shared" si="20"/>
        <v>0</v>
      </c>
      <c r="AS33" s="151"/>
      <c r="AT33" s="187" t="str">
        <f t="shared" si="21"/>
        <v/>
      </c>
      <c r="AU33" s="187" t="str">
        <f t="shared" si="2"/>
        <v/>
      </c>
      <c r="AV33" s="151"/>
      <c r="AW33" s="129"/>
      <c r="AX33" s="121"/>
      <c r="AY33" s="121"/>
      <c r="AZ33" s="165">
        <f ca="1">YEAR('wgl tot'!$AZ$9)-YEAR('wgl tot'!E33)</f>
        <v>119</v>
      </c>
      <c r="BA33" s="165">
        <f ca="1">MONTH('wgl tot'!$AZ$9)-MONTH('wgl tot'!E33)</f>
        <v>8</v>
      </c>
      <c r="BB33" s="165">
        <f ca="1">DAY('wgl tot'!$AZ$9)-DAY('wgl tot'!E33)</f>
        <v>14</v>
      </c>
      <c r="BC33" s="130">
        <f>IF(AND('wgl tot'!F33&gt;0,'wgl tot'!F33&lt;17),0,100)</f>
        <v>100</v>
      </c>
      <c r="BD33" s="130">
        <f t="shared" si="3"/>
        <v>0</v>
      </c>
      <c r="BE33" s="148">
        <v>42583</v>
      </c>
      <c r="BF33" s="166">
        <f t="shared" si="17"/>
        <v>0.08</v>
      </c>
      <c r="BG33" s="167">
        <f>+tabellen!$D$51</f>
        <v>6.3E-2</v>
      </c>
      <c r="BH33" s="165">
        <f>IF('wgl tot'!BC33=100,0,'wgl tot'!F33)</f>
        <v>0</v>
      </c>
      <c r="BI33" s="167" t="str">
        <f>IF(OR('wgl tot'!F33="DA",'wgl tot'!F33="DB",'wgl tot'!F33="DBuit",'wgl tot'!F33="DC",'wgl tot'!F33="DCuit",MID('wgl tot'!F33,1,5)="meerh"),"j","n")</f>
        <v>n</v>
      </c>
      <c r="BJ33" s="169" t="e">
        <f>IF('wgl tot'!W33/'wgl tot'!H33&lt;tabellen!$E$6,0,(+'wgl tot'!W33-tabellen!$E$6*'wgl tot'!H33)/12*tabellen!$D$6)</f>
        <v>#DIV/0!</v>
      </c>
      <c r="BK33" s="169" t="e">
        <f>IF('wgl tot'!W33/'wgl tot'!H33&lt;tabellen!$E$7,0,(+'wgl tot'!W33-tabellen!$E$7*'wgl tot'!H33)/12*tabellen!$D$7)</f>
        <v>#DIV/0!</v>
      </c>
      <c r="BL33" s="169">
        <f>'wgl tot'!W33/12*tabellen!$D$8</f>
        <v>0</v>
      </c>
      <c r="BM33" s="170" t="e">
        <f t="shared" si="22"/>
        <v>#DIV/0!</v>
      </c>
      <c r="BN33" s="171" t="e">
        <f>+Y33/12-'wgl tot'!BM33</f>
        <v>#DIV/0!</v>
      </c>
      <c r="BO33" s="171" t="e">
        <f>ROUND(IF('wgl tot'!BN33&gt;tabellen!$H$11,tabellen!$H$11,'wgl tot'!BN33)*tabellen!$C$11,2)</f>
        <v>#DIV/0!</v>
      </c>
      <c r="BP33" s="171" t="e">
        <f>+'wgl tot'!BN33+'wgl tot'!BO33</f>
        <v>#DIV/0!</v>
      </c>
      <c r="BQ33" s="172">
        <f t="shared" si="5"/>
        <v>1900</v>
      </c>
      <c r="BR33" s="172">
        <f t="shared" si="6"/>
        <v>1</v>
      </c>
      <c r="BS33" s="165">
        <f t="shared" si="7"/>
        <v>0</v>
      </c>
      <c r="BT33" s="148">
        <f t="shared" si="15"/>
        <v>22462</v>
      </c>
      <c r="BU33" s="148">
        <f t="shared" ca="1" si="16"/>
        <v>43722.739781944445</v>
      </c>
      <c r="BV33" s="130"/>
      <c r="BW33" s="148"/>
      <c r="BX33" s="130"/>
      <c r="BY33" s="168"/>
      <c r="BZ33" s="168"/>
      <c r="CA33" s="168"/>
      <c r="CB33" s="168"/>
      <c r="CC33" s="168"/>
      <c r="CD33" s="168"/>
      <c r="CE33" s="121"/>
      <c r="CF33" s="121"/>
    </row>
    <row r="34" spans="1:84" s="132" customFormat="1" ht="12" customHeight="1" x14ac:dyDescent="0.2">
      <c r="A34" s="121"/>
      <c r="B34" s="122"/>
      <c r="C34" s="151"/>
      <c r="D34" s="157"/>
      <c r="E34" s="158"/>
      <c r="F34" s="159"/>
      <c r="G34" s="159"/>
      <c r="H34" s="160"/>
      <c r="I34" s="159"/>
      <c r="J34" s="161"/>
      <c r="K34" s="181">
        <f>IF(F34="",0,(VLOOKUP('wgl tot'!F34,saltab2019,'wgl tot'!G34+1,FALSE)))</f>
        <v>0</v>
      </c>
      <c r="L34" s="163">
        <f t="shared" si="0"/>
        <v>0</v>
      </c>
      <c r="M34" s="151"/>
      <c r="N34" s="181">
        <f>ROUND(IF(('wgl tot'!L34+'wgl tot'!P34)*BF34&lt;'wgl tot'!H34*tabellen!$D$50,'wgl tot'!H34*tabellen!$D$50,('wgl tot'!L34+'wgl tot'!P34)*BF34),2)</f>
        <v>0</v>
      </c>
      <c r="O34" s="181">
        <f>ROUND(+('wgl tot'!L34+'wgl tot'!P34)*BG34,2)</f>
        <v>0</v>
      </c>
      <c r="P34" s="181">
        <f>ROUND(IF(I34="j",VLOOKUP(BD34,uitlooptoeslag,2,FALSE))*IF('wgl tot'!H34&gt;1,1,'wgl tot'!H34),2)</f>
        <v>0</v>
      </c>
      <c r="Q34" s="181">
        <f>ROUND(IF(BI34="j",tabellen!$D$59*IF('wgl tot'!H34&gt;1,1,'wgl tot'!H34),0),2)</f>
        <v>0</v>
      </c>
      <c r="R34" s="181">
        <f>IF(AND(F34&gt;0,F34&lt;17),tabellen!$C$41*'wgl tot'!H34,0)</f>
        <v>0</v>
      </c>
      <c r="S34" s="181">
        <f>VLOOKUP(BH34,eindejaarsuitkering_OOP,2,TRUE)*'wgl tot'!H34/12</f>
        <v>0</v>
      </c>
      <c r="T34" s="181">
        <f>ROUND(H34*tabellen!$D$57,2)</f>
        <v>0</v>
      </c>
      <c r="U34" s="181">
        <f>ROUND(H34*tabellen!C$45,2)</f>
        <v>0</v>
      </c>
      <c r="V34" s="181">
        <f>H34*(IF(F34="L10",42%*VLOOKUP(tabellen!L$45,saltab2018sept,G34+1,FALSE),IF(F34="L11",42%*VLOOKUP(tabellen!L$46,saltab2018sept,G34+1,FALSE),IF(F34="L12",42%*VLOOKUP(tabellen!L$47,saltab2018sept,G34+1,FALSE),IF(F34="L13",42%*VLOOKUP(tabellen!L$48,saltab2018sept,G34+1,FALSE),0)))))</f>
        <v>0</v>
      </c>
      <c r="W34" s="182">
        <f t="shared" si="9"/>
        <v>0</v>
      </c>
      <c r="X34" s="181">
        <f>('wgl tot'!L34+'wgl tot'!P34)*tabellen!$C$43*12</f>
        <v>0</v>
      </c>
      <c r="Y34" s="163">
        <f t="shared" si="10"/>
        <v>0</v>
      </c>
      <c r="Z34" s="151"/>
      <c r="AA34" s="182">
        <f t="shared" si="18"/>
        <v>0</v>
      </c>
      <c r="AB34" s="217">
        <f>+'wgl tot'!X34/12</f>
        <v>0</v>
      </c>
      <c r="AC34" s="151"/>
      <c r="AD34" s="181">
        <f>IF(F34="",0,(IF('wgl tot'!W34/'wgl tot'!H34&lt;tabellen!$E$6,0,('wgl tot'!W34-tabellen!$E$6*'wgl tot'!H34)/12)*tabellen!$C$6))</f>
        <v>0</v>
      </c>
      <c r="AE34" s="181">
        <f>IF(F34="",0,(IF('wgl tot'!W34/'wgl tot'!H34&lt;tabellen!$E$7,0,(+'wgl tot'!W34-tabellen!$E$7*'wgl tot'!H34)/12)*tabellen!$C$7))</f>
        <v>0</v>
      </c>
      <c r="AF34" s="181">
        <f>'wgl tot'!W34/12*tabellen!$C$8</f>
        <v>0</v>
      </c>
      <c r="AG34" s="181">
        <f>IF(H34=0,0,IF(BN34&gt;tabellen!$G$9/12,tabellen!$G$9/12,BN34)*(tabellen!$C$9+tabellen!$C$10))</f>
        <v>0</v>
      </c>
      <c r="AH34" s="181">
        <f>IF(F34="",0,('wgl tot'!BO34))</f>
        <v>0</v>
      </c>
      <c r="AI34" s="183">
        <f>IF(F34="",0,(IF('wgl tot'!BN34&gt;tabellen!$G$12*'wgl tot'!H34/12,tabellen!$G$12*'wgl tot'!H34/12,'wgl tot'!BN34)*tabellen!$C$12))</f>
        <v>0</v>
      </c>
      <c r="AJ34" s="151"/>
      <c r="AK34" s="183">
        <f>IF(F34="",0,('wgl tot'!BN34*IF(J34=1,tabellen!$C$13,IF(J34=2,tabellen!$C$14,IF(J34=3,tabellen!$C$15,IF(J34=5,tabellen!$C$17,IF(J34=6,tabellen!$C$18,IF(J34=7,tabellen!$C$19,IF(J34=8,tabellen!$C$20,tabellen!$C$16)))))))))</f>
        <v>0</v>
      </c>
      <c r="AL34" s="183">
        <f>IF(F34="",0,('wgl tot'!BN34*tabellen!$C$21))</f>
        <v>0</v>
      </c>
      <c r="AM34" s="237">
        <v>0</v>
      </c>
      <c r="AN34" s="151"/>
      <c r="AO34" s="237">
        <v>0</v>
      </c>
      <c r="AP34" s="151"/>
      <c r="AQ34" s="163">
        <f t="shared" si="19"/>
        <v>0</v>
      </c>
      <c r="AR34" s="163">
        <f t="shared" si="20"/>
        <v>0</v>
      </c>
      <c r="AS34" s="151"/>
      <c r="AT34" s="187" t="str">
        <f t="shared" si="21"/>
        <v/>
      </c>
      <c r="AU34" s="187" t="str">
        <f t="shared" si="2"/>
        <v/>
      </c>
      <c r="AV34" s="151"/>
      <c r="AW34" s="129"/>
      <c r="AX34" s="121"/>
      <c r="AY34" s="121"/>
      <c r="AZ34" s="165">
        <f ca="1">YEAR('wgl tot'!$AZ$9)-YEAR('wgl tot'!E34)</f>
        <v>119</v>
      </c>
      <c r="BA34" s="165">
        <f ca="1">MONTH('wgl tot'!$AZ$9)-MONTH('wgl tot'!E34)</f>
        <v>8</v>
      </c>
      <c r="BB34" s="165">
        <f ca="1">DAY('wgl tot'!$AZ$9)-DAY('wgl tot'!E34)</f>
        <v>14</v>
      </c>
      <c r="BC34" s="130">
        <f>IF(AND('wgl tot'!F34&gt;0,'wgl tot'!F34&lt;17),0,100)</f>
        <v>100</v>
      </c>
      <c r="BD34" s="130">
        <f t="shared" si="3"/>
        <v>0</v>
      </c>
      <c r="BE34" s="148">
        <v>42583</v>
      </c>
      <c r="BF34" s="166">
        <f t="shared" si="17"/>
        <v>0.08</v>
      </c>
      <c r="BG34" s="167">
        <f>+tabellen!$D$51</f>
        <v>6.3E-2</v>
      </c>
      <c r="BH34" s="165">
        <f>IF('wgl tot'!BC34=100,0,'wgl tot'!F34)</f>
        <v>0</v>
      </c>
      <c r="BI34" s="167" t="str">
        <f>IF(OR('wgl tot'!F34="DA",'wgl tot'!F34="DB",'wgl tot'!F34="DBuit",'wgl tot'!F34="DC",'wgl tot'!F34="DCuit",MID('wgl tot'!F34,1,5)="meerh"),"j","n")</f>
        <v>n</v>
      </c>
      <c r="BJ34" s="169" t="e">
        <f>IF('wgl tot'!W34/'wgl tot'!H34&lt;tabellen!$E$6,0,(+'wgl tot'!W34-tabellen!$E$6*'wgl tot'!H34)/12*tabellen!$D$6)</f>
        <v>#DIV/0!</v>
      </c>
      <c r="BK34" s="169" t="e">
        <f>IF('wgl tot'!W34/'wgl tot'!H34&lt;tabellen!$E$7,0,(+'wgl tot'!W34-tabellen!$E$7*'wgl tot'!H34)/12*tabellen!$D$7)</f>
        <v>#DIV/0!</v>
      </c>
      <c r="BL34" s="169">
        <f>'wgl tot'!W34/12*tabellen!$D$8</f>
        <v>0</v>
      </c>
      <c r="BM34" s="170" t="e">
        <f t="shared" si="22"/>
        <v>#DIV/0!</v>
      </c>
      <c r="BN34" s="171" t="e">
        <f>+Y34/12-'wgl tot'!BM34</f>
        <v>#DIV/0!</v>
      </c>
      <c r="BO34" s="171" t="e">
        <f>ROUND(IF('wgl tot'!BN34&gt;tabellen!$H$11,tabellen!$H$11,'wgl tot'!BN34)*tabellen!$C$11,2)</f>
        <v>#DIV/0!</v>
      </c>
      <c r="BP34" s="171" t="e">
        <f>+'wgl tot'!BN34+'wgl tot'!BO34</f>
        <v>#DIV/0!</v>
      </c>
      <c r="BQ34" s="172">
        <f t="shared" si="5"/>
        <v>1900</v>
      </c>
      <c r="BR34" s="172">
        <f t="shared" si="6"/>
        <v>1</v>
      </c>
      <c r="BS34" s="165">
        <f t="shared" si="7"/>
        <v>0</v>
      </c>
      <c r="BT34" s="148">
        <f t="shared" si="15"/>
        <v>22462</v>
      </c>
      <c r="BU34" s="148">
        <f t="shared" ca="1" si="16"/>
        <v>43722.739781944445</v>
      </c>
      <c r="BV34" s="130"/>
      <c r="BW34" s="148"/>
      <c r="BX34" s="130"/>
      <c r="BY34" s="168"/>
      <c r="BZ34" s="168"/>
      <c r="CA34" s="168"/>
      <c r="CB34" s="168"/>
      <c r="CC34" s="168"/>
      <c r="CD34" s="168"/>
      <c r="CE34" s="121"/>
      <c r="CF34" s="121"/>
    </row>
    <row r="35" spans="1:84" s="132" customFormat="1" ht="12" customHeight="1" x14ac:dyDescent="0.2">
      <c r="A35" s="121"/>
      <c r="B35" s="122"/>
      <c r="C35" s="151"/>
      <c r="D35" s="157"/>
      <c r="E35" s="158"/>
      <c r="F35" s="159"/>
      <c r="G35" s="159"/>
      <c r="H35" s="160"/>
      <c r="I35" s="159"/>
      <c r="J35" s="161"/>
      <c r="K35" s="181">
        <f>IF(F35="",0,(VLOOKUP('wgl tot'!F35,saltab2019,'wgl tot'!G35+1,FALSE)))</f>
        <v>0</v>
      </c>
      <c r="L35" s="163">
        <f t="shared" si="0"/>
        <v>0</v>
      </c>
      <c r="M35" s="151"/>
      <c r="N35" s="181">
        <f>ROUND(IF(('wgl tot'!L35+'wgl tot'!P35)*BF35&lt;'wgl tot'!H35*tabellen!$D$50,'wgl tot'!H35*tabellen!$D$50,('wgl tot'!L35+'wgl tot'!P35)*BF35),2)</f>
        <v>0</v>
      </c>
      <c r="O35" s="181">
        <f>ROUND(+('wgl tot'!L35+'wgl tot'!P35)*BG35,2)</f>
        <v>0</v>
      </c>
      <c r="P35" s="181">
        <f>ROUND(IF(I35="j",VLOOKUP(BD35,uitlooptoeslag,2,FALSE))*IF('wgl tot'!H35&gt;1,1,'wgl tot'!H35),2)</f>
        <v>0</v>
      </c>
      <c r="Q35" s="181">
        <f>ROUND(IF(BI35="j",tabellen!$D$59*IF('wgl tot'!H35&gt;1,1,'wgl tot'!H35),0),2)</f>
        <v>0</v>
      </c>
      <c r="R35" s="181">
        <f>IF(AND(F35&gt;0,F35&lt;17),tabellen!$C$41*'wgl tot'!H35,0)</f>
        <v>0</v>
      </c>
      <c r="S35" s="181">
        <f>VLOOKUP(BH35,eindejaarsuitkering_OOP,2,TRUE)*'wgl tot'!H35/12</f>
        <v>0</v>
      </c>
      <c r="T35" s="181">
        <f>ROUND(H35*tabellen!$D$57,2)</f>
        <v>0</v>
      </c>
      <c r="U35" s="181">
        <f>ROUND(H35*tabellen!C$45,2)</f>
        <v>0</v>
      </c>
      <c r="V35" s="181">
        <f>H35*(IF(F35="L10",42%*VLOOKUP(tabellen!L$45,saltab2018sept,G35+1,FALSE),IF(F35="L11",42%*VLOOKUP(tabellen!L$46,saltab2018sept,G35+1,FALSE),IF(F35="L12",42%*VLOOKUP(tabellen!L$47,saltab2018sept,G35+1,FALSE),IF(F35="L13",42%*VLOOKUP(tabellen!L$48,saltab2018sept,G35+1,FALSE),0)))))</f>
        <v>0</v>
      </c>
      <c r="W35" s="182">
        <f t="shared" si="9"/>
        <v>0</v>
      </c>
      <c r="X35" s="181">
        <f>('wgl tot'!L35+'wgl tot'!P35)*tabellen!$C$43*12</f>
        <v>0</v>
      </c>
      <c r="Y35" s="163">
        <f t="shared" si="10"/>
        <v>0</v>
      </c>
      <c r="Z35" s="151"/>
      <c r="AA35" s="182">
        <f t="shared" si="18"/>
        <v>0</v>
      </c>
      <c r="AB35" s="217">
        <f>+'wgl tot'!X35/12</f>
        <v>0</v>
      </c>
      <c r="AC35" s="151"/>
      <c r="AD35" s="181">
        <f>IF(F35="",0,(IF('wgl tot'!W35/'wgl tot'!H35&lt;tabellen!$E$6,0,('wgl tot'!W35-tabellen!$E$6*'wgl tot'!H35)/12)*tabellen!$C$6))</f>
        <v>0</v>
      </c>
      <c r="AE35" s="181">
        <f>IF(F35="",0,(IF('wgl tot'!W35/'wgl tot'!H35&lt;tabellen!$E$7,0,(+'wgl tot'!W35-tabellen!$E$7*'wgl tot'!H35)/12)*tabellen!$C$7))</f>
        <v>0</v>
      </c>
      <c r="AF35" s="181">
        <f>'wgl tot'!W35/12*tabellen!$C$8</f>
        <v>0</v>
      </c>
      <c r="AG35" s="181">
        <f>IF(H35=0,0,IF(BN35&gt;tabellen!$G$9/12,tabellen!$G$9/12,BN35)*(tabellen!$C$9+tabellen!$C$10))</f>
        <v>0</v>
      </c>
      <c r="AH35" s="181">
        <f>IF(F35="",0,('wgl tot'!BO35))</f>
        <v>0</v>
      </c>
      <c r="AI35" s="183">
        <f>IF(F35="",0,(IF('wgl tot'!BN35&gt;tabellen!$G$12*'wgl tot'!H35/12,tabellen!$G$12*'wgl tot'!H35/12,'wgl tot'!BN35)*tabellen!$C$12))</f>
        <v>0</v>
      </c>
      <c r="AJ35" s="151"/>
      <c r="AK35" s="183">
        <f>IF(F35="",0,('wgl tot'!BN35*IF(J35=1,tabellen!$C$13,IF(J35=2,tabellen!$C$14,IF(J35=3,tabellen!$C$15,IF(J35=5,tabellen!$C$17,IF(J35=6,tabellen!$C$18,IF(J35=7,tabellen!$C$19,IF(J35=8,tabellen!$C$20,tabellen!$C$16)))))))))</f>
        <v>0</v>
      </c>
      <c r="AL35" s="183">
        <f>IF(F35="",0,('wgl tot'!BN35*tabellen!$C$21))</f>
        <v>0</v>
      </c>
      <c r="AM35" s="237">
        <v>0</v>
      </c>
      <c r="AN35" s="151"/>
      <c r="AO35" s="237">
        <v>0</v>
      </c>
      <c r="AP35" s="151"/>
      <c r="AQ35" s="163">
        <f t="shared" si="19"/>
        <v>0</v>
      </c>
      <c r="AR35" s="163">
        <f t="shared" si="20"/>
        <v>0</v>
      </c>
      <c r="AS35" s="151"/>
      <c r="AT35" s="187" t="str">
        <f t="shared" si="21"/>
        <v/>
      </c>
      <c r="AU35" s="187" t="str">
        <f t="shared" si="2"/>
        <v/>
      </c>
      <c r="AV35" s="151"/>
      <c r="AW35" s="129"/>
      <c r="AX35" s="121"/>
      <c r="AY35" s="121"/>
      <c r="AZ35" s="165">
        <f ca="1">YEAR('wgl tot'!$AZ$9)-YEAR('wgl tot'!E35)</f>
        <v>119</v>
      </c>
      <c r="BA35" s="165">
        <f ca="1">MONTH('wgl tot'!$AZ$9)-MONTH('wgl tot'!E35)</f>
        <v>8</v>
      </c>
      <c r="BB35" s="165">
        <f ca="1">DAY('wgl tot'!$AZ$9)-DAY('wgl tot'!E35)</f>
        <v>14</v>
      </c>
      <c r="BC35" s="130">
        <f>IF(AND('wgl tot'!F35&gt;0,'wgl tot'!F35&lt;17),0,100)</f>
        <v>100</v>
      </c>
      <c r="BD35" s="130">
        <f t="shared" si="3"/>
        <v>0</v>
      </c>
      <c r="BE35" s="148">
        <v>42583</v>
      </c>
      <c r="BF35" s="166">
        <f t="shared" si="17"/>
        <v>0.08</v>
      </c>
      <c r="BG35" s="167">
        <f>+tabellen!$D$51</f>
        <v>6.3E-2</v>
      </c>
      <c r="BH35" s="165">
        <f>IF('wgl tot'!BC35=100,0,'wgl tot'!F35)</f>
        <v>0</v>
      </c>
      <c r="BI35" s="167" t="str">
        <f>IF(OR('wgl tot'!F35="DA",'wgl tot'!F35="DB",'wgl tot'!F35="DBuit",'wgl tot'!F35="DC",'wgl tot'!F35="DCuit",MID('wgl tot'!F35,1,5)="meerh"),"j","n")</f>
        <v>n</v>
      </c>
      <c r="BJ35" s="169" t="e">
        <f>IF('wgl tot'!W35/'wgl tot'!H35&lt;tabellen!$E$6,0,(+'wgl tot'!W35-tabellen!$E$6*'wgl tot'!H35)/12*tabellen!$D$6)</f>
        <v>#DIV/0!</v>
      </c>
      <c r="BK35" s="169" t="e">
        <f>IF('wgl tot'!W35/'wgl tot'!H35&lt;tabellen!$E$7,0,(+'wgl tot'!W35-tabellen!$E$7*'wgl tot'!H35)/12*tabellen!$D$7)</f>
        <v>#DIV/0!</v>
      </c>
      <c r="BL35" s="169">
        <f>'wgl tot'!W35/12*tabellen!$D$8</f>
        <v>0</v>
      </c>
      <c r="BM35" s="170" t="e">
        <f t="shared" si="22"/>
        <v>#DIV/0!</v>
      </c>
      <c r="BN35" s="171" t="e">
        <f>+Y35/12-'wgl tot'!BM35</f>
        <v>#DIV/0!</v>
      </c>
      <c r="BO35" s="171" t="e">
        <f>ROUND(IF('wgl tot'!BN35&gt;tabellen!$H$11,tabellen!$H$11,'wgl tot'!BN35)*tabellen!$C$11,2)</f>
        <v>#DIV/0!</v>
      </c>
      <c r="BP35" s="171" t="e">
        <f>+'wgl tot'!BN35+'wgl tot'!BO35</f>
        <v>#DIV/0!</v>
      </c>
      <c r="BQ35" s="172">
        <f t="shared" si="5"/>
        <v>1900</v>
      </c>
      <c r="BR35" s="172">
        <f t="shared" si="6"/>
        <v>1</v>
      </c>
      <c r="BS35" s="165">
        <f t="shared" si="7"/>
        <v>0</v>
      </c>
      <c r="BT35" s="148">
        <f t="shared" si="15"/>
        <v>22462</v>
      </c>
      <c r="BU35" s="148">
        <f t="shared" ca="1" si="16"/>
        <v>43722.739781944445</v>
      </c>
      <c r="BV35" s="130"/>
      <c r="BW35" s="148"/>
      <c r="BX35" s="130"/>
      <c r="BY35" s="168"/>
      <c r="BZ35" s="168"/>
      <c r="CA35" s="168"/>
      <c r="CB35" s="168"/>
      <c r="CC35" s="168"/>
      <c r="CD35" s="168"/>
      <c r="CE35" s="121"/>
      <c r="CF35" s="121"/>
    </row>
    <row r="36" spans="1:84" s="132" customFormat="1" ht="12" customHeight="1" x14ac:dyDescent="0.2">
      <c r="A36" s="121"/>
      <c r="B36" s="122"/>
      <c r="C36" s="151"/>
      <c r="D36" s="157"/>
      <c r="E36" s="158"/>
      <c r="F36" s="159"/>
      <c r="G36" s="159"/>
      <c r="H36" s="160"/>
      <c r="I36" s="159"/>
      <c r="J36" s="161"/>
      <c r="K36" s="181">
        <f>IF(F36="",0,(VLOOKUP('wgl tot'!F36,saltab2019,'wgl tot'!G36+1,FALSE)))</f>
        <v>0</v>
      </c>
      <c r="L36" s="163">
        <f t="shared" si="0"/>
        <v>0</v>
      </c>
      <c r="M36" s="151"/>
      <c r="N36" s="181">
        <f>ROUND(IF(('wgl tot'!L36+'wgl tot'!P36)*BF36&lt;'wgl tot'!H36*tabellen!$D$50,'wgl tot'!H36*tabellen!$D$50,('wgl tot'!L36+'wgl tot'!P36)*BF36),2)</f>
        <v>0</v>
      </c>
      <c r="O36" s="181">
        <f>ROUND(+('wgl tot'!L36+'wgl tot'!P36)*BG36,2)</f>
        <v>0</v>
      </c>
      <c r="P36" s="181">
        <f>ROUND(IF(I36="j",VLOOKUP(BD36,uitlooptoeslag,2,FALSE))*IF('wgl tot'!H36&gt;1,1,'wgl tot'!H36),2)</f>
        <v>0</v>
      </c>
      <c r="Q36" s="181">
        <f>ROUND(IF(BI36="j",tabellen!$D$59*IF('wgl tot'!H36&gt;1,1,'wgl tot'!H36),0),2)</f>
        <v>0</v>
      </c>
      <c r="R36" s="181">
        <f>IF(AND(F36&gt;0,F36&lt;17),tabellen!$C$41*'wgl tot'!H36,0)</f>
        <v>0</v>
      </c>
      <c r="S36" s="181">
        <f>VLOOKUP(BH36,eindejaarsuitkering_OOP,2,TRUE)*'wgl tot'!H36/12</f>
        <v>0</v>
      </c>
      <c r="T36" s="181">
        <f>ROUND(H36*tabellen!$D$57,2)</f>
        <v>0</v>
      </c>
      <c r="U36" s="181">
        <f>ROUND(H36*tabellen!C$45,2)</f>
        <v>0</v>
      </c>
      <c r="V36" s="181">
        <f>H36*(IF(F36="L10",42%*VLOOKUP(tabellen!L$45,saltab2018sept,G36+1,FALSE),IF(F36="L11",42%*VLOOKUP(tabellen!L$46,saltab2018sept,G36+1,FALSE),IF(F36="L12",42%*VLOOKUP(tabellen!L$47,saltab2018sept,G36+1,FALSE),IF(F36="L13",42%*VLOOKUP(tabellen!L$48,saltab2018sept,G36+1,FALSE),0)))))</f>
        <v>0</v>
      </c>
      <c r="W36" s="182">
        <f t="shared" si="9"/>
        <v>0</v>
      </c>
      <c r="X36" s="181">
        <f>('wgl tot'!L36+'wgl tot'!P36)*tabellen!$C$43*12</f>
        <v>0</v>
      </c>
      <c r="Y36" s="163">
        <f t="shared" si="10"/>
        <v>0</v>
      </c>
      <c r="Z36" s="151"/>
      <c r="AA36" s="182">
        <f t="shared" si="18"/>
        <v>0</v>
      </c>
      <c r="AB36" s="217">
        <f>+'wgl tot'!X36/12</f>
        <v>0</v>
      </c>
      <c r="AC36" s="151"/>
      <c r="AD36" s="181">
        <f>IF(F36="",0,(IF('wgl tot'!W36/'wgl tot'!H36&lt;tabellen!$E$6,0,('wgl tot'!W36-tabellen!$E$6*'wgl tot'!H36)/12)*tabellen!$C$6))</f>
        <v>0</v>
      </c>
      <c r="AE36" s="181">
        <f>IF(F36="",0,(IF('wgl tot'!W36/'wgl tot'!H36&lt;tabellen!$E$7,0,(+'wgl tot'!W36-tabellen!$E$7*'wgl tot'!H36)/12)*tabellen!$C$7))</f>
        <v>0</v>
      </c>
      <c r="AF36" s="181">
        <f>'wgl tot'!W36/12*tabellen!$C$8</f>
        <v>0</v>
      </c>
      <c r="AG36" s="181">
        <f>IF(H36=0,0,IF(BN36&gt;tabellen!$G$9/12,tabellen!$G$9/12,BN36)*(tabellen!$C$9+tabellen!$C$10))</f>
        <v>0</v>
      </c>
      <c r="AH36" s="181">
        <f>IF(F36="",0,('wgl tot'!BO36))</f>
        <v>0</v>
      </c>
      <c r="AI36" s="183">
        <f>IF(F36="",0,(IF('wgl tot'!BN36&gt;tabellen!$G$12*'wgl tot'!H36/12,tabellen!$G$12*'wgl tot'!H36/12,'wgl tot'!BN36)*tabellen!$C$12))</f>
        <v>0</v>
      </c>
      <c r="AJ36" s="151"/>
      <c r="AK36" s="183">
        <f>IF(F36="",0,('wgl tot'!BN36*IF(J36=1,tabellen!$C$13,IF(J36=2,tabellen!$C$14,IF(J36=3,tabellen!$C$15,IF(J36=5,tabellen!$C$17,IF(J36=6,tabellen!$C$18,IF(J36=7,tabellen!$C$19,IF(J36=8,tabellen!$C$20,tabellen!$C$16)))))))))</f>
        <v>0</v>
      </c>
      <c r="AL36" s="183">
        <f>IF(F36="",0,('wgl tot'!BN36*tabellen!$C$21))</f>
        <v>0</v>
      </c>
      <c r="AM36" s="237">
        <v>0</v>
      </c>
      <c r="AN36" s="151"/>
      <c r="AO36" s="237">
        <v>0</v>
      </c>
      <c r="AP36" s="151"/>
      <c r="AQ36" s="163">
        <f t="shared" si="19"/>
        <v>0</v>
      </c>
      <c r="AR36" s="163">
        <f t="shared" si="20"/>
        <v>0</v>
      </c>
      <c r="AS36" s="151"/>
      <c r="AT36" s="187" t="str">
        <f t="shared" si="21"/>
        <v/>
      </c>
      <c r="AU36" s="187" t="str">
        <f t="shared" si="2"/>
        <v/>
      </c>
      <c r="AV36" s="151"/>
      <c r="AW36" s="129"/>
      <c r="AX36" s="121"/>
      <c r="AY36" s="121"/>
      <c r="AZ36" s="165">
        <f ca="1">YEAR('wgl tot'!$AZ$9)-YEAR('wgl tot'!E36)</f>
        <v>119</v>
      </c>
      <c r="BA36" s="165">
        <f ca="1">MONTH('wgl tot'!$AZ$9)-MONTH('wgl tot'!E36)</f>
        <v>8</v>
      </c>
      <c r="BB36" s="165">
        <f ca="1">DAY('wgl tot'!$AZ$9)-DAY('wgl tot'!E36)</f>
        <v>14</v>
      </c>
      <c r="BC36" s="130">
        <f>IF(AND('wgl tot'!F36&gt;0,'wgl tot'!F36&lt;17),0,100)</f>
        <v>100</v>
      </c>
      <c r="BD36" s="130">
        <f t="shared" si="3"/>
        <v>0</v>
      </c>
      <c r="BE36" s="148">
        <v>42583</v>
      </c>
      <c r="BF36" s="166">
        <f t="shared" si="17"/>
        <v>0.08</v>
      </c>
      <c r="BG36" s="167">
        <f>+tabellen!$D$51</f>
        <v>6.3E-2</v>
      </c>
      <c r="BH36" s="165">
        <f>IF('wgl tot'!BC36=100,0,'wgl tot'!F36)</f>
        <v>0</v>
      </c>
      <c r="BI36" s="167" t="str">
        <f>IF(OR('wgl tot'!F36="DA",'wgl tot'!F36="DB",'wgl tot'!F36="DBuit",'wgl tot'!F36="DC",'wgl tot'!F36="DCuit",MID('wgl tot'!F36,1,5)="meerh"),"j","n")</f>
        <v>n</v>
      </c>
      <c r="BJ36" s="169" t="e">
        <f>IF('wgl tot'!W36/'wgl tot'!H36&lt;tabellen!$E$6,0,(+'wgl tot'!W36-tabellen!$E$6*'wgl tot'!H36)/12*tabellen!$D$6)</f>
        <v>#DIV/0!</v>
      </c>
      <c r="BK36" s="169" t="e">
        <f>IF('wgl tot'!W36/'wgl tot'!H36&lt;tabellen!$E$7,0,(+'wgl tot'!W36-tabellen!$E$7*'wgl tot'!H36)/12*tabellen!$D$7)</f>
        <v>#DIV/0!</v>
      </c>
      <c r="BL36" s="169">
        <f>'wgl tot'!W36/12*tabellen!$D$8</f>
        <v>0</v>
      </c>
      <c r="BM36" s="170" t="e">
        <f t="shared" si="22"/>
        <v>#DIV/0!</v>
      </c>
      <c r="BN36" s="171" t="e">
        <f>+Y36/12-'wgl tot'!BM36</f>
        <v>#DIV/0!</v>
      </c>
      <c r="BO36" s="171" t="e">
        <f>ROUND(IF('wgl tot'!BN36&gt;tabellen!$H$11,tabellen!$H$11,'wgl tot'!BN36)*tabellen!$C$11,2)</f>
        <v>#DIV/0!</v>
      </c>
      <c r="BP36" s="171" t="e">
        <f>+'wgl tot'!BN36+'wgl tot'!BO36</f>
        <v>#DIV/0!</v>
      </c>
      <c r="BQ36" s="172">
        <f t="shared" si="5"/>
        <v>1900</v>
      </c>
      <c r="BR36" s="172">
        <f t="shared" si="6"/>
        <v>1</v>
      </c>
      <c r="BS36" s="165">
        <f t="shared" si="7"/>
        <v>0</v>
      </c>
      <c r="BT36" s="148">
        <f t="shared" si="15"/>
        <v>22462</v>
      </c>
      <c r="BU36" s="148">
        <f t="shared" ca="1" si="16"/>
        <v>43722.739781944445</v>
      </c>
      <c r="BV36" s="130"/>
      <c r="BW36" s="148"/>
      <c r="BX36" s="130"/>
      <c r="BY36" s="168"/>
      <c r="BZ36" s="168"/>
      <c r="CA36" s="168"/>
      <c r="CB36" s="168"/>
      <c r="CC36" s="168"/>
      <c r="CD36" s="168"/>
      <c r="CE36" s="121"/>
      <c r="CF36" s="121"/>
    </row>
    <row r="37" spans="1:84" s="132" customFormat="1" ht="12" customHeight="1" x14ac:dyDescent="0.2">
      <c r="A37" s="121"/>
      <c r="B37" s="122"/>
      <c r="C37" s="151"/>
      <c r="D37" s="157"/>
      <c r="E37" s="158"/>
      <c r="F37" s="159"/>
      <c r="G37" s="159"/>
      <c r="H37" s="160"/>
      <c r="I37" s="159"/>
      <c r="J37" s="161"/>
      <c r="K37" s="181">
        <f>IF(F37="",0,(VLOOKUP('wgl tot'!F37,saltab2019,'wgl tot'!G37+1,FALSE)))</f>
        <v>0</v>
      </c>
      <c r="L37" s="163">
        <f t="shared" si="0"/>
        <v>0</v>
      </c>
      <c r="M37" s="151"/>
      <c r="N37" s="181">
        <f>ROUND(IF(('wgl tot'!L37+'wgl tot'!P37)*BF37&lt;'wgl tot'!H37*tabellen!$D$50,'wgl tot'!H37*tabellen!$D$50,('wgl tot'!L37+'wgl tot'!P37)*BF37),2)</f>
        <v>0</v>
      </c>
      <c r="O37" s="181">
        <f>ROUND(+('wgl tot'!L37+'wgl tot'!P37)*BG37,2)</f>
        <v>0</v>
      </c>
      <c r="P37" s="181">
        <f>ROUND(IF(I37="j",VLOOKUP(BD37,uitlooptoeslag,2,FALSE))*IF('wgl tot'!H37&gt;1,1,'wgl tot'!H37),2)</f>
        <v>0</v>
      </c>
      <c r="Q37" s="181">
        <f>ROUND(IF(BI37="j",tabellen!$D$59*IF('wgl tot'!H37&gt;1,1,'wgl tot'!H37),0),2)</f>
        <v>0</v>
      </c>
      <c r="R37" s="181">
        <f>IF(AND(F37&gt;0,F37&lt;17),tabellen!$C$41*'wgl tot'!H37,0)</f>
        <v>0</v>
      </c>
      <c r="S37" s="181">
        <f>VLOOKUP(BH37,eindejaarsuitkering_OOP,2,TRUE)*'wgl tot'!H37/12</f>
        <v>0</v>
      </c>
      <c r="T37" s="181">
        <f>ROUND(H37*tabellen!$D$57,2)</f>
        <v>0</v>
      </c>
      <c r="U37" s="181">
        <f>ROUND(H37*tabellen!C$45,2)</f>
        <v>0</v>
      </c>
      <c r="V37" s="181">
        <f>H37*(IF(F37="L10",42%*VLOOKUP(tabellen!L$45,saltab2018sept,G37+1,FALSE),IF(F37="L11",42%*VLOOKUP(tabellen!L$46,saltab2018sept,G37+1,FALSE),IF(F37="L12",42%*VLOOKUP(tabellen!L$47,saltab2018sept,G37+1,FALSE),IF(F37="L13",42%*VLOOKUP(tabellen!L$48,saltab2018sept,G37+1,FALSE),0)))))</f>
        <v>0</v>
      </c>
      <c r="W37" s="182">
        <f t="shared" si="9"/>
        <v>0</v>
      </c>
      <c r="X37" s="181">
        <f>('wgl tot'!L37+'wgl tot'!P37)*tabellen!$C$43*12</f>
        <v>0</v>
      </c>
      <c r="Y37" s="163">
        <f t="shared" si="10"/>
        <v>0</v>
      </c>
      <c r="Z37" s="151"/>
      <c r="AA37" s="182">
        <f t="shared" si="18"/>
        <v>0</v>
      </c>
      <c r="AB37" s="217">
        <f>+'wgl tot'!X37/12</f>
        <v>0</v>
      </c>
      <c r="AC37" s="151"/>
      <c r="AD37" s="181">
        <f>IF(F37="",0,(IF('wgl tot'!W37/'wgl tot'!H37&lt;tabellen!$E$6,0,('wgl tot'!W37-tabellen!$E$6*'wgl tot'!H37)/12)*tabellen!$C$6))</f>
        <v>0</v>
      </c>
      <c r="AE37" s="181">
        <f>IF(F37="",0,(IF('wgl tot'!W37/'wgl tot'!H37&lt;tabellen!$E$7,0,(+'wgl tot'!W37-tabellen!$E$7*'wgl tot'!H37)/12)*tabellen!$C$7))</f>
        <v>0</v>
      </c>
      <c r="AF37" s="181">
        <f>'wgl tot'!W37/12*tabellen!$C$8</f>
        <v>0</v>
      </c>
      <c r="AG37" s="181">
        <f>IF(H37=0,0,IF(BN37&gt;tabellen!$G$9/12,tabellen!$G$9/12,BN37)*(tabellen!$C$9+tabellen!$C$10))</f>
        <v>0</v>
      </c>
      <c r="AH37" s="181">
        <f>IF(F37="",0,('wgl tot'!BO37))</f>
        <v>0</v>
      </c>
      <c r="AI37" s="183">
        <f>IF(F37="",0,(IF('wgl tot'!BN37&gt;tabellen!$G$12*'wgl tot'!H37/12,tabellen!$G$12*'wgl tot'!H37/12,'wgl tot'!BN37)*tabellen!$C$12))</f>
        <v>0</v>
      </c>
      <c r="AJ37" s="151"/>
      <c r="AK37" s="183">
        <f>IF(F37="",0,('wgl tot'!BN37*IF(J37=1,tabellen!$C$13,IF(J37=2,tabellen!$C$14,IF(J37=3,tabellen!$C$15,IF(J37=5,tabellen!$C$17,IF(J37=6,tabellen!$C$18,IF(J37=7,tabellen!$C$19,IF(J37=8,tabellen!$C$20,tabellen!$C$16)))))))))</f>
        <v>0</v>
      </c>
      <c r="AL37" s="183">
        <f>IF(F37="",0,('wgl tot'!BN37*tabellen!$C$21))</f>
        <v>0</v>
      </c>
      <c r="AM37" s="237">
        <v>0</v>
      </c>
      <c r="AN37" s="151"/>
      <c r="AO37" s="237">
        <v>0</v>
      </c>
      <c r="AP37" s="151"/>
      <c r="AQ37" s="163">
        <f t="shared" si="19"/>
        <v>0</v>
      </c>
      <c r="AR37" s="163">
        <f t="shared" si="20"/>
        <v>0</v>
      </c>
      <c r="AS37" s="151"/>
      <c r="AT37" s="187" t="str">
        <f t="shared" si="21"/>
        <v/>
      </c>
      <c r="AU37" s="187" t="str">
        <f t="shared" si="2"/>
        <v/>
      </c>
      <c r="AV37" s="151"/>
      <c r="AW37" s="129"/>
      <c r="AX37" s="121"/>
      <c r="AY37" s="121"/>
      <c r="AZ37" s="165">
        <f ca="1">YEAR('wgl tot'!$AZ$9)-YEAR('wgl tot'!E37)</f>
        <v>119</v>
      </c>
      <c r="BA37" s="165">
        <f ca="1">MONTH('wgl tot'!$AZ$9)-MONTH('wgl tot'!E37)</f>
        <v>8</v>
      </c>
      <c r="BB37" s="165">
        <f ca="1">DAY('wgl tot'!$AZ$9)-DAY('wgl tot'!E37)</f>
        <v>14</v>
      </c>
      <c r="BC37" s="130">
        <f>IF(AND('wgl tot'!F37&gt;0,'wgl tot'!F37&lt;17),0,100)</f>
        <v>100</v>
      </c>
      <c r="BD37" s="130">
        <f t="shared" si="3"/>
        <v>0</v>
      </c>
      <c r="BE37" s="148">
        <v>42583</v>
      </c>
      <c r="BF37" s="166">
        <f t="shared" si="17"/>
        <v>0.08</v>
      </c>
      <c r="BG37" s="167">
        <f>+tabellen!$D$51</f>
        <v>6.3E-2</v>
      </c>
      <c r="BH37" s="165">
        <f>IF('wgl tot'!BC37=100,0,'wgl tot'!F37)</f>
        <v>0</v>
      </c>
      <c r="BI37" s="167" t="str">
        <f>IF(OR('wgl tot'!F37="DA",'wgl tot'!F37="DB",'wgl tot'!F37="DBuit",'wgl tot'!F37="DC",'wgl tot'!F37="DCuit",MID('wgl tot'!F37,1,5)="meerh"),"j","n")</f>
        <v>n</v>
      </c>
      <c r="BJ37" s="169" t="e">
        <f>IF('wgl tot'!W37/'wgl tot'!H37&lt;tabellen!$E$6,0,(+'wgl tot'!W37-tabellen!$E$6*'wgl tot'!H37)/12*tabellen!$D$6)</f>
        <v>#DIV/0!</v>
      </c>
      <c r="BK37" s="169" t="e">
        <f>IF('wgl tot'!W37/'wgl tot'!H37&lt;tabellen!$E$7,0,(+'wgl tot'!W37-tabellen!$E$7*'wgl tot'!H37)/12*tabellen!$D$7)</f>
        <v>#DIV/0!</v>
      </c>
      <c r="BL37" s="169">
        <f>'wgl tot'!W37/12*tabellen!$D$8</f>
        <v>0</v>
      </c>
      <c r="BM37" s="170" t="e">
        <f t="shared" si="22"/>
        <v>#DIV/0!</v>
      </c>
      <c r="BN37" s="171" t="e">
        <f>+Y37/12-'wgl tot'!BM37</f>
        <v>#DIV/0!</v>
      </c>
      <c r="BO37" s="171" t="e">
        <f>ROUND(IF('wgl tot'!BN37&gt;tabellen!$H$11,tabellen!$H$11,'wgl tot'!BN37)*tabellen!$C$11,2)</f>
        <v>#DIV/0!</v>
      </c>
      <c r="BP37" s="171" t="e">
        <f>+'wgl tot'!BN37+'wgl tot'!BO37</f>
        <v>#DIV/0!</v>
      </c>
      <c r="BQ37" s="172">
        <f t="shared" si="5"/>
        <v>1900</v>
      </c>
      <c r="BR37" s="172">
        <f t="shared" si="6"/>
        <v>1</v>
      </c>
      <c r="BS37" s="165">
        <f t="shared" si="7"/>
        <v>0</v>
      </c>
      <c r="BT37" s="148">
        <f t="shared" si="15"/>
        <v>22462</v>
      </c>
      <c r="BU37" s="148">
        <f t="shared" ca="1" si="16"/>
        <v>43722.739781944445</v>
      </c>
      <c r="BV37" s="130"/>
      <c r="BW37" s="148"/>
      <c r="BX37" s="130"/>
      <c r="BY37" s="168"/>
      <c r="BZ37" s="168"/>
      <c r="CA37" s="168"/>
      <c r="CB37" s="168"/>
      <c r="CC37" s="168"/>
      <c r="CD37" s="168"/>
      <c r="CE37" s="121"/>
      <c r="CF37" s="121"/>
    </row>
    <row r="38" spans="1:84" s="132" customFormat="1" ht="12" customHeight="1" x14ac:dyDescent="0.2">
      <c r="A38" s="121"/>
      <c r="B38" s="122"/>
      <c r="C38" s="151"/>
      <c r="D38" s="157"/>
      <c r="E38" s="158"/>
      <c r="F38" s="159"/>
      <c r="G38" s="159"/>
      <c r="H38" s="160"/>
      <c r="I38" s="159"/>
      <c r="J38" s="161"/>
      <c r="K38" s="181">
        <f>IF(F38="",0,(VLOOKUP('wgl tot'!F38,saltab2019,'wgl tot'!G38+1,FALSE)))</f>
        <v>0</v>
      </c>
      <c r="L38" s="163">
        <f t="shared" si="0"/>
        <v>0</v>
      </c>
      <c r="M38" s="151"/>
      <c r="N38" s="181">
        <f>ROUND(IF(('wgl tot'!L38+'wgl tot'!P38)*BF38&lt;'wgl tot'!H38*tabellen!$D$50,'wgl tot'!H38*tabellen!$D$50,('wgl tot'!L38+'wgl tot'!P38)*BF38),2)</f>
        <v>0</v>
      </c>
      <c r="O38" s="181">
        <f>ROUND(+('wgl tot'!L38+'wgl tot'!P38)*BG38,2)</f>
        <v>0</v>
      </c>
      <c r="P38" s="181">
        <f>ROUND(IF(I38="j",VLOOKUP(BD38,uitlooptoeslag,2,FALSE))*IF('wgl tot'!H38&gt;1,1,'wgl tot'!H38),2)</f>
        <v>0</v>
      </c>
      <c r="Q38" s="181">
        <f>ROUND(IF(BI38="j",tabellen!$D$59*IF('wgl tot'!H38&gt;1,1,'wgl tot'!H38),0),2)</f>
        <v>0</v>
      </c>
      <c r="R38" s="181">
        <f>IF(AND(F38&gt;0,F38&lt;17),tabellen!$C$41*'wgl tot'!H38,0)</f>
        <v>0</v>
      </c>
      <c r="S38" s="181">
        <f>VLOOKUP(BH38,eindejaarsuitkering_OOP,2,TRUE)*'wgl tot'!H38/12</f>
        <v>0</v>
      </c>
      <c r="T38" s="181">
        <f>ROUND(H38*tabellen!$D$57,2)</f>
        <v>0</v>
      </c>
      <c r="U38" s="181">
        <f>ROUND(H38*tabellen!C$45,2)</f>
        <v>0</v>
      </c>
      <c r="V38" s="181">
        <f>H38*(IF(F38="L10",42%*VLOOKUP(tabellen!L$45,saltab2018sept,G38+1,FALSE),IF(F38="L11",42%*VLOOKUP(tabellen!L$46,saltab2018sept,G38+1,FALSE),IF(F38="L12",42%*VLOOKUP(tabellen!L$47,saltab2018sept,G38+1,FALSE),IF(F38="L13",42%*VLOOKUP(tabellen!L$48,saltab2018sept,G38+1,FALSE),0)))))</f>
        <v>0</v>
      </c>
      <c r="W38" s="182">
        <f t="shared" si="9"/>
        <v>0</v>
      </c>
      <c r="X38" s="181">
        <f>('wgl tot'!L38+'wgl tot'!P38)*tabellen!$C$43*12</f>
        <v>0</v>
      </c>
      <c r="Y38" s="163">
        <f t="shared" si="10"/>
        <v>0</v>
      </c>
      <c r="Z38" s="151"/>
      <c r="AA38" s="182">
        <f t="shared" si="18"/>
        <v>0</v>
      </c>
      <c r="AB38" s="217">
        <f>+'wgl tot'!X38/12</f>
        <v>0</v>
      </c>
      <c r="AC38" s="151"/>
      <c r="AD38" s="181">
        <f>IF(F38="",0,(IF('wgl tot'!W38/'wgl tot'!H38&lt;tabellen!$E$6,0,('wgl tot'!W38-tabellen!$E$6*'wgl tot'!H38)/12)*tabellen!$C$6))</f>
        <v>0</v>
      </c>
      <c r="AE38" s="181">
        <f>IF(F38="",0,(IF('wgl tot'!W38/'wgl tot'!H38&lt;tabellen!$E$7,0,(+'wgl tot'!W38-tabellen!$E$7*'wgl tot'!H38)/12)*tabellen!$C$7))</f>
        <v>0</v>
      </c>
      <c r="AF38" s="181">
        <f>'wgl tot'!W38/12*tabellen!$C$8</f>
        <v>0</v>
      </c>
      <c r="AG38" s="181">
        <f>IF(H38=0,0,IF(BN38&gt;tabellen!$G$9/12,tabellen!$G$9/12,BN38)*(tabellen!$C$9+tabellen!$C$10))</f>
        <v>0</v>
      </c>
      <c r="AH38" s="181">
        <f>IF(F38="",0,('wgl tot'!BO38))</f>
        <v>0</v>
      </c>
      <c r="AI38" s="183">
        <f>IF(F38="",0,(IF('wgl tot'!BN38&gt;tabellen!$G$12*'wgl tot'!H38/12,tabellen!$G$12*'wgl tot'!H38/12,'wgl tot'!BN38)*tabellen!$C$12))</f>
        <v>0</v>
      </c>
      <c r="AJ38" s="151"/>
      <c r="AK38" s="183">
        <f>IF(F38="",0,('wgl tot'!BN38*IF(J38=1,tabellen!$C$13,IF(J38=2,tabellen!$C$14,IF(J38=3,tabellen!$C$15,IF(J38=5,tabellen!$C$17,IF(J38=6,tabellen!$C$18,IF(J38=7,tabellen!$C$19,IF(J38=8,tabellen!$C$20,tabellen!$C$16)))))))))</f>
        <v>0</v>
      </c>
      <c r="AL38" s="183">
        <f>IF(F38="",0,('wgl tot'!BN38*tabellen!$C$21))</f>
        <v>0</v>
      </c>
      <c r="AM38" s="237">
        <v>0</v>
      </c>
      <c r="AN38" s="151"/>
      <c r="AO38" s="237">
        <v>0</v>
      </c>
      <c r="AP38" s="151"/>
      <c r="AQ38" s="163">
        <f t="shared" si="19"/>
        <v>0</v>
      </c>
      <c r="AR38" s="163">
        <f t="shared" si="20"/>
        <v>0</v>
      </c>
      <c r="AS38" s="151"/>
      <c r="AT38" s="187" t="str">
        <f t="shared" si="21"/>
        <v/>
      </c>
      <c r="AU38" s="187" t="str">
        <f t="shared" si="2"/>
        <v/>
      </c>
      <c r="AV38" s="151"/>
      <c r="AW38" s="129"/>
      <c r="AX38" s="121"/>
      <c r="AY38" s="121"/>
      <c r="AZ38" s="165">
        <f ca="1">YEAR('wgl tot'!$AZ$9)-YEAR('wgl tot'!E38)</f>
        <v>119</v>
      </c>
      <c r="BA38" s="165">
        <f ca="1">MONTH('wgl tot'!$AZ$9)-MONTH('wgl tot'!E38)</f>
        <v>8</v>
      </c>
      <c r="BB38" s="165">
        <f ca="1">DAY('wgl tot'!$AZ$9)-DAY('wgl tot'!E38)</f>
        <v>14</v>
      </c>
      <c r="BC38" s="130">
        <f>IF(AND('wgl tot'!F38&gt;0,'wgl tot'!F38&lt;17),0,100)</f>
        <v>100</v>
      </c>
      <c r="BD38" s="130">
        <f t="shared" si="3"/>
        <v>0</v>
      </c>
      <c r="BE38" s="148">
        <v>42583</v>
      </c>
      <c r="BF38" s="166">
        <f t="shared" si="17"/>
        <v>0.08</v>
      </c>
      <c r="BG38" s="167">
        <f>+tabellen!$D$51</f>
        <v>6.3E-2</v>
      </c>
      <c r="BH38" s="165">
        <f>IF('wgl tot'!BC38=100,0,'wgl tot'!F38)</f>
        <v>0</v>
      </c>
      <c r="BI38" s="167" t="str">
        <f>IF(OR('wgl tot'!F38="DA",'wgl tot'!F38="DB",'wgl tot'!F38="DBuit",'wgl tot'!F38="DC",'wgl tot'!F38="DCuit",MID('wgl tot'!F38,1,5)="meerh"),"j","n")</f>
        <v>n</v>
      </c>
      <c r="BJ38" s="169" t="e">
        <f>IF('wgl tot'!W38/'wgl tot'!H38&lt;tabellen!$E$6,0,(+'wgl tot'!W38-tabellen!$E$6*'wgl tot'!H38)/12*tabellen!$D$6)</f>
        <v>#DIV/0!</v>
      </c>
      <c r="BK38" s="169" t="e">
        <f>IF('wgl tot'!W38/'wgl tot'!H38&lt;tabellen!$E$7,0,(+'wgl tot'!W38-tabellen!$E$7*'wgl tot'!H38)/12*tabellen!$D$7)</f>
        <v>#DIV/0!</v>
      </c>
      <c r="BL38" s="169">
        <f>'wgl tot'!W38/12*tabellen!$D$8</f>
        <v>0</v>
      </c>
      <c r="BM38" s="170" t="e">
        <f t="shared" si="22"/>
        <v>#DIV/0!</v>
      </c>
      <c r="BN38" s="171" t="e">
        <f>+Y38/12-'wgl tot'!BM38</f>
        <v>#DIV/0!</v>
      </c>
      <c r="BO38" s="171" t="e">
        <f>ROUND(IF('wgl tot'!BN38&gt;tabellen!$H$11,tabellen!$H$11,'wgl tot'!BN38)*tabellen!$C$11,2)</f>
        <v>#DIV/0!</v>
      </c>
      <c r="BP38" s="171" t="e">
        <f>+'wgl tot'!BN38+'wgl tot'!BO38</f>
        <v>#DIV/0!</v>
      </c>
      <c r="BQ38" s="172">
        <f t="shared" si="5"/>
        <v>1900</v>
      </c>
      <c r="BR38" s="172">
        <f t="shared" si="6"/>
        <v>1</v>
      </c>
      <c r="BS38" s="165">
        <f t="shared" si="7"/>
        <v>0</v>
      </c>
      <c r="BT38" s="148">
        <f t="shared" si="15"/>
        <v>22462</v>
      </c>
      <c r="BU38" s="148">
        <f t="shared" ca="1" si="16"/>
        <v>43722.739781944445</v>
      </c>
      <c r="BV38" s="130"/>
      <c r="BW38" s="148"/>
      <c r="BX38" s="130"/>
      <c r="BY38" s="168"/>
      <c r="BZ38" s="168"/>
      <c r="CA38" s="168"/>
      <c r="CB38" s="168"/>
      <c r="CC38" s="168"/>
      <c r="CD38" s="168"/>
      <c r="CE38" s="121"/>
      <c r="CF38" s="121"/>
    </row>
    <row r="39" spans="1:84" s="132" customFormat="1" ht="12" customHeight="1" x14ac:dyDescent="0.2">
      <c r="A39" s="121"/>
      <c r="B39" s="122"/>
      <c r="C39" s="151"/>
      <c r="D39" s="157"/>
      <c r="E39" s="158"/>
      <c r="F39" s="159"/>
      <c r="G39" s="159"/>
      <c r="H39" s="160"/>
      <c r="I39" s="159"/>
      <c r="J39" s="161"/>
      <c r="K39" s="181">
        <f>IF(F39="",0,(VLOOKUP('wgl tot'!F39,saltab2019,'wgl tot'!G39+1,FALSE)))</f>
        <v>0</v>
      </c>
      <c r="L39" s="163">
        <f t="shared" si="0"/>
        <v>0</v>
      </c>
      <c r="M39" s="151"/>
      <c r="N39" s="181">
        <f>ROUND(IF(('wgl tot'!L39+'wgl tot'!P39)*BF39&lt;'wgl tot'!H39*tabellen!$D$50,'wgl tot'!H39*tabellen!$D$50,('wgl tot'!L39+'wgl tot'!P39)*BF39),2)</f>
        <v>0</v>
      </c>
      <c r="O39" s="181">
        <f>ROUND(+('wgl tot'!L39+'wgl tot'!P39)*BG39,2)</f>
        <v>0</v>
      </c>
      <c r="P39" s="181">
        <f>ROUND(IF(I39="j",VLOOKUP(BD39,uitlooptoeslag,2,FALSE))*IF('wgl tot'!H39&gt;1,1,'wgl tot'!H39),2)</f>
        <v>0</v>
      </c>
      <c r="Q39" s="181">
        <f>ROUND(IF(BI39="j",tabellen!$D$59*IF('wgl tot'!H39&gt;1,1,'wgl tot'!H39),0),2)</f>
        <v>0</v>
      </c>
      <c r="R39" s="181">
        <f>IF(AND(F39&gt;0,F39&lt;17),tabellen!$C$41*'wgl tot'!H39,0)</f>
        <v>0</v>
      </c>
      <c r="S39" s="181">
        <f>VLOOKUP(BH39,eindejaarsuitkering_OOP,2,TRUE)*'wgl tot'!H39/12</f>
        <v>0</v>
      </c>
      <c r="T39" s="181">
        <f>ROUND(H39*tabellen!$D$57,2)</f>
        <v>0</v>
      </c>
      <c r="U39" s="181">
        <f>ROUND(H39*tabellen!C$45,2)</f>
        <v>0</v>
      </c>
      <c r="V39" s="181">
        <f>H39*(IF(F39="L10",42%*VLOOKUP(tabellen!L$45,saltab2018sept,G39+1,FALSE),IF(F39="L11",42%*VLOOKUP(tabellen!L$46,saltab2018sept,G39+1,FALSE),IF(F39="L12",42%*VLOOKUP(tabellen!L$47,saltab2018sept,G39+1,FALSE),IF(F39="L13",42%*VLOOKUP(tabellen!L$48,saltab2018sept,G39+1,FALSE),0)))))</f>
        <v>0</v>
      </c>
      <c r="W39" s="182">
        <f t="shared" si="9"/>
        <v>0</v>
      </c>
      <c r="X39" s="181">
        <f>('wgl tot'!L39+'wgl tot'!P39)*tabellen!$C$43*12</f>
        <v>0</v>
      </c>
      <c r="Y39" s="163">
        <f t="shared" si="10"/>
        <v>0</v>
      </c>
      <c r="Z39" s="151"/>
      <c r="AA39" s="182">
        <f t="shared" si="18"/>
        <v>0</v>
      </c>
      <c r="AB39" s="217">
        <f>+'wgl tot'!X39/12</f>
        <v>0</v>
      </c>
      <c r="AC39" s="151"/>
      <c r="AD39" s="181">
        <f>IF(F39="",0,(IF('wgl tot'!W39/'wgl tot'!H39&lt;tabellen!$E$6,0,('wgl tot'!W39-tabellen!$E$6*'wgl tot'!H39)/12)*tabellen!$C$6))</f>
        <v>0</v>
      </c>
      <c r="AE39" s="181">
        <f>IF(F39="",0,(IF('wgl tot'!W39/'wgl tot'!H39&lt;tabellen!$E$7,0,(+'wgl tot'!W39-tabellen!$E$7*'wgl tot'!H39)/12)*tabellen!$C$7))</f>
        <v>0</v>
      </c>
      <c r="AF39" s="181">
        <f>'wgl tot'!W39/12*tabellen!$C$8</f>
        <v>0</v>
      </c>
      <c r="AG39" s="181">
        <f>IF(H39=0,0,IF(BN39&gt;tabellen!$G$9/12,tabellen!$G$9/12,BN39)*(tabellen!$C$9+tabellen!$C$10))</f>
        <v>0</v>
      </c>
      <c r="AH39" s="181">
        <f>IF(F39="",0,('wgl tot'!BO39))</f>
        <v>0</v>
      </c>
      <c r="AI39" s="183">
        <f>IF(F39="",0,(IF('wgl tot'!BN39&gt;tabellen!$G$12*'wgl tot'!H39/12,tabellen!$G$12*'wgl tot'!H39/12,'wgl tot'!BN39)*tabellen!$C$12))</f>
        <v>0</v>
      </c>
      <c r="AJ39" s="151"/>
      <c r="AK39" s="183">
        <f>IF(F39="",0,('wgl tot'!BN39*IF(J39=1,tabellen!$C$13,IF(J39=2,tabellen!$C$14,IF(J39=3,tabellen!$C$15,IF(J39=5,tabellen!$C$17,IF(J39=6,tabellen!$C$18,IF(J39=7,tabellen!$C$19,IF(J39=8,tabellen!$C$20,tabellen!$C$16)))))))))</f>
        <v>0</v>
      </c>
      <c r="AL39" s="183">
        <f>IF(F39="",0,('wgl tot'!BN39*tabellen!$C$21))</f>
        <v>0</v>
      </c>
      <c r="AM39" s="237">
        <v>0</v>
      </c>
      <c r="AN39" s="151"/>
      <c r="AO39" s="237">
        <v>0</v>
      </c>
      <c r="AP39" s="151"/>
      <c r="AQ39" s="163">
        <f t="shared" si="19"/>
        <v>0</v>
      </c>
      <c r="AR39" s="163">
        <f t="shared" si="20"/>
        <v>0</v>
      </c>
      <c r="AS39" s="151"/>
      <c r="AT39" s="187" t="str">
        <f t="shared" si="21"/>
        <v/>
      </c>
      <c r="AU39" s="187" t="str">
        <f t="shared" si="2"/>
        <v/>
      </c>
      <c r="AV39" s="151"/>
      <c r="AW39" s="129"/>
      <c r="AX39" s="121"/>
      <c r="AY39" s="121"/>
      <c r="AZ39" s="165">
        <f ca="1">YEAR('wgl tot'!$AZ$9)-YEAR('wgl tot'!E39)</f>
        <v>119</v>
      </c>
      <c r="BA39" s="165">
        <f ca="1">MONTH('wgl tot'!$AZ$9)-MONTH('wgl tot'!E39)</f>
        <v>8</v>
      </c>
      <c r="BB39" s="165">
        <f ca="1">DAY('wgl tot'!$AZ$9)-DAY('wgl tot'!E39)</f>
        <v>14</v>
      </c>
      <c r="BC39" s="130">
        <f>IF(AND('wgl tot'!F39&gt;0,'wgl tot'!F39&lt;17),0,100)</f>
        <v>100</v>
      </c>
      <c r="BD39" s="130">
        <f t="shared" si="3"/>
        <v>0</v>
      </c>
      <c r="BE39" s="148">
        <v>42583</v>
      </c>
      <c r="BF39" s="166">
        <f t="shared" si="17"/>
        <v>0.08</v>
      </c>
      <c r="BG39" s="167">
        <f>+tabellen!$D$51</f>
        <v>6.3E-2</v>
      </c>
      <c r="BH39" s="165">
        <f>IF('wgl tot'!BC39=100,0,'wgl tot'!F39)</f>
        <v>0</v>
      </c>
      <c r="BI39" s="167" t="str">
        <f>IF(OR('wgl tot'!F39="DA",'wgl tot'!F39="DB",'wgl tot'!F39="DBuit",'wgl tot'!F39="DC",'wgl tot'!F39="DCuit",MID('wgl tot'!F39,1,5)="meerh"),"j","n")</f>
        <v>n</v>
      </c>
      <c r="BJ39" s="169" t="e">
        <f>IF('wgl tot'!W39/'wgl tot'!H39&lt;tabellen!$E$6,0,(+'wgl tot'!W39-tabellen!$E$6*'wgl tot'!H39)/12*tabellen!$D$6)</f>
        <v>#DIV/0!</v>
      </c>
      <c r="BK39" s="169" t="e">
        <f>IF('wgl tot'!W39/'wgl tot'!H39&lt;tabellen!$E$7,0,(+'wgl tot'!W39-tabellen!$E$7*'wgl tot'!H39)/12*tabellen!$D$7)</f>
        <v>#DIV/0!</v>
      </c>
      <c r="BL39" s="169">
        <f>'wgl tot'!W39/12*tabellen!$D$8</f>
        <v>0</v>
      </c>
      <c r="BM39" s="170" t="e">
        <f t="shared" si="22"/>
        <v>#DIV/0!</v>
      </c>
      <c r="BN39" s="171" t="e">
        <f>+Y39/12-'wgl tot'!BM39</f>
        <v>#DIV/0!</v>
      </c>
      <c r="BO39" s="171" t="e">
        <f>ROUND(IF('wgl tot'!BN39&gt;tabellen!$H$11,tabellen!$H$11,'wgl tot'!BN39)*tabellen!$C$11,2)</f>
        <v>#DIV/0!</v>
      </c>
      <c r="BP39" s="171" t="e">
        <f>+'wgl tot'!BN39+'wgl tot'!BO39</f>
        <v>#DIV/0!</v>
      </c>
      <c r="BQ39" s="172">
        <f t="shared" si="5"/>
        <v>1900</v>
      </c>
      <c r="BR39" s="172">
        <f t="shared" si="6"/>
        <v>1</v>
      </c>
      <c r="BS39" s="165">
        <f t="shared" si="7"/>
        <v>0</v>
      </c>
      <c r="BT39" s="148">
        <f t="shared" si="15"/>
        <v>22462</v>
      </c>
      <c r="BU39" s="148">
        <f t="shared" ca="1" si="16"/>
        <v>43722.739781944445</v>
      </c>
      <c r="BV39" s="130"/>
      <c r="BW39" s="148"/>
      <c r="BX39" s="130"/>
      <c r="BY39" s="168"/>
      <c r="BZ39" s="168"/>
      <c r="CA39" s="168"/>
      <c r="CB39" s="168"/>
      <c r="CC39" s="168"/>
      <c r="CD39" s="168"/>
      <c r="CE39" s="121"/>
      <c r="CF39" s="121"/>
    </row>
    <row r="40" spans="1:84" s="132" customFormat="1" ht="12" customHeight="1" x14ac:dyDescent="0.2">
      <c r="A40" s="121"/>
      <c r="B40" s="122"/>
      <c r="C40" s="151"/>
      <c r="D40" s="157"/>
      <c r="E40" s="158"/>
      <c r="F40" s="159"/>
      <c r="G40" s="159"/>
      <c r="H40" s="160"/>
      <c r="I40" s="159"/>
      <c r="J40" s="161"/>
      <c r="K40" s="181">
        <f>IF(F40="",0,(VLOOKUP('wgl tot'!F40,saltab2019,'wgl tot'!G40+1,FALSE)))</f>
        <v>0</v>
      </c>
      <c r="L40" s="163">
        <f t="shared" si="0"/>
        <v>0</v>
      </c>
      <c r="M40" s="151"/>
      <c r="N40" s="181">
        <f>ROUND(IF(('wgl tot'!L40+'wgl tot'!P40)*BF40&lt;'wgl tot'!H40*tabellen!$D$50,'wgl tot'!H40*tabellen!$D$50,('wgl tot'!L40+'wgl tot'!P40)*BF40),2)</f>
        <v>0</v>
      </c>
      <c r="O40" s="181">
        <f>ROUND(+('wgl tot'!L40+'wgl tot'!P40)*BG40,2)</f>
        <v>0</v>
      </c>
      <c r="P40" s="181">
        <f>ROUND(IF(I40="j",VLOOKUP(BD40,uitlooptoeslag,2,FALSE))*IF('wgl tot'!H40&gt;1,1,'wgl tot'!H40),2)</f>
        <v>0</v>
      </c>
      <c r="Q40" s="181">
        <f>ROUND(IF(BI40="j",tabellen!$D$59*IF('wgl tot'!H40&gt;1,1,'wgl tot'!H40),0),2)</f>
        <v>0</v>
      </c>
      <c r="R40" s="181">
        <f>IF(AND(F40&gt;0,F40&lt;17),tabellen!$C$41*'wgl tot'!H40,0)</f>
        <v>0</v>
      </c>
      <c r="S40" s="181">
        <f>VLOOKUP(BH40,eindejaarsuitkering_OOP,2,TRUE)*'wgl tot'!H40/12</f>
        <v>0</v>
      </c>
      <c r="T40" s="181">
        <f>ROUND(H40*tabellen!$D$57,2)</f>
        <v>0</v>
      </c>
      <c r="U40" s="181">
        <f>ROUND(H40*tabellen!C$45,2)</f>
        <v>0</v>
      </c>
      <c r="V40" s="181">
        <f>H40*(IF(F40="L10",42%*VLOOKUP(tabellen!L$45,saltab2018sept,G40+1,FALSE),IF(F40="L11",42%*VLOOKUP(tabellen!L$46,saltab2018sept,G40+1,FALSE),IF(F40="L12",42%*VLOOKUP(tabellen!L$47,saltab2018sept,G40+1,FALSE),IF(F40="L13",42%*VLOOKUP(tabellen!L$48,saltab2018sept,G40+1,FALSE),0)))))</f>
        <v>0</v>
      </c>
      <c r="W40" s="182">
        <f t="shared" si="9"/>
        <v>0</v>
      </c>
      <c r="X40" s="181">
        <f>('wgl tot'!L40+'wgl tot'!P40)*tabellen!$C$43*12</f>
        <v>0</v>
      </c>
      <c r="Y40" s="163">
        <f t="shared" si="10"/>
        <v>0</v>
      </c>
      <c r="Z40" s="151"/>
      <c r="AA40" s="182">
        <f t="shared" si="18"/>
        <v>0</v>
      </c>
      <c r="AB40" s="217">
        <f>+'wgl tot'!X40/12</f>
        <v>0</v>
      </c>
      <c r="AC40" s="151"/>
      <c r="AD40" s="181">
        <f>IF(F40="",0,(IF('wgl tot'!W40/'wgl tot'!H40&lt;tabellen!$E$6,0,('wgl tot'!W40-tabellen!$E$6*'wgl tot'!H40)/12)*tabellen!$C$6))</f>
        <v>0</v>
      </c>
      <c r="AE40" s="181">
        <f>IF(F40="",0,(IF('wgl tot'!W40/'wgl tot'!H40&lt;tabellen!$E$7,0,(+'wgl tot'!W40-tabellen!$E$7*'wgl tot'!H40)/12)*tabellen!$C$7))</f>
        <v>0</v>
      </c>
      <c r="AF40" s="181">
        <f>'wgl tot'!W40/12*tabellen!$C$8</f>
        <v>0</v>
      </c>
      <c r="AG40" s="181">
        <f>IF(H40=0,0,IF(BN40&gt;tabellen!$G$9/12,tabellen!$G$9/12,BN40)*(tabellen!$C$9+tabellen!$C$10))</f>
        <v>0</v>
      </c>
      <c r="AH40" s="181">
        <f>IF(F40="",0,('wgl tot'!BO40))</f>
        <v>0</v>
      </c>
      <c r="AI40" s="183">
        <f>IF(F40="",0,(IF('wgl tot'!BN40&gt;tabellen!$G$12*'wgl tot'!H40/12,tabellen!$G$12*'wgl tot'!H40/12,'wgl tot'!BN40)*tabellen!$C$12))</f>
        <v>0</v>
      </c>
      <c r="AJ40" s="151"/>
      <c r="AK40" s="183">
        <f>IF(F40="",0,('wgl tot'!BN40*IF(J40=1,tabellen!$C$13,IF(J40=2,tabellen!$C$14,IF(J40=3,tabellen!$C$15,IF(J40=5,tabellen!$C$17,IF(J40=6,tabellen!$C$18,IF(J40=7,tabellen!$C$19,IF(J40=8,tabellen!$C$20,tabellen!$C$16)))))))))</f>
        <v>0</v>
      </c>
      <c r="AL40" s="183">
        <f>IF(F40="",0,('wgl tot'!BN40*tabellen!$C$21))</f>
        <v>0</v>
      </c>
      <c r="AM40" s="237">
        <v>0</v>
      </c>
      <c r="AN40" s="151"/>
      <c r="AO40" s="237">
        <v>0</v>
      </c>
      <c r="AP40" s="151"/>
      <c r="AQ40" s="163">
        <f t="shared" si="19"/>
        <v>0</v>
      </c>
      <c r="AR40" s="163">
        <f t="shared" si="20"/>
        <v>0</v>
      </c>
      <c r="AS40" s="151"/>
      <c r="AT40" s="187" t="str">
        <f t="shared" si="21"/>
        <v/>
      </c>
      <c r="AU40" s="187" t="str">
        <f t="shared" si="2"/>
        <v/>
      </c>
      <c r="AV40" s="151"/>
      <c r="AW40" s="129"/>
      <c r="AX40" s="121"/>
      <c r="AY40" s="121"/>
      <c r="AZ40" s="165">
        <f ca="1">YEAR('wgl tot'!$AZ$9)-YEAR('wgl tot'!E40)</f>
        <v>119</v>
      </c>
      <c r="BA40" s="165">
        <f ca="1">MONTH('wgl tot'!$AZ$9)-MONTH('wgl tot'!E40)</f>
        <v>8</v>
      </c>
      <c r="BB40" s="165">
        <f ca="1">DAY('wgl tot'!$AZ$9)-DAY('wgl tot'!E40)</f>
        <v>14</v>
      </c>
      <c r="BC40" s="130">
        <f>IF(AND('wgl tot'!F40&gt;0,'wgl tot'!F40&lt;17),0,100)</f>
        <v>100</v>
      </c>
      <c r="BD40" s="130">
        <f t="shared" si="3"/>
        <v>0</v>
      </c>
      <c r="BE40" s="148">
        <v>42583</v>
      </c>
      <c r="BF40" s="166">
        <f t="shared" si="17"/>
        <v>0.08</v>
      </c>
      <c r="BG40" s="167">
        <f>+tabellen!$D$51</f>
        <v>6.3E-2</v>
      </c>
      <c r="BH40" s="165">
        <f>IF('wgl tot'!BC40=100,0,'wgl tot'!F40)</f>
        <v>0</v>
      </c>
      <c r="BI40" s="167" t="str">
        <f>IF(OR('wgl tot'!F40="DA",'wgl tot'!F40="DB",'wgl tot'!F40="DBuit",'wgl tot'!F40="DC",'wgl tot'!F40="DCuit",MID('wgl tot'!F40,1,5)="meerh"),"j","n")</f>
        <v>n</v>
      </c>
      <c r="BJ40" s="169" t="e">
        <f>IF('wgl tot'!W40/'wgl tot'!H40&lt;tabellen!$E$6,0,(+'wgl tot'!W40-tabellen!$E$6*'wgl tot'!H40)/12*tabellen!$D$6)</f>
        <v>#DIV/0!</v>
      </c>
      <c r="BK40" s="169" t="e">
        <f>IF('wgl tot'!W40/'wgl tot'!H40&lt;tabellen!$E$7,0,(+'wgl tot'!W40-tabellen!$E$7*'wgl tot'!H40)/12*tabellen!$D$7)</f>
        <v>#DIV/0!</v>
      </c>
      <c r="BL40" s="169">
        <f>'wgl tot'!W40/12*tabellen!$D$8</f>
        <v>0</v>
      </c>
      <c r="BM40" s="170" t="e">
        <f t="shared" si="22"/>
        <v>#DIV/0!</v>
      </c>
      <c r="BN40" s="171" t="e">
        <f>+Y40/12-'wgl tot'!BM40</f>
        <v>#DIV/0!</v>
      </c>
      <c r="BO40" s="171" t="e">
        <f>ROUND(IF('wgl tot'!BN40&gt;tabellen!$H$11,tabellen!$H$11,'wgl tot'!BN40)*tabellen!$C$11,2)</f>
        <v>#DIV/0!</v>
      </c>
      <c r="BP40" s="171" t="e">
        <f>+'wgl tot'!BN40+'wgl tot'!BO40</f>
        <v>#DIV/0!</v>
      </c>
      <c r="BQ40" s="172">
        <f t="shared" si="5"/>
        <v>1900</v>
      </c>
      <c r="BR40" s="172">
        <f t="shared" si="6"/>
        <v>1</v>
      </c>
      <c r="BS40" s="165">
        <f t="shared" si="7"/>
        <v>0</v>
      </c>
      <c r="BT40" s="148">
        <f t="shared" si="15"/>
        <v>22462</v>
      </c>
      <c r="BU40" s="148">
        <f t="shared" ca="1" si="16"/>
        <v>43722.739781944445</v>
      </c>
      <c r="BV40" s="130"/>
      <c r="BW40" s="148"/>
      <c r="BX40" s="130"/>
      <c r="BY40" s="168"/>
      <c r="BZ40" s="168"/>
      <c r="CA40" s="168"/>
      <c r="CB40" s="168"/>
      <c r="CC40" s="168"/>
      <c r="CD40" s="168"/>
      <c r="CE40" s="121"/>
      <c r="CF40" s="121"/>
    </row>
    <row r="41" spans="1:84" s="132" customFormat="1" ht="12" customHeight="1" x14ac:dyDescent="0.2">
      <c r="A41" s="121"/>
      <c r="B41" s="122"/>
      <c r="C41" s="151"/>
      <c r="D41" s="157"/>
      <c r="E41" s="158"/>
      <c r="F41" s="159"/>
      <c r="G41" s="159"/>
      <c r="H41" s="160"/>
      <c r="I41" s="159"/>
      <c r="J41" s="161"/>
      <c r="K41" s="181">
        <f>IF(F41="",0,(VLOOKUP('wgl tot'!F41,saltab2019,'wgl tot'!G41+1,FALSE)))</f>
        <v>0</v>
      </c>
      <c r="L41" s="163">
        <f t="shared" si="0"/>
        <v>0</v>
      </c>
      <c r="M41" s="151"/>
      <c r="N41" s="181">
        <f>ROUND(IF(('wgl tot'!L41+'wgl tot'!P41)*BF41&lt;'wgl tot'!H41*tabellen!$D$50,'wgl tot'!H41*tabellen!$D$50,('wgl tot'!L41+'wgl tot'!P41)*BF41),2)</f>
        <v>0</v>
      </c>
      <c r="O41" s="181">
        <f>ROUND(+('wgl tot'!L41+'wgl tot'!P41)*BG41,2)</f>
        <v>0</v>
      </c>
      <c r="P41" s="181">
        <f>ROUND(IF(I41="j",VLOOKUP(BD41,uitlooptoeslag,2,FALSE))*IF('wgl tot'!H41&gt;1,1,'wgl tot'!H41),2)</f>
        <v>0</v>
      </c>
      <c r="Q41" s="181">
        <f>ROUND(IF(BI41="j",tabellen!$D$59*IF('wgl tot'!H41&gt;1,1,'wgl tot'!H41),0),2)</f>
        <v>0</v>
      </c>
      <c r="R41" s="181">
        <f>IF(AND(F41&gt;0,F41&lt;17),tabellen!$C$41*'wgl tot'!H41,0)</f>
        <v>0</v>
      </c>
      <c r="S41" s="181">
        <f>VLOOKUP(BH41,eindejaarsuitkering_OOP,2,TRUE)*'wgl tot'!H41/12</f>
        <v>0</v>
      </c>
      <c r="T41" s="181">
        <f>ROUND(H41*tabellen!$D$57,2)</f>
        <v>0</v>
      </c>
      <c r="U41" s="181">
        <f>ROUND(H41*tabellen!C$45,2)</f>
        <v>0</v>
      </c>
      <c r="V41" s="181">
        <f>H41*(IF(F41="L10",42%*VLOOKUP(tabellen!L$45,saltab2018sept,G41+1,FALSE),IF(F41="L11",42%*VLOOKUP(tabellen!L$46,saltab2018sept,G41+1,FALSE),IF(F41="L12",42%*VLOOKUP(tabellen!L$47,saltab2018sept,G41+1,FALSE),IF(F41="L13",42%*VLOOKUP(tabellen!L$48,saltab2018sept,G41+1,FALSE),0)))))</f>
        <v>0</v>
      </c>
      <c r="W41" s="182">
        <f t="shared" si="9"/>
        <v>0</v>
      </c>
      <c r="X41" s="181">
        <f>('wgl tot'!L41+'wgl tot'!P41)*tabellen!$C$43*12</f>
        <v>0</v>
      </c>
      <c r="Y41" s="163">
        <f t="shared" si="10"/>
        <v>0</v>
      </c>
      <c r="Z41" s="151"/>
      <c r="AA41" s="182">
        <f t="shared" si="18"/>
        <v>0</v>
      </c>
      <c r="AB41" s="217">
        <f>+'wgl tot'!X41/12</f>
        <v>0</v>
      </c>
      <c r="AC41" s="151"/>
      <c r="AD41" s="181">
        <f>IF(F41="",0,(IF('wgl tot'!W41/'wgl tot'!H41&lt;tabellen!$E$6,0,('wgl tot'!W41-tabellen!$E$6*'wgl tot'!H41)/12)*tabellen!$C$6))</f>
        <v>0</v>
      </c>
      <c r="AE41" s="181">
        <f>IF(F41="",0,(IF('wgl tot'!W41/'wgl tot'!H41&lt;tabellen!$E$7,0,(+'wgl tot'!W41-tabellen!$E$7*'wgl tot'!H41)/12)*tabellen!$C$7))</f>
        <v>0</v>
      </c>
      <c r="AF41" s="181">
        <f>'wgl tot'!W41/12*tabellen!$C$8</f>
        <v>0</v>
      </c>
      <c r="AG41" s="181">
        <f>IF(H41=0,0,IF(BN41&gt;tabellen!$G$9/12,tabellen!$G$9/12,BN41)*(tabellen!$C$9+tabellen!$C$10))</f>
        <v>0</v>
      </c>
      <c r="AH41" s="181">
        <f>IF(F41="",0,('wgl tot'!BO41))</f>
        <v>0</v>
      </c>
      <c r="AI41" s="183">
        <f>IF(F41="",0,(IF('wgl tot'!BN41&gt;tabellen!$G$12*'wgl tot'!H41/12,tabellen!$G$12*'wgl tot'!H41/12,'wgl tot'!BN41)*tabellen!$C$12))</f>
        <v>0</v>
      </c>
      <c r="AJ41" s="151"/>
      <c r="AK41" s="183">
        <f>IF(F41="",0,('wgl tot'!BN41*IF(J41=1,tabellen!$C$13,IF(J41=2,tabellen!$C$14,IF(J41=3,tabellen!$C$15,IF(J41=5,tabellen!$C$17,IF(J41=6,tabellen!$C$18,IF(J41=7,tabellen!$C$19,IF(J41=8,tabellen!$C$20,tabellen!$C$16)))))))))</f>
        <v>0</v>
      </c>
      <c r="AL41" s="183">
        <f>IF(F41="",0,('wgl tot'!BN41*tabellen!$C$21))</f>
        <v>0</v>
      </c>
      <c r="AM41" s="237">
        <v>0</v>
      </c>
      <c r="AN41" s="151"/>
      <c r="AO41" s="237">
        <v>0</v>
      </c>
      <c r="AP41" s="151"/>
      <c r="AQ41" s="163">
        <f t="shared" si="19"/>
        <v>0</v>
      </c>
      <c r="AR41" s="163">
        <f t="shared" si="20"/>
        <v>0</v>
      </c>
      <c r="AS41" s="151"/>
      <c r="AT41" s="187" t="str">
        <f t="shared" si="21"/>
        <v/>
      </c>
      <c r="AU41" s="187" t="str">
        <f t="shared" si="2"/>
        <v/>
      </c>
      <c r="AV41" s="151"/>
      <c r="AW41" s="129"/>
      <c r="AX41" s="121"/>
      <c r="AY41" s="121"/>
      <c r="AZ41" s="165">
        <f ca="1">YEAR('wgl tot'!$AZ$9)-YEAR('wgl tot'!E41)</f>
        <v>119</v>
      </c>
      <c r="BA41" s="165">
        <f ca="1">MONTH('wgl tot'!$AZ$9)-MONTH('wgl tot'!E41)</f>
        <v>8</v>
      </c>
      <c r="BB41" s="165">
        <f ca="1">DAY('wgl tot'!$AZ$9)-DAY('wgl tot'!E41)</f>
        <v>14</v>
      </c>
      <c r="BC41" s="130">
        <f>IF(AND('wgl tot'!F41&gt;0,'wgl tot'!F41&lt;17),0,100)</f>
        <v>100</v>
      </c>
      <c r="BD41" s="130">
        <f t="shared" si="3"/>
        <v>0</v>
      </c>
      <c r="BE41" s="148">
        <v>42583</v>
      </c>
      <c r="BF41" s="166">
        <f t="shared" si="17"/>
        <v>0.08</v>
      </c>
      <c r="BG41" s="167">
        <f>+tabellen!$D$51</f>
        <v>6.3E-2</v>
      </c>
      <c r="BH41" s="165">
        <f>IF('wgl tot'!BC41=100,0,'wgl tot'!F41)</f>
        <v>0</v>
      </c>
      <c r="BI41" s="167" t="str">
        <f>IF(OR('wgl tot'!F41="DA",'wgl tot'!F41="DB",'wgl tot'!F41="DBuit",'wgl tot'!F41="DC",'wgl tot'!F41="DCuit",MID('wgl tot'!F41,1,5)="meerh"),"j","n")</f>
        <v>n</v>
      </c>
      <c r="BJ41" s="169" t="e">
        <f>IF('wgl tot'!W41/'wgl tot'!H41&lt;tabellen!$E$6,0,(+'wgl tot'!W41-tabellen!$E$6*'wgl tot'!H41)/12*tabellen!$D$6)</f>
        <v>#DIV/0!</v>
      </c>
      <c r="BK41" s="169" t="e">
        <f>IF('wgl tot'!W41/'wgl tot'!H41&lt;tabellen!$E$7,0,(+'wgl tot'!W41-tabellen!$E$7*'wgl tot'!H41)/12*tabellen!$D$7)</f>
        <v>#DIV/0!</v>
      </c>
      <c r="BL41" s="169">
        <f>'wgl tot'!W41/12*tabellen!$D$8</f>
        <v>0</v>
      </c>
      <c r="BM41" s="170" t="e">
        <f t="shared" si="22"/>
        <v>#DIV/0!</v>
      </c>
      <c r="BN41" s="171" t="e">
        <f>+Y41/12-'wgl tot'!BM41</f>
        <v>#DIV/0!</v>
      </c>
      <c r="BO41" s="171" t="e">
        <f>ROUND(IF('wgl tot'!BN41&gt;tabellen!$H$11,tabellen!$H$11,'wgl tot'!BN41)*tabellen!$C$11,2)</f>
        <v>#DIV/0!</v>
      </c>
      <c r="BP41" s="171" t="e">
        <f>+'wgl tot'!BN41+'wgl tot'!BO41</f>
        <v>#DIV/0!</v>
      </c>
      <c r="BQ41" s="172">
        <f t="shared" si="5"/>
        <v>1900</v>
      </c>
      <c r="BR41" s="172">
        <f t="shared" si="6"/>
        <v>1</v>
      </c>
      <c r="BS41" s="165">
        <f t="shared" si="7"/>
        <v>0</v>
      </c>
      <c r="BT41" s="148">
        <f t="shared" si="15"/>
        <v>22462</v>
      </c>
      <c r="BU41" s="148">
        <f t="shared" ca="1" si="16"/>
        <v>43722.739781944445</v>
      </c>
      <c r="BV41" s="130"/>
      <c r="BW41" s="148"/>
      <c r="BX41" s="130"/>
      <c r="BY41" s="168"/>
      <c r="BZ41" s="168"/>
      <c r="CA41" s="168"/>
      <c r="CB41" s="168"/>
      <c r="CC41" s="168"/>
      <c r="CD41" s="168"/>
      <c r="CE41" s="121"/>
      <c r="CF41" s="121"/>
    </row>
    <row r="42" spans="1:84" s="132" customFormat="1" ht="12" customHeight="1" x14ac:dyDescent="0.2">
      <c r="A42" s="121"/>
      <c r="B42" s="122"/>
      <c r="C42" s="151"/>
      <c r="D42" s="157"/>
      <c r="E42" s="158"/>
      <c r="F42" s="159"/>
      <c r="G42" s="159"/>
      <c r="H42" s="160"/>
      <c r="I42" s="159"/>
      <c r="J42" s="161"/>
      <c r="K42" s="181">
        <f>IF(F42="",0,(VLOOKUP('wgl tot'!F42,saltab2019,'wgl tot'!G42+1,FALSE)))</f>
        <v>0</v>
      </c>
      <c r="L42" s="163">
        <f t="shared" si="0"/>
        <v>0</v>
      </c>
      <c r="M42" s="151"/>
      <c r="N42" s="181">
        <f>ROUND(IF(('wgl tot'!L42+'wgl tot'!P42)*BF42&lt;'wgl tot'!H42*tabellen!$D$50,'wgl tot'!H42*tabellen!$D$50,('wgl tot'!L42+'wgl tot'!P42)*BF42),2)</f>
        <v>0</v>
      </c>
      <c r="O42" s="181">
        <f>ROUND(+('wgl tot'!L42+'wgl tot'!P42)*BG42,2)</f>
        <v>0</v>
      </c>
      <c r="P42" s="181">
        <f>ROUND(IF(I42="j",VLOOKUP(BD42,uitlooptoeslag,2,FALSE))*IF('wgl tot'!H42&gt;1,1,'wgl tot'!H42),2)</f>
        <v>0</v>
      </c>
      <c r="Q42" s="181">
        <f>ROUND(IF(BI42="j",tabellen!$D$59*IF('wgl tot'!H42&gt;1,1,'wgl tot'!H42),0),2)</f>
        <v>0</v>
      </c>
      <c r="R42" s="181">
        <f>IF(AND(F42&gt;0,F42&lt;17),tabellen!$C$41*'wgl tot'!H42,0)</f>
        <v>0</v>
      </c>
      <c r="S42" s="181">
        <f>VLOOKUP(BH42,eindejaarsuitkering_OOP,2,TRUE)*'wgl tot'!H42/12</f>
        <v>0</v>
      </c>
      <c r="T42" s="181">
        <f>ROUND(H42*tabellen!$D$57,2)</f>
        <v>0</v>
      </c>
      <c r="U42" s="181">
        <f>ROUND(H42*tabellen!C$45,2)</f>
        <v>0</v>
      </c>
      <c r="V42" s="181">
        <f>H42*(IF(F42="L10",42%*VLOOKUP(tabellen!L$45,saltab2018sept,G42+1,FALSE),IF(F42="L11",42%*VLOOKUP(tabellen!L$46,saltab2018sept,G42+1,FALSE),IF(F42="L12",42%*VLOOKUP(tabellen!L$47,saltab2018sept,G42+1,FALSE),IF(F42="L13",42%*VLOOKUP(tabellen!L$48,saltab2018sept,G42+1,FALSE),0)))))</f>
        <v>0</v>
      </c>
      <c r="W42" s="182">
        <f t="shared" si="9"/>
        <v>0</v>
      </c>
      <c r="X42" s="181">
        <f>('wgl tot'!L42+'wgl tot'!P42)*tabellen!$C$43*12</f>
        <v>0</v>
      </c>
      <c r="Y42" s="163">
        <f t="shared" si="10"/>
        <v>0</v>
      </c>
      <c r="Z42" s="151"/>
      <c r="AA42" s="182">
        <f t="shared" si="18"/>
        <v>0</v>
      </c>
      <c r="AB42" s="217">
        <f>+'wgl tot'!X42/12</f>
        <v>0</v>
      </c>
      <c r="AC42" s="151"/>
      <c r="AD42" s="181">
        <f>IF(F42="",0,(IF('wgl tot'!W42/'wgl tot'!H42&lt;tabellen!$E$6,0,('wgl tot'!W42-tabellen!$E$6*'wgl tot'!H42)/12)*tabellen!$C$6))</f>
        <v>0</v>
      </c>
      <c r="AE42" s="181">
        <f>IF(F42="",0,(IF('wgl tot'!W42/'wgl tot'!H42&lt;tabellen!$E$7,0,(+'wgl tot'!W42-tabellen!$E$7*'wgl tot'!H42)/12)*tabellen!$C$7))</f>
        <v>0</v>
      </c>
      <c r="AF42" s="181">
        <f>'wgl tot'!W42/12*tabellen!$C$8</f>
        <v>0</v>
      </c>
      <c r="AG42" s="181">
        <f>IF(H42=0,0,IF(BN42&gt;tabellen!$G$9/12,tabellen!$G$9/12,BN42)*(tabellen!$C$9+tabellen!$C$10))</f>
        <v>0</v>
      </c>
      <c r="AH42" s="181">
        <f>IF(F42="",0,('wgl tot'!BO42))</f>
        <v>0</v>
      </c>
      <c r="AI42" s="183">
        <f>IF(F42="",0,(IF('wgl tot'!BN42&gt;tabellen!$G$12*'wgl tot'!H42/12,tabellen!$G$12*'wgl tot'!H42/12,'wgl tot'!BN42)*tabellen!$C$12))</f>
        <v>0</v>
      </c>
      <c r="AJ42" s="151"/>
      <c r="AK42" s="183">
        <f>IF(F42="",0,('wgl tot'!BN42*IF(J42=1,tabellen!$C$13,IF(J42=2,tabellen!$C$14,IF(J42=3,tabellen!$C$15,IF(J42=5,tabellen!$C$17,IF(J42=6,tabellen!$C$18,IF(J42=7,tabellen!$C$19,IF(J42=8,tabellen!$C$20,tabellen!$C$16)))))))))</f>
        <v>0</v>
      </c>
      <c r="AL42" s="183">
        <f>IF(F42="",0,('wgl tot'!BN42*tabellen!$C$21))</f>
        <v>0</v>
      </c>
      <c r="AM42" s="237">
        <v>0</v>
      </c>
      <c r="AN42" s="151"/>
      <c r="AO42" s="237">
        <v>0</v>
      </c>
      <c r="AP42" s="151"/>
      <c r="AQ42" s="163">
        <f t="shared" si="19"/>
        <v>0</v>
      </c>
      <c r="AR42" s="163">
        <f t="shared" si="20"/>
        <v>0</v>
      </c>
      <c r="AS42" s="151"/>
      <c r="AT42" s="187" t="str">
        <f t="shared" si="21"/>
        <v/>
      </c>
      <c r="AU42" s="187" t="str">
        <f t="shared" si="2"/>
        <v/>
      </c>
      <c r="AV42" s="151"/>
      <c r="AW42" s="129"/>
      <c r="AX42" s="121"/>
      <c r="AY42" s="121"/>
      <c r="AZ42" s="165">
        <f ca="1">YEAR('wgl tot'!$AZ$9)-YEAR('wgl tot'!E42)</f>
        <v>119</v>
      </c>
      <c r="BA42" s="165">
        <f ca="1">MONTH('wgl tot'!$AZ$9)-MONTH('wgl tot'!E42)</f>
        <v>8</v>
      </c>
      <c r="BB42" s="165">
        <f ca="1">DAY('wgl tot'!$AZ$9)-DAY('wgl tot'!E42)</f>
        <v>14</v>
      </c>
      <c r="BC42" s="130">
        <f>IF(AND('wgl tot'!F42&gt;0,'wgl tot'!F42&lt;17),0,100)</f>
        <v>100</v>
      </c>
      <c r="BD42" s="130">
        <f t="shared" si="3"/>
        <v>0</v>
      </c>
      <c r="BE42" s="148">
        <v>42583</v>
      </c>
      <c r="BF42" s="166">
        <f t="shared" si="17"/>
        <v>0.08</v>
      </c>
      <c r="BG42" s="167">
        <f>+tabellen!$D$51</f>
        <v>6.3E-2</v>
      </c>
      <c r="BH42" s="165">
        <f>IF('wgl tot'!BC42=100,0,'wgl tot'!F42)</f>
        <v>0</v>
      </c>
      <c r="BI42" s="167" t="str">
        <f>IF(OR('wgl tot'!F42="DA",'wgl tot'!F42="DB",'wgl tot'!F42="DBuit",'wgl tot'!F42="DC",'wgl tot'!F42="DCuit",MID('wgl tot'!F42,1,5)="meerh"),"j","n")</f>
        <v>n</v>
      </c>
      <c r="BJ42" s="169" t="e">
        <f>IF('wgl tot'!W42/'wgl tot'!H42&lt;tabellen!$E$6,0,(+'wgl tot'!W42-tabellen!$E$6*'wgl tot'!H42)/12*tabellen!$D$6)</f>
        <v>#DIV/0!</v>
      </c>
      <c r="BK42" s="169" t="e">
        <f>IF('wgl tot'!W42/'wgl tot'!H42&lt;tabellen!$E$7,0,(+'wgl tot'!W42-tabellen!$E$7*'wgl tot'!H42)/12*tabellen!$D$7)</f>
        <v>#DIV/0!</v>
      </c>
      <c r="BL42" s="169">
        <f>'wgl tot'!W42/12*tabellen!$D$8</f>
        <v>0</v>
      </c>
      <c r="BM42" s="170" t="e">
        <f t="shared" si="22"/>
        <v>#DIV/0!</v>
      </c>
      <c r="BN42" s="171" t="e">
        <f>+Y42/12-'wgl tot'!BM42</f>
        <v>#DIV/0!</v>
      </c>
      <c r="BO42" s="171" t="e">
        <f>ROUND(IF('wgl tot'!BN42&gt;tabellen!$H$11,tabellen!$H$11,'wgl tot'!BN42)*tabellen!$C$11,2)</f>
        <v>#DIV/0!</v>
      </c>
      <c r="BP42" s="171" t="e">
        <f>+'wgl tot'!BN42+'wgl tot'!BO42</f>
        <v>#DIV/0!</v>
      </c>
      <c r="BQ42" s="172">
        <f t="shared" si="5"/>
        <v>1900</v>
      </c>
      <c r="BR42" s="172">
        <f t="shared" si="6"/>
        <v>1</v>
      </c>
      <c r="BS42" s="165">
        <f t="shared" si="7"/>
        <v>0</v>
      </c>
      <c r="BT42" s="148">
        <f t="shared" si="15"/>
        <v>22462</v>
      </c>
      <c r="BU42" s="148">
        <f t="shared" ca="1" si="16"/>
        <v>43722.739781944445</v>
      </c>
      <c r="BV42" s="130"/>
      <c r="BW42" s="148"/>
      <c r="BX42" s="130"/>
      <c r="BY42" s="168"/>
      <c r="BZ42" s="168"/>
      <c r="CA42" s="168"/>
      <c r="CB42" s="168"/>
      <c r="CC42" s="168"/>
      <c r="CD42" s="168"/>
      <c r="CE42" s="121"/>
      <c r="CF42" s="121"/>
    </row>
    <row r="43" spans="1:84" s="132" customFormat="1" ht="12" customHeight="1" x14ac:dyDescent="0.2">
      <c r="A43" s="121"/>
      <c r="B43" s="122"/>
      <c r="C43" s="151"/>
      <c r="D43" s="157"/>
      <c r="E43" s="158"/>
      <c r="F43" s="159"/>
      <c r="G43" s="159"/>
      <c r="H43" s="160"/>
      <c r="I43" s="159"/>
      <c r="J43" s="161"/>
      <c r="K43" s="181">
        <f>IF(F43="",0,(VLOOKUP('wgl tot'!F43,saltab2019,'wgl tot'!G43+1,FALSE)))</f>
        <v>0</v>
      </c>
      <c r="L43" s="163">
        <f t="shared" si="0"/>
        <v>0</v>
      </c>
      <c r="M43" s="151"/>
      <c r="N43" s="181">
        <f>ROUND(IF(('wgl tot'!L43+'wgl tot'!P43)*BF43&lt;'wgl tot'!H43*tabellen!$D$50,'wgl tot'!H43*tabellen!$D$50,('wgl tot'!L43+'wgl tot'!P43)*BF43),2)</f>
        <v>0</v>
      </c>
      <c r="O43" s="181">
        <f>ROUND(+('wgl tot'!L43+'wgl tot'!P43)*BG43,2)</f>
        <v>0</v>
      </c>
      <c r="P43" s="181">
        <f>ROUND(IF(I43="j",VLOOKUP(BD43,uitlooptoeslag,2,FALSE))*IF('wgl tot'!H43&gt;1,1,'wgl tot'!H43),2)</f>
        <v>0</v>
      </c>
      <c r="Q43" s="181">
        <f>ROUND(IF(BI43="j",tabellen!$D$59*IF('wgl tot'!H43&gt;1,1,'wgl tot'!H43),0),2)</f>
        <v>0</v>
      </c>
      <c r="R43" s="181">
        <f>IF(AND(F43&gt;0,F43&lt;17),tabellen!$C$41*'wgl tot'!H43,0)</f>
        <v>0</v>
      </c>
      <c r="S43" s="181">
        <f>VLOOKUP(BH43,eindejaarsuitkering_OOP,2,TRUE)*'wgl tot'!H43/12</f>
        <v>0</v>
      </c>
      <c r="T43" s="181">
        <f>ROUND(H43*tabellen!$D$57,2)</f>
        <v>0</v>
      </c>
      <c r="U43" s="181">
        <f>ROUND(H43*tabellen!C$45,2)</f>
        <v>0</v>
      </c>
      <c r="V43" s="181">
        <f>H43*(IF(F43="L10",42%*VLOOKUP(tabellen!L$45,saltab2018sept,G43+1,FALSE),IF(F43="L11",42%*VLOOKUP(tabellen!L$46,saltab2018sept,G43+1,FALSE),IF(F43="L12",42%*VLOOKUP(tabellen!L$47,saltab2018sept,G43+1,FALSE),IF(F43="L13",42%*VLOOKUP(tabellen!L$48,saltab2018sept,G43+1,FALSE),0)))))</f>
        <v>0</v>
      </c>
      <c r="W43" s="182">
        <f t="shared" si="9"/>
        <v>0</v>
      </c>
      <c r="X43" s="181">
        <f>('wgl tot'!L43+'wgl tot'!P43)*tabellen!$C$43*12</f>
        <v>0</v>
      </c>
      <c r="Y43" s="163">
        <f t="shared" si="10"/>
        <v>0</v>
      </c>
      <c r="Z43" s="151"/>
      <c r="AA43" s="182">
        <f t="shared" si="18"/>
        <v>0</v>
      </c>
      <c r="AB43" s="217">
        <f>+'wgl tot'!X43/12</f>
        <v>0</v>
      </c>
      <c r="AC43" s="151"/>
      <c r="AD43" s="181">
        <f>IF(F43="",0,(IF('wgl tot'!W43/'wgl tot'!H43&lt;tabellen!$E$6,0,('wgl tot'!W43-tabellen!$E$6*'wgl tot'!H43)/12)*tabellen!$C$6))</f>
        <v>0</v>
      </c>
      <c r="AE43" s="181">
        <f>IF(F43="",0,(IF('wgl tot'!W43/'wgl tot'!H43&lt;tabellen!$E$7,0,(+'wgl tot'!W43-tabellen!$E$7*'wgl tot'!H43)/12)*tabellen!$C$7))</f>
        <v>0</v>
      </c>
      <c r="AF43" s="181">
        <f>'wgl tot'!W43/12*tabellen!$C$8</f>
        <v>0</v>
      </c>
      <c r="AG43" s="181">
        <f>IF(H43=0,0,IF(BN43&gt;tabellen!$G$9/12,tabellen!$G$9/12,BN43)*(tabellen!$C$9+tabellen!$C$10))</f>
        <v>0</v>
      </c>
      <c r="AH43" s="181">
        <f>IF(F43="",0,('wgl tot'!BO43))</f>
        <v>0</v>
      </c>
      <c r="AI43" s="183">
        <f>IF(F43="",0,(IF('wgl tot'!BN43&gt;tabellen!$G$12*'wgl tot'!H43/12,tabellen!$G$12*'wgl tot'!H43/12,'wgl tot'!BN43)*tabellen!$C$12))</f>
        <v>0</v>
      </c>
      <c r="AJ43" s="151"/>
      <c r="AK43" s="183">
        <f>IF(F43="",0,('wgl tot'!BN43*IF(J43=1,tabellen!$C$13,IF(J43=2,tabellen!$C$14,IF(J43=3,tabellen!$C$15,IF(J43=5,tabellen!$C$17,IF(J43=6,tabellen!$C$18,IF(J43=7,tabellen!$C$19,IF(J43=8,tabellen!$C$20,tabellen!$C$16)))))))))</f>
        <v>0</v>
      </c>
      <c r="AL43" s="183">
        <f>IF(F43="",0,('wgl tot'!BN43*tabellen!$C$21))</f>
        <v>0</v>
      </c>
      <c r="AM43" s="237">
        <v>0</v>
      </c>
      <c r="AN43" s="151"/>
      <c r="AO43" s="237">
        <v>0</v>
      </c>
      <c r="AP43" s="151"/>
      <c r="AQ43" s="163">
        <f t="shared" si="19"/>
        <v>0</v>
      </c>
      <c r="AR43" s="163">
        <f t="shared" si="20"/>
        <v>0</v>
      </c>
      <c r="AS43" s="151"/>
      <c r="AT43" s="187" t="str">
        <f t="shared" si="21"/>
        <v/>
      </c>
      <c r="AU43" s="187" t="str">
        <f t="shared" si="2"/>
        <v/>
      </c>
      <c r="AV43" s="151"/>
      <c r="AW43" s="129"/>
      <c r="AX43" s="121"/>
      <c r="AY43" s="121"/>
      <c r="AZ43" s="165">
        <f ca="1">YEAR('wgl tot'!$AZ$9)-YEAR('wgl tot'!E43)</f>
        <v>119</v>
      </c>
      <c r="BA43" s="165">
        <f ca="1">MONTH('wgl tot'!$AZ$9)-MONTH('wgl tot'!E43)</f>
        <v>8</v>
      </c>
      <c r="BB43" s="165">
        <f ca="1">DAY('wgl tot'!$AZ$9)-DAY('wgl tot'!E43)</f>
        <v>14</v>
      </c>
      <c r="BC43" s="130">
        <f>IF(AND('wgl tot'!F43&gt;0,'wgl tot'!F43&lt;17),0,100)</f>
        <v>100</v>
      </c>
      <c r="BD43" s="130">
        <f t="shared" si="3"/>
        <v>0</v>
      </c>
      <c r="BE43" s="148">
        <v>42583</v>
      </c>
      <c r="BF43" s="166">
        <f t="shared" si="17"/>
        <v>0.08</v>
      </c>
      <c r="BG43" s="167">
        <f>+tabellen!$D$51</f>
        <v>6.3E-2</v>
      </c>
      <c r="BH43" s="165">
        <f>IF('wgl tot'!BC43=100,0,'wgl tot'!F43)</f>
        <v>0</v>
      </c>
      <c r="BI43" s="167" t="str">
        <f>IF(OR('wgl tot'!F43="DA",'wgl tot'!F43="DB",'wgl tot'!F43="DBuit",'wgl tot'!F43="DC",'wgl tot'!F43="DCuit",MID('wgl tot'!F43,1,5)="meerh"),"j","n")</f>
        <v>n</v>
      </c>
      <c r="BJ43" s="169" t="e">
        <f>IF('wgl tot'!W43/'wgl tot'!H43&lt;tabellen!$E$6,0,(+'wgl tot'!W43-tabellen!$E$6*'wgl tot'!H43)/12*tabellen!$D$6)</f>
        <v>#DIV/0!</v>
      </c>
      <c r="BK43" s="169" t="e">
        <f>IF('wgl tot'!W43/'wgl tot'!H43&lt;tabellen!$E$7,0,(+'wgl tot'!W43-tabellen!$E$7*'wgl tot'!H43)/12*tabellen!$D$7)</f>
        <v>#DIV/0!</v>
      </c>
      <c r="BL43" s="169">
        <f>'wgl tot'!W43/12*tabellen!$D$8</f>
        <v>0</v>
      </c>
      <c r="BM43" s="170" t="e">
        <f t="shared" si="22"/>
        <v>#DIV/0!</v>
      </c>
      <c r="BN43" s="171" t="e">
        <f>+Y43/12-'wgl tot'!BM43</f>
        <v>#DIV/0!</v>
      </c>
      <c r="BO43" s="171" t="e">
        <f>ROUND(IF('wgl tot'!BN43&gt;tabellen!$H$11,tabellen!$H$11,'wgl tot'!BN43)*tabellen!$C$11,2)</f>
        <v>#DIV/0!</v>
      </c>
      <c r="BP43" s="171" t="e">
        <f>+'wgl tot'!BN43+'wgl tot'!BO43</f>
        <v>#DIV/0!</v>
      </c>
      <c r="BQ43" s="172">
        <f t="shared" si="5"/>
        <v>1900</v>
      </c>
      <c r="BR43" s="172">
        <f t="shared" si="6"/>
        <v>1</v>
      </c>
      <c r="BS43" s="165">
        <f t="shared" si="7"/>
        <v>0</v>
      </c>
      <c r="BT43" s="148">
        <f t="shared" si="15"/>
        <v>22462</v>
      </c>
      <c r="BU43" s="148">
        <f t="shared" ca="1" si="16"/>
        <v>43722.739781944445</v>
      </c>
      <c r="BV43" s="130"/>
      <c r="BW43" s="148"/>
      <c r="BX43" s="130"/>
      <c r="BY43" s="168"/>
      <c r="BZ43" s="168"/>
      <c r="CA43" s="168"/>
      <c r="CB43" s="168"/>
      <c r="CC43" s="168"/>
      <c r="CD43" s="168"/>
      <c r="CE43" s="121"/>
      <c r="CF43" s="121"/>
    </row>
    <row r="44" spans="1:84" s="132" customFormat="1" ht="12" customHeight="1" x14ac:dyDescent="0.2">
      <c r="A44" s="121"/>
      <c r="B44" s="122"/>
      <c r="C44" s="151"/>
      <c r="D44" s="157"/>
      <c r="E44" s="158"/>
      <c r="F44" s="159"/>
      <c r="G44" s="159"/>
      <c r="H44" s="160"/>
      <c r="I44" s="159"/>
      <c r="J44" s="161"/>
      <c r="K44" s="181">
        <f>IF(F44="",0,(VLOOKUP('wgl tot'!F44,saltab2019,'wgl tot'!G44+1,FALSE)))</f>
        <v>0</v>
      </c>
      <c r="L44" s="163">
        <f t="shared" si="0"/>
        <v>0</v>
      </c>
      <c r="M44" s="151"/>
      <c r="N44" s="181">
        <f>ROUND(IF(('wgl tot'!L44+'wgl tot'!P44)*BF44&lt;'wgl tot'!H44*tabellen!$D$50,'wgl tot'!H44*tabellen!$D$50,('wgl tot'!L44+'wgl tot'!P44)*BF44),2)</f>
        <v>0</v>
      </c>
      <c r="O44" s="181">
        <f>ROUND(+('wgl tot'!L44+'wgl tot'!P44)*BG44,2)</f>
        <v>0</v>
      </c>
      <c r="P44" s="181">
        <f>ROUND(IF(I44="j",VLOOKUP(BD44,uitlooptoeslag,2,FALSE))*IF('wgl tot'!H44&gt;1,1,'wgl tot'!H44),2)</f>
        <v>0</v>
      </c>
      <c r="Q44" s="181">
        <f>ROUND(IF(BI44="j",tabellen!$D$59*IF('wgl tot'!H44&gt;1,1,'wgl tot'!H44),0),2)</f>
        <v>0</v>
      </c>
      <c r="R44" s="181">
        <f>IF(AND(F44&gt;0,F44&lt;17),tabellen!$C$41*'wgl tot'!H44,0)</f>
        <v>0</v>
      </c>
      <c r="S44" s="181">
        <f>VLOOKUP(BH44,eindejaarsuitkering_OOP,2,TRUE)*'wgl tot'!H44/12</f>
        <v>0</v>
      </c>
      <c r="T44" s="181">
        <f>ROUND(H44*tabellen!$D$57,2)</f>
        <v>0</v>
      </c>
      <c r="U44" s="181">
        <f>ROUND(H44*tabellen!C$45,2)</f>
        <v>0</v>
      </c>
      <c r="V44" s="181">
        <f>H44*(IF(F44="L10",42%*VLOOKUP(tabellen!L$45,saltab2018sept,G44+1,FALSE),IF(F44="L11",42%*VLOOKUP(tabellen!L$46,saltab2018sept,G44+1,FALSE),IF(F44="L12",42%*VLOOKUP(tabellen!L$47,saltab2018sept,G44+1,FALSE),IF(F44="L13",42%*VLOOKUP(tabellen!L$48,saltab2018sept,G44+1,FALSE),0)))))</f>
        <v>0</v>
      </c>
      <c r="W44" s="182">
        <f t="shared" si="9"/>
        <v>0</v>
      </c>
      <c r="X44" s="181">
        <f>('wgl tot'!L44+'wgl tot'!P44)*tabellen!$C$43*12</f>
        <v>0</v>
      </c>
      <c r="Y44" s="163">
        <f t="shared" si="10"/>
        <v>0</v>
      </c>
      <c r="Z44" s="151"/>
      <c r="AA44" s="182">
        <f t="shared" si="18"/>
        <v>0</v>
      </c>
      <c r="AB44" s="217">
        <f>+'wgl tot'!X44/12</f>
        <v>0</v>
      </c>
      <c r="AC44" s="151"/>
      <c r="AD44" s="181">
        <f>IF(F44="",0,(IF('wgl tot'!W44/'wgl tot'!H44&lt;tabellen!$E$6,0,('wgl tot'!W44-tabellen!$E$6*'wgl tot'!H44)/12)*tabellen!$C$6))</f>
        <v>0</v>
      </c>
      <c r="AE44" s="181">
        <f>IF(F44="",0,(IF('wgl tot'!W44/'wgl tot'!H44&lt;tabellen!$E$7,0,(+'wgl tot'!W44-tabellen!$E$7*'wgl tot'!H44)/12)*tabellen!$C$7))</f>
        <v>0</v>
      </c>
      <c r="AF44" s="181">
        <f>'wgl tot'!W44/12*tabellen!$C$8</f>
        <v>0</v>
      </c>
      <c r="AG44" s="181">
        <f>IF(H44=0,0,IF(BN44&gt;tabellen!$G$9/12,tabellen!$G$9/12,BN44)*(tabellen!$C$9+tabellen!$C$10))</f>
        <v>0</v>
      </c>
      <c r="AH44" s="181">
        <f>IF(F44="",0,('wgl tot'!BO44))</f>
        <v>0</v>
      </c>
      <c r="AI44" s="183">
        <f>IF(F44="",0,(IF('wgl tot'!BN44&gt;tabellen!$G$12*'wgl tot'!H44/12,tabellen!$G$12*'wgl tot'!H44/12,'wgl tot'!BN44)*tabellen!$C$12))</f>
        <v>0</v>
      </c>
      <c r="AJ44" s="151"/>
      <c r="AK44" s="183">
        <f>IF(F44="",0,('wgl tot'!BN44*IF(J44=1,tabellen!$C$13,IF(J44=2,tabellen!$C$14,IF(J44=3,tabellen!$C$15,IF(J44=5,tabellen!$C$17,IF(J44=6,tabellen!$C$18,IF(J44=7,tabellen!$C$19,IF(J44=8,tabellen!$C$20,tabellen!$C$16)))))))))</f>
        <v>0</v>
      </c>
      <c r="AL44" s="183">
        <f>IF(F44="",0,('wgl tot'!BN44*tabellen!$C$21))</f>
        <v>0</v>
      </c>
      <c r="AM44" s="237">
        <v>0</v>
      </c>
      <c r="AN44" s="151"/>
      <c r="AO44" s="237">
        <v>0</v>
      </c>
      <c r="AP44" s="151"/>
      <c r="AQ44" s="163">
        <f t="shared" si="19"/>
        <v>0</v>
      </c>
      <c r="AR44" s="163">
        <f t="shared" si="20"/>
        <v>0</v>
      </c>
      <c r="AS44" s="151"/>
      <c r="AT44" s="187" t="str">
        <f t="shared" ref="AT44:AT75" si="23">IF(AQ44=0,"",(AQ44/L44-1))</f>
        <v/>
      </c>
      <c r="AU44" s="187" t="str">
        <f t="shared" ref="AU44:AU75" si="24">IF(AQ44=0,"",(AQ44/(Y44/12))-1)</f>
        <v/>
      </c>
      <c r="AV44" s="151"/>
      <c r="AW44" s="129"/>
      <c r="AX44" s="121"/>
      <c r="AY44" s="121"/>
      <c r="AZ44" s="165">
        <f ca="1">YEAR('wgl tot'!$AZ$9)-YEAR('wgl tot'!E44)</f>
        <v>119</v>
      </c>
      <c r="BA44" s="165">
        <f ca="1">MONTH('wgl tot'!$AZ$9)-MONTH('wgl tot'!E44)</f>
        <v>8</v>
      </c>
      <c r="BB44" s="165">
        <f ca="1">DAY('wgl tot'!$AZ$9)-DAY('wgl tot'!E44)</f>
        <v>14</v>
      </c>
      <c r="BC44" s="130">
        <f>IF(AND('wgl tot'!F44&gt;0,'wgl tot'!F44&lt;17),0,100)</f>
        <v>100</v>
      </c>
      <c r="BD44" s="130">
        <f t="shared" ref="BD44:BD75" si="25">F44</f>
        <v>0</v>
      </c>
      <c r="BE44" s="148">
        <v>42583</v>
      </c>
      <c r="BF44" s="166">
        <f t="shared" si="17"/>
        <v>0.08</v>
      </c>
      <c r="BG44" s="167">
        <f>+tabellen!$D$51</f>
        <v>6.3E-2</v>
      </c>
      <c r="BH44" s="165">
        <f>IF('wgl tot'!BC44=100,0,'wgl tot'!F44)</f>
        <v>0</v>
      </c>
      <c r="BI44" s="167" t="str">
        <f>IF(OR('wgl tot'!F44="DA",'wgl tot'!F44="DB",'wgl tot'!F44="DBuit",'wgl tot'!F44="DC",'wgl tot'!F44="DCuit",MID('wgl tot'!F44,1,5)="meerh"),"j","n")</f>
        <v>n</v>
      </c>
      <c r="BJ44" s="169" t="e">
        <f>IF('wgl tot'!W44/'wgl tot'!H44&lt;tabellen!$E$6,0,(+'wgl tot'!W44-tabellen!$E$6*'wgl tot'!H44)/12*tabellen!$D$6)</f>
        <v>#DIV/0!</v>
      </c>
      <c r="BK44" s="169" t="e">
        <f>IF('wgl tot'!W44/'wgl tot'!H44&lt;tabellen!$E$7,0,(+'wgl tot'!W44-tabellen!$E$7*'wgl tot'!H44)/12*tabellen!$D$7)</f>
        <v>#DIV/0!</v>
      </c>
      <c r="BL44" s="169">
        <f>'wgl tot'!W44/12*tabellen!$D$8</f>
        <v>0</v>
      </c>
      <c r="BM44" s="170" t="e">
        <f t="shared" si="22"/>
        <v>#DIV/0!</v>
      </c>
      <c r="BN44" s="171" t="e">
        <f>+Y44/12-'wgl tot'!BM44</f>
        <v>#DIV/0!</v>
      </c>
      <c r="BO44" s="171" t="e">
        <f>ROUND(IF('wgl tot'!BN44&gt;tabellen!$H$11,tabellen!$H$11,'wgl tot'!BN44)*tabellen!$C$11,2)</f>
        <v>#DIV/0!</v>
      </c>
      <c r="BP44" s="171" t="e">
        <f>+'wgl tot'!BN44+'wgl tot'!BO44</f>
        <v>#DIV/0!</v>
      </c>
      <c r="BQ44" s="172">
        <f t="shared" ref="BQ44:BQ75" si="26">YEAR(E44)</f>
        <v>1900</v>
      </c>
      <c r="BR44" s="172">
        <f t="shared" ref="BR44:BR75" si="27">MONTH(E44)</f>
        <v>1</v>
      </c>
      <c r="BS44" s="165">
        <f t="shared" ref="BS44:BS75" si="28">DAY(E44)</f>
        <v>0</v>
      </c>
      <c r="BT44" s="148">
        <f t="shared" si="15"/>
        <v>22462</v>
      </c>
      <c r="BU44" s="148">
        <f t="shared" ca="1" si="16"/>
        <v>43722.739781944445</v>
      </c>
      <c r="BV44" s="130"/>
      <c r="BW44" s="148"/>
      <c r="BX44" s="130"/>
      <c r="BY44" s="168"/>
      <c r="BZ44" s="168"/>
      <c r="CA44" s="168"/>
      <c r="CB44" s="168"/>
      <c r="CC44" s="168"/>
      <c r="CD44" s="168"/>
      <c r="CE44" s="121"/>
      <c r="CF44" s="121"/>
    </row>
    <row r="45" spans="1:84" s="132" customFormat="1" ht="12" customHeight="1" x14ac:dyDescent="0.2">
      <c r="A45" s="121"/>
      <c r="B45" s="122"/>
      <c r="C45" s="151"/>
      <c r="D45" s="157"/>
      <c r="E45" s="158"/>
      <c r="F45" s="159"/>
      <c r="G45" s="159"/>
      <c r="H45" s="160"/>
      <c r="I45" s="159"/>
      <c r="J45" s="161"/>
      <c r="K45" s="181">
        <f>IF(F45="",0,(VLOOKUP('wgl tot'!F45,saltab2019,'wgl tot'!G45+1,FALSE)))</f>
        <v>0</v>
      </c>
      <c r="L45" s="163">
        <f t="shared" si="0"/>
        <v>0</v>
      </c>
      <c r="M45" s="151"/>
      <c r="N45" s="181">
        <f>ROUND(IF(('wgl tot'!L45+'wgl tot'!P45)*BF45&lt;'wgl tot'!H45*tabellen!$D$50,'wgl tot'!H45*tabellen!$D$50,('wgl tot'!L45+'wgl tot'!P45)*BF45),2)</f>
        <v>0</v>
      </c>
      <c r="O45" s="181">
        <f>ROUND(+('wgl tot'!L45+'wgl tot'!P45)*BG45,2)</f>
        <v>0</v>
      </c>
      <c r="P45" s="181">
        <f>ROUND(IF(I45="j",VLOOKUP(BD45,uitlooptoeslag,2,FALSE))*IF('wgl tot'!H45&gt;1,1,'wgl tot'!H45),2)</f>
        <v>0</v>
      </c>
      <c r="Q45" s="181">
        <f>ROUND(IF(BI45="j",tabellen!$D$59*IF('wgl tot'!H45&gt;1,1,'wgl tot'!H45),0),2)</f>
        <v>0</v>
      </c>
      <c r="R45" s="181">
        <f>IF(AND(F45&gt;0,F45&lt;17),tabellen!$C$41*'wgl tot'!H45,0)</f>
        <v>0</v>
      </c>
      <c r="S45" s="181">
        <f>VLOOKUP(BH45,eindejaarsuitkering_OOP,2,TRUE)*'wgl tot'!H45/12</f>
        <v>0</v>
      </c>
      <c r="T45" s="181">
        <f>ROUND(H45*tabellen!$D$57,2)</f>
        <v>0</v>
      </c>
      <c r="U45" s="181">
        <f>ROUND(H45*tabellen!C$45,2)</f>
        <v>0</v>
      </c>
      <c r="V45" s="181">
        <f>H45*(IF(F45="L10",42%*VLOOKUP(tabellen!L$45,saltab2018sept,G45+1,FALSE),IF(F45="L11",42%*VLOOKUP(tabellen!L$46,saltab2018sept,G45+1,FALSE),IF(F45="L12",42%*VLOOKUP(tabellen!L$47,saltab2018sept,G45+1,FALSE),IF(F45="L13",42%*VLOOKUP(tabellen!L$48,saltab2018sept,G45+1,FALSE),0)))))</f>
        <v>0</v>
      </c>
      <c r="W45" s="182">
        <f t="shared" si="9"/>
        <v>0</v>
      </c>
      <c r="X45" s="181">
        <f>('wgl tot'!L45+'wgl tot'!P45)*tabellen!$C$43*12</f>
        <v>0</v>
      </c>
      <c r="Y45" s="163">
        <f t="shared" si="10"/>
        <v>0</v>
      </c>
      <c r="Z45" s="151"/>
      <c r="AA45" s="182">
        <f t="shared" si="18"/>
        <v>0</v>
      </c>
      <c r="AB45" s="217">
        <f>+'wgl tot'!X45/12</f>
        <v>0</v>
      </c>
      <c r="AC45" s="151"/>
      <c r="AD45" s="181">
        <f>IF(F45="",0,(IF('wgl tot'!W45/'wgl tot'!H45&lt;tabellen!$E$6,0,('wgl tot'!W45-tabellen!$E$6*'wgl tot'!H45)/12)*tabellen!$C$6))</f>
        <v>0</v>
      </c>
      <c r="AE45" s="181">
        <f>IF(F45="",0,(IF('wgl tot'!W45/'wgl tot'!H45&lt;tabellen!$E$7,0,(+'wgl tot'!W45-tabellen!$E$7*'wgl tot'!H45)/12)*tabellen!$C$7))</f>
        <v>0</v>
      </c>
      <c r="AF45" s="181">
        <f>'wgl tot'!W45/12*tabellen!$C$8</f>
        <v>0</v>
      </c>
      <c r="AG45" s="181">
        <f>IF(H45=0,0,IF(BN45&gt;tabellen!$G$9/12,tabellen!$G$9/12,BN45)*(tabellen!$C$9+tabellen!$C$10))</f>
        <v>0</v>
      </c>
      <c r="AH45" s="181">
        <f>IF(F45="",0,('wgl tot'!BO45))</f>
        <v>0</v>
      </c>
      <c r="AI45" s="183">
        <f>IF(F45="",0,(IF('wgl tot'!BN45&gt;tabellen!$G$12*'wgl tot'!H45/12,tabellen!$G$12*'wgl tot'!H45/12,'wgl tot'!BN45)*tabellen!$C$12))</f>
        <v>0</v>
      </c>
      <c r="AJ45" s="151"/>
      <c r="AK45" s="183">
        <f>IF(F45="",0,('wgl tot'!BN45*IF(J45=1,tabellen!$C$13,IF(J45=2,tabellen!$C$14,IF(J45=3,tabellen!$C$15,IF(J45=5,tabellen!$C$17,IF(J45=6,tabellen!$C$18,IF(J45=7,tabellen!$C$19,IF(J45=8,tabellen!$C$20,tabellen!$C$16)))))))))</f>
        <v>0</v>
      </c>
      <c r="AL45" s="183">
        <f>IF(F45="",0,('wgl tot'!BN45*tabellen!$C$21))</f>
        <v>0</v>
      </c>
      <c r="AM45" s="237">
        <v>0</v>
      </c>
      <c r="AN45" s="151"/>
      <c r="AO45" s="237">
        <v>0</v>
      </c>
      <c r="AP45" s="151"/>
      <c r="AQ45" s="163">
        <f t="shared" si="19"/>
        <v>0</v>
      </c>
      <c r="AR45" s="163">
        <f t="shared" si="20"/>
        <v>0</v>
      </c>
      <c r="AS45" s="151"/>
      <c r="AT45" s="187" t="str">
        <f t="shared" si="23"/>
        <v/>
      </c>
      <c r="AU45" s="187" t="str">
        <f t="shared" si="24"/>
        <v/>
      </c>
      <c r="AV45" s="151"/>
      <c r="AW45" s="129"/>
      <c r="AX45" s="121"/>
      <c r="AY45" s="121"/>
      <c r="AZ45" s="165">
        <f ca="1">YEAR('wgl tot'!$AZ$9)-YEAR('wgl tot'!E45)</f>
        <v>119</v>
      </c>
      <c r="BA45" s="165">
        <f ca="1">MONTH('wgl tot'!$AZ$9)-MONTH('wgl tot'!E45)</f>
        <v>8</v>
      </c>
      <c r="BB45" s="165">
        <f ca="1">DAY('wgl tot'!$AZ$9)-DAY('wgl tot'!E45)</f>
        <v>14</v>
      </c>
      <c r="BC45" s="130">
        <f>IF(AND('wgl tot'!F45&gt;0,'wgl tot'!F45&lt;17),0,100)</f>
        <v>100</v>
      </c>
      <c r="BD45" s="130">
        <f t="shared" si="25"/>
        <v>0</v>
      </c>
      <c r="BE45" s="148">
        <v>42583</v>
      </c>
      <c r="BF45" s="166">
        <f t="shared" si="17"/>
        <v>0.08</v>
      </c>
      <c r="BG45" s="167">
        <f>+tabellen!$D$51</f>
        <v>6.3E-2</v>
      </c>
      <c r="BH45" s="165">
        <f>IF('wgl tot'!BC45=100,0,'wgl tot'!F45)</f>
        <v>0</v>
      </c>
      <c r="BI45" s="167" t="str">
        <f>IF(OR('wgl tot'!F45="DA",'wgl tot'!F45="DB",'wgl tot'!F45="DBuit",'wgl tot'!F45="DC",'wgl tot'!F45="DCuit",MID('wgl tot'!F45,1,5)="meerh"),"j","n")</f>
        <v>n</v>
      </c>
      <c r="BJ45" s="169" t="e">
        <f>IF('wgl tot'!W45/'wgl tot'!H45&lt;tabellen!$E$6,0,(+'wgl tot'!W45-tabellen!$E$6*'wgl tot'!H45)/12*tabellen!$D$6)</f>
        <v>#DIV/0!</v>
      </c>
      <c r="BK45" s="169" t="e">
        <f>IF('wgl tot'!W45/'wgl tot'!H45&lt;tabellen!$E$7,0,(+'wgl tot'!W45-tabellen!$E$7*'wgl tot'!H45)/12*tabellen!$D$7)</f>
        <v>#DIV/0!</v>
      </c>
      <c r="BL45" s="169">
        <f>'wgl tot'!W45/12*tabellen!$D$8</f>
        <v>0</v>
      </c>
      <c r="BM45" s="170" t="e">
        <f t="shared" si="22"/>
        <v>#DIV/0!</v>
      </c>
      <c r="BN45" s="171" t="e">
        <f>+Y45/12-'wgl tot'!BM45</f>
        <v>#DIV/0!</v>
      </c>
      <c r="BO45" s="171" t="e">
        <f>ROUND(IF('wgl tot'!BN45&gt;tabellen!$H$11,tabellen!$H$11,'wgl tot'!BN45)*tabellen!$C$11,2)</f>
        <v>#DIV/0!</v>
      </c>
      <c r="BP45" s="171" t="e">
        <f>+'wgl tot'!BN45+'wgl tot'!BO45</f>
        <v>#DIV/0!</v>
      </c>
      <c r="BQ45" s="172">
        <f t="shared" si="26"/>
        <v>1900</v>
      </c>
      <c r="BR45" s="172">
        <f t="shared" si="27"/>
        <v>1</v>
      </c>
      <c r="BS45" s="165">
        <f t="shared" si="28"/>
        <v>0</v>
      </c>
      <c r="BT45" s="148">
        <f t="shared" si="15"/>
        <v>22462</v>
      </c>
      <c r="BU45" s="148">
        <f t="shared" ca="1" si="16"/>
        <v>43722.739781944445</v>
      </c>
      <c r="BV45" s="130"/>
      <c r="BW45" s="148"/>
      <c r="BX45" s="130"/>
      <c r="BY45" s="168"/>
      <c r="BZ45" s="168"/>
      <c r="CA45" s="168"/>
      <c r="CB45" s="168"/>
      <c r="CC45" s="168"/>
      <c r="CD45" s="168"/>
      <c r="CE45" s="121"/>
      <c r="CF45" s="121"/>
    </row>
    <row r="46" spans="1:84" s="132" customFormat="1" ht="12" customHeight="1" x14ac:dyDescent="0.2">
      <c r="A46" s="121"/>
      <c r="B46" s="122"/>
      <c r="C46" s="151"/>
      <c r="D46" s="157"/>
      <c r="E46" s="158"/>
      <c r="F46" s="159"/>
      <c r="G46" s="159"/>
      <c r="H46" s="160"/>
      <c r="I46" s="159"/>
      <c r="J46" s="161"/>
      <c r="K46" s="181">
        <f>IF(F46="",0,(VLOOKUP('wgl tot'!F46,saltab2019,'wgl tot'!G46+1,FALSE)))</f>
        <v>0</v>
      </c>
      <c r="L46" s="163">
        <f t="shared" si="0"/>
        <v>0</v>
      </c>
      <c r="M46" s="151"/>
      <c r="N46" s="181">
        <f>ROUND(IF(('wgl tot'!L46+'wgl tot'!P46)*BF46&lt;'wgl tot'!H46*tabellen!$D$50,'wgl tot'!H46*tabellen!$D$50,('wgl tot'!L46+'wgl tot'!P46)*BF46),2)</f>
        <v>0</v>
      </c>
      <c r="O46" s="181">
        <f>ROUND(+('wgl tot'!L46+'wgl tot'!P46)*BG46,2)</f>
        <v>0</v>
      </c>
      <c r="P46" s="181">
        <f>ROUND(IF(I46="j",VLOOKUP(BD46,uitlooptoeslag,2,FALSE))*IF('wgl tot'!H46&gt;1,1,'wgl tot'!H46),2)</f>
        <v>0</v>
      </c>
      <c r="Q46" s="181">
        <f>ROUND(IF(BI46="j",tabellen!$D$59*IF('wgl tot'!H46&gt;1,1,'wgl tot'!H46),0),2)</f>
        <v>0</v>
      </c>
      <c r="R46" s="181">
        <f>IF(AND(F46&gt;0,F46&lt;17),tabellen!$C$41*'wgl tot'!H46,0)</f>
        <v>0</v>
      </c>
      <c r="S46" s="181">
        <f>VLOOKUP(BH46,eindejaarsuitkering_OOP,2,TRUE)*'wgl tot'!H46/12</f>
        <v>0</v>
      </c>
      <c r="T46" s="181">
        <f>ROUND(H46*tabellen!$D$57,2)</f>
        <v>0</v>
      </c>
      <c r="U46" s="181">
        <f>ROUND(H46*tabellen!C$45,2)</f>
        <v>0</v>
      </c>
      <c r="V46" s="181">
        <f>H46*(IF(F46="L10",42%*VLOOKUP(tabellen!L$45,saltab2018sept,G46+1,FALSE),IF(F46="L11",42%*VLOOKUP(tabellen!L$46,saltab2018sept,G46+1,FALSE),IF(F46="L12",42%*VLOOKUP(tabellen!L$47,saltab2018sept,G46+1,FALSE),IF(F46="L13",42%*VLOOKUP(tabellen!L$48,saltab2018sept,G46+1,FALSE),0)))))</f>
        <v>0</v>
      </c>
      <c r="W46" s="182">
        <f t="shared" si="9"/>
        <v>0</v>
      </c>
      <c r="X46" s="181">
        <f>('wgl tot'!L46+'wgl tot'!P46)*tabellen!$C$43*12</f>
        <v>0</v>
      </c>
      <c r="Y46" s="163">
        <f t="shared" si="10"/>
        <v>0</v>
      </c>
      <c r="Z46" s="151"/>
      <c r="AA46" s="182">
        <f t="shared" si="18"/>
        <v>0</v>
      </c>
      <c r="AB46" s="217">
        <f>+'wgl tot'!X46/12</f>
        <v>0</v>
      </c>
      <c r="AC46" s="151"/>
      <c r="AD46" s="181">
        <f>IF(F46="",0,(IF('wgl tot'!W46/'wgl tot'!H46&lt;tabellen!$E$6,0,('wgl tot'!W46-tabellen!$E$6*'wgl tot'!H46)/12)*tabellen!$C$6))</f>
        <v>0</v>
      </c>
      <c r="AE46" s="181">
        <f>IF(F46="",0,(IF('wgl tot'!W46/'wgl tot'!H46&lt;tabellen!$E$7,0,(+'wgl tot'!W46-tabellen!$E$7*'wgl tot'!H46)/12)*tabellen!$C$7))</f>
        <v>0</v>
      </c>
      <c r="AF46" s="181">
        <f>'wgl tot'!W46/12*tabellen!$C$8</f>
        <v>0</v>
      </c>
      <c r="AG46" s="181">
        <f>IF(H46=0,0,IF(BN46&gt;tabellen!$G$9/12,tabellen!$G$9/12,BN46)*(tabellen!$C$9+tabellen!$C$10))</f>
        <v>0</v>
      </c>
      <c r="AH46" s="181">
        <f>IF(F46="",0,('wgl tot'!BO46))</f>
        <v>0</v>
      </c>
      <c r="AI46" s="183">
        <f>IF(F46="",0,(IF('wgl tot'!BN46&gt;tabellen!$G$12*'wgl tot'!H46/12,tabellen!$G$12*'wgl tot'!H46/12,'wgl tot'!BN46)*tabellen!$C$12))</f>
        <v>0</v>
      </c>
      <c r="AJ46" s="151"/>
      <c r="AK46" s="183">
        <f>IF(F46="",0,('wgl tot'!BN46*IF(J46=1,tabellen!$C$13,IF(J46=2,tabellen!$C$14,IF(J46=3,tabellen!$C$15,IF(J46=5,tabellen!$C$17,IF(J46=6,tabellen!$C$18,IF(J46=7,tabellen!$C$19,IF(J46=8,tabellen!$C$20,tabellen!$C$16)))))))))</f>
        <v>0</v>
      </c>
      <c r="AL46" s="183">
        <f>IF(F46="",0,('wgl tot'!BN46*tabellen!$C$21))</f>
        <v>0</v>
      </c>
      <c r="AM46" s="237">
        <v>0</v>
      </c>
      <c r="AN46" s="151"/>
      <c r="AO46" s="237">
        <v>0</v>
      </c>
      <c r="AP46" s="151"/>
      <c r="AQ46" s="163">
        <f t="shared" si="19"/>
        <v>0</v>
      </c>
      <c r="AR46" s="163">
        <f t="shared" si="20"/>
        <v>0</v>
      </c>
      <c r="AS46" s="151"/>
      <c r="AT46" s="187" t="str">
        <f t="shared" si="23"/>
        <v/>
      </c>
      <c r="AU46" s="187" t="str">
        <f t="shared" si="24"/>
        <v/>
      </c>
      <c r="AV46" s="151"/>
      <c r="AW46" s="129"/>
      <c r="AX46" s="121"/>
      <c r="AY46" s="121"/>
      <c r="AZ46" s="165">
        <f ca="1">YEAR('wgl tot'!$AZ$9)-YEAR('wgl tot'!E46)</f>
        <v>119</v>
      </c>
      <c r="BA46" s="165">
        <f ca="1">MONTH('wgl tot'!$AZ$9)-MONTH('wgl tot'!E46)</f>
        <v>8</v>
      </c>
      <c r="BB46" s="165">
        <f ca="1">DAY('wgl tot'!$AZ$9)-DAY('wgl tot'!E46)</f>
        <v>14</v>
      </c>
      <c r="BC46" s="130">
        <f>IF(AND('wgl tot'!F46&gt;0,'wgl tot'!F46&lt;17),0,100)</f>
        <v>100</v>
      </c>
      <c r="BD46" s="130">
        <f t="shared" si="25"/>
        <v>0</v>
      </c>
      <c r="BE46" s="148">
        <v>42583</v>
      </c>
      <c r="BF46" s="166">
        <f t="shared" si="17"/>
        <v>0.08</v>
      </c>
      <c r="BG46" s="167">
        <f>+tabellen!$D$51</f>
        <v>6.3E-2</v>
      </c>
      <c r="BH46" s="165">
        <f>IF('wgl tot'!BC46=100,0,'wgl tot'!F46)</f>
        <v>0</v>
      </c>
      <c r="BI46" s="167" t="str">
        <f>IF(OR('wgl tot'!F46="DA",'wgl tot'!F46="DB",'wgl tot'!F46="DBuit",'wgl tot'!F46="DC",'wgl tot'!F46="DCuit",MID('wgl tot'!F46,1,5)="meerh"),"j","n")</f>
        <v>n</v>
      </c>
      <c r="BJ46" s="169" t="e">
        <f>IF('wgl tot'!W46/'wgl tot'!H46&lt;tabellen!$E$6,0,(+'wgl tot'!W46-tabellen!$E$6*'wgl tot'!H46)/12*tabellen!$D$6)</f>
        <v>#DIV/0!</v>
      </c>
      <c r="BK46" s="169" t="e">
        <f>IF('wgl tot'!W46/'wgl tot'!H46&lt;tabellen!$E$7,0,(+'wgl tot'!W46-tabellen!$E$7*'wgl tot'!H46)/12*tabellen!$D$7)</f>
        <v>#DIV/0!</v>
      </c>
      <c r="BL46" s="169">
        <f>'wgl tot'!W46/12*tabellen!$D$8</f>
        <v>0</v>
      </c>
      <c r="BM46" s="170" t="e">
        <f t="shared" si="22"/>
        <v>#DIV/0!</v>
      </c>
      <c r="BN46" s="171" t="e">
        <f>+Y46/12-'wgl tot'!BM46</f>
        <v>#DIV/0!</v>
      </c>
      <c r="BO46" s="171" t="e">
        <f>ROUND(IF('wgl tot'!BN46&gt;tabellen!$H$11,tabellen!$H$11,'wgl tot'!BN46)*tabellen!$C$11,2)</f>
        <v>#DIV/0!</v>
      </c>
      <c r="BP46" s="171" t="e">
        <f>+'wgl tot'!BN46+'wgl tot'!BO46</f>
        <v>#DIV/0!</v>
      </c>
      <c r="BQ46" s="172">
        <f t="shared" si="26"/>
        <v>1900</v>
      </c>
      <c r="BR46" s="172">
        <f t="shared" si="27"/>
        <v>1</v>
      </c>
      <c r="BS46" s="165">
        <f t="shared" si="28"/>
        <v>0</v>
      </c>
      <c r="BT46" s="148">
        <f t="shared" si="15"/>
        <v>22462</v>
      </c>
      <c r="BU46" s="148">
        <f t="shared" ca="1" si="16"/>
        <v>43722.739781944445</v>
      </c>
      <c r="BV46" s="130"/>
      <c r="BW46" s="148"/>
      <c r="BX46" s="130"/>
      <c r="BY46" s="168"/>
      <c r="BZ46" s="168"/>
      <c r="CA46" s="168"/>
      <c r="CB46" s="168"/>
      <c r="CC46" s="168"/>
      <c r="CD46" s="168"/>
      <c r="CE46" s="121"/>
      <c r="CF46" s="121"/>
    </row>
    <row r="47" spans="1:84" s="132" customFormat="1" ht="12" customHeight="1" x14ac:dyDescent="0.2">
      <c r="A47" s="121"/>
      <c r="B47" s="122"/>
      <c r="C47" s="151"/>
      <c r="D47" s="157"/>
      <c r="E47" s="158"/>
      <c r="F47" s="159"/>
      <c r="G47" s="159"/>
      <c r="H47" s="160"/>
      <c r="I47" s="159"/>
      <c r="J47" s="161"/>
      <c r="K47" s="181">
        <f>IF(F47="",0,(VLOOKUP('wgl tot'!F47,saltab2019,'wgl tot'!G47+1,FALSE)))</f>
        <v>0</v>
      </c>
      <c r="L47" s="163">
        <f t="shared" si="0"/>
        <v>0</v>
      </c>
      <c r="M47" s="151"/>
      <c r="N47" s="181">
        <f>ROUND(IF(('wgl tot'!L47+'wgl tot'!P47)*BF47&lt;'wgl tot'!H47*tabellen!$D$50,'wgl tot'!H47*tabellen!$D$50,('wgl tot'!L47+'wgl tot'!P47)*BF47),2)</f>
        <v>0</v>
      </c>
      <c r="O47" s="181">
        <f>ROUND(+('wgl tot'!L47+'wgl tot'!P47)*BG47,2)</f>
        <v>0</v>
      </c>
      <c r="P47" s="181">
        <f>ROUND(IF(I47="j",VLOOKUP(BD47,uitlooptoeslag,2,FALSE))*IF('wgl tot'!H47&gt;1,1,'wgl tot'!H47),2)</f>
        <v>0</v>
      </c>
      <c r="Q47" s="181">
        <f>ROUND(IF(BI47="j",tabellen!$D$59*IF('wgl tot'!H47&gt;1,1,'wgl tot'!H47),0),2)</f>
        <v>0</v>
      </c>
      <c r="R47" s="181">
        <f>IF(AND(F47&gt;0,F47&lt;17),tabellen!$C$41*'wgl tot'!H47,0)</f>
        <v>0</v>
      </c>
      <c r="S47" s="181">
        <f>VLOOKUP(BH47,eindejaarsuitkering_OOP,2,TRUE)*'wgl tot'!H47/12</f>
        <v>0</v>
      </c>
      <c r="T47" s="181">
        <f>ROUND(H47*tabellen!$D$57,2)</f>
        <v>0</v>
      </c>
      <c r="U47" s="181">
        <f>ROUND(H47*tabellen!C$45,2)</f>
        <v>0</v>
      </c>
      <c r="V47" s="181">
        <f>H47*(IF(F47="L10",42%*VLOOKUP(tabellen!L$45,saltab2018sept,G47+1,FALSE),IF(F47="L11",42%*VLOOKUP(tabellen!L$46,saltab2018sept,G47+1,FALSE),IF(F47="L12",42%*VLOOKUP(tabellen!L$47,saltab2018sept,G47+1,FALSE),IF(F47="L13",42%*VLOOKUP(tabellen!L$48,saltab2018sept,G47+1,FALSE),0)))))</f>
        <v>0</v>
      </c>
      <c r="W47" s="182">
        <f t="shared" si="9"/>
        <v>0</v>
      </c>
      <c r="X47" s="181">
        <f>('wgl tot'!L47+'wgl tot'!P47)*tabellen!$C$43*12</f>
        <v>0</v>
      </c>
      <c r="Y47" s="163">
        <f t="shared" si="10"/>
        <v>0</v>
      </c>
      <c r="Z47" s="151"/>
      <c r="AA47" s="182">
        <f t="shared" si="18"/>
        <v>0</v>
      </c>
      <c r="AB47" s="217">
        <f>+'wgl tot'!X47/12</f>
        <v>0</v>
      </c>
      <c r="AC47" s="151"/>
      <c r="AD47" s="181">
        <f>IF(F47="",0,(IF('wgl tot'!W47/'wgl tot'!H47&lt;tabellen!$E$6,0,('wgl tot'!W47-tabellen!$E$6*'wgl tot'!H47)/12)*tabellen!$C$6))</f>
        <v>0</v>
      </c>
      <c r="AE47" s="181">
        <f>IF(F47="",0,(IF('wgl tot'!W47/'wgl tot'!H47&lt;tabellen!$E$7,0,(+'wgl tot'!W47-tabellen!$E$7*'wgl tot'!H47)/12)*tabellen!$C$7))</f>
        <v>0</v>
      </c>
      <c r="AF47" s="181">
        <f>'wgl tot'!W47/12*tabellen!$C$8</f>
        <v>0</v>
      </c>
      <c r="AG47" s="181">
        <f>IF(H47=0,0,IF(BN47&gt;tabellen!$G$9/12,tabellen!$G$9/12,BN47)*(tabellen!$C$9+tabellen!$C$10))</f>
        <v>0</v>
      </c>
      <c r="AH47" s="181">
        <f>IF(F47="",0,('wgl tot'!BO47))</f>
        <v>0</v>
      </c>
      <c r="AI47" s="183">
        <f>IF(F47="",0,(IF('wgl tot'!BN47&gt;tabellen!$G$12*'wgl tot'!H47/12,tabellen!$G$12*'wgl tot'!H47/12,'wgl tot'!BN47)*tabellen!$C$12))</f>
        <v>0</v>
      </c>
      <c r="AJ47" s="151"/>
      <c r="AK47" s="183">
        <f>IF(F47="",0,('wgl tot'!BN47*IF(J47=1,tabellen!$C$13,IF(J47=2,tabellen!$C$14,IF(J47=3,tabellen!$C$15,IF(J47=5,tabellen!$C$17,IF(J47=6,tabellen!$C$18,IF(J47=7,tabellen!$C$19,IF(J47=8,tabellen!$C$20,tabellen!$C$16)))))))))</f>
        <v>0</v>
      </c>
      <c r="AL47" s="183">
        <f>IF(F47="",0,('wgl tot'!BN47*tabellen!$C$21))</f>
        <v>0</v>
      </c>
      <c r="AM47" s="237">
        <v>0</v>
      </c>
      <c r="AN47" s="151"/>
      <c r="AO47" s="237">
        <v>0</v>
      </c>
      <c r="AP47" s="151"/>
      <c r="AQ47" s="163">
        <f t="shared" si="19"/>
        <v>0</v>
      </c>
      <c r="AR47" s="163">
        <f t="shared" si="20"/>
        <v>0</v>
      </c>
      <c r="AS47" s="151"/>
      <c r="AT47" s="187" t="str">
        <f t="shared" si="23"/>
        <v/>
      </c>
      <c r="AU47" s="187" t="str">
        <f t="shared" si="24"/>
        <v/>
      </c>
      <c r="AV47" s="151"/>
      <c r="AW47" s="129"/>
      <c r="AX47" s="121"/>
      <c r="AY47" s="121"/>
      <c r="AZ47" s="165">
        <f ca="1">YEAR('wgl tot'!$AZ$9)-YEAR('wgl tot'!E47)</f>
        <v>119</v>
      </c>
      <c r="BA47" s="165">
        <f ca="1">MONTH('wgl tot'!$AZ$9)-MONTH('wgl tot'!E47)</f>
        <v>8</v>
      </c>
      <c r="BB47" s="165">
        <f ca="1">DAY('wgl tot'!$AZ$9)-DAY('wgl tot'!E47)</f>
        <v>14</v>
      </c>
      <c r="BC47" s="130">
        <f>IF(AND('wgl tot'!F47&gt;0,'wgl tot'!F47&lt;17),0,100)</f>
        <v>100</v>
      </c>
      <c r="BD47" s="130">
        <f t="shared" si="25"/>
        <v>0</v>
      </c>
      <c r="BE47" s="148">
        <v>42583</v>
      </c>
      <c r="BF47" s="166">
        <f t="shared" si="17"/>
        <v>0.08</v>
      </c>
      <c r="BG47" s="167">
        <f>+tabellen!$D$51</f>
        <v>6.3E-2</v>
      </c>
      <c r="BH47" s="165">
        <f>IF('wgl tot'!BC47=100,0,'wgl tot'!F47)</f>
        <v>0</v>
      </c>
      <c r="BI47" s="167" t="str">
        <f>IF(OR('wgl tot'!F47="DA",'wgl tot'!F47="DB",'wgl tot'!F47="DBuit",'wgl tot'!F47="DC",'wgl tot'!F47="DCuit",MID('wgl tot'!F47,1,5)="meerh"),"j","n")</f>
        <v>n</v>
      </c>
      <c r="BJ47" s="169" t="e">
        <f>IF('wgl tot'!W47/'wgl tot'!H47&lt;tabellen!$E$6,0,(+'wgl tot'!W47-tabellen!$E$6*'wgl tot'!H47)/12*tabellen!$D$6)</f>
        <v>#DIV/0!</v>
      </c>
      <c r="BK47" s="169" t="e">
        <f>IF('wgl tot'!W47/'wgl tot'!H47&lt;tabellen!$E$7,0,(+'wgl tot'!W47-tabellen!$E$7*'wgl tot'!H47)/12*tabellen!$D$7)</f>
        <v>#DIV/0!</v>
      </c>
      <c r="BL47" s="169">
        <f>'wgl tot'!W47/12*tabellen!$D$8</f>
        <v>0</v>
      </c>
      <c r="BM47" s="170" t="e">
        <f t="shared" si="22"/>
        <v>#DIV/0!</v>
      </c>
      <c r="BN47" s="171" t="e">
        <f>+Y47/12-'wgl tot'!BM47</f>
        <v>#DIV/0!</v>
      </c>
      <c r="BO47" s="171" t="e">
        <f>ROUND(IF('wgl tot'!BN47&gt;tabellen!$H$11,tabellen!$H$11,'wgl tot'!BN47)*tabellen!$C$11,2)</f>
        <v>#DIV/0!</v>
      </c>
      <c r="BP47" s="171" t="e">
        <f>+'wgl tot'!BN47+'wgl tot'!BO47</f>
        <v>#DIV/0!</v>
      </c>
      <c r="BQ47" s="172">
        <f t="shared" si="26"/>
        <v>1900</v>
      </c>
      <c r="BR47" s="172">
        <f t="shared" si="27"/>
        <v>1</v>
      </c>
      <c r="BS47" s="165">
        <f t="shared" si="28"/>
        <v>0</v>
      </c>
      <c r="BT47" s="148">
        <f t="shared" si="15"/>
        <v>22462</v>
      </c>
      <c r="BU47" s="148">
        <f t="shared" ca="1" si="16"/>
        <v>43722.739781944445</v>
      </c>
      <c r="BV47" s="130"/>
      <c r="BW47" s="148"/>
      <c r="BX47" s="130"/>
      <c r="BY47" s="168"/>
      <c r="BZ47" s="168"/>
      <c r="CA47" s="168"/>
      <c r="CB47" s="168"/>
      <c r="CC47" s="168"/>
      <c r="CD47" s="168"/>
      <c r="CE47" s="121"/>
      <c r="CF47" s="121"/>
    </row>
    <row r="48" spans="1:84" s="132" customFormat="1" ht="12" customHeight="1" x14ac:dyDescent="0.2">
      <c r="A48" s="121"/>
      <c r="B48" s="122"/>
      <c r="C48" s="151"/>
      <c r="D48" s="157"/>
      <c r="E48" s="158"/>
      <c r="F48" s="159"/>
      <c r="G48" s="159"/>
      <c r="H48" s="160"/>
      <c r="I48" s="159"/>
      <c r="J48" s="161"/>
      <c r="K48" s="181">
        <f>IF(F48="",0,(VLOOKUP('wgl tot'!F48,saltab2019,'wgl tot'!G48+1,FALSE)))</f>
        <v>0</v>
      </c>
      <c r="L48" s="163">
        <f t="shared" si="0"/>
        <v>0</v>
      </c>
      <c r="M48" s="151"/>
      <c r="N48" s="181">
        <f>ROUND(IF(('wgl tot'!L48+'wgl tot'!P48)*BF48&lt;'wgl tot'!H48*tabellen!$D$50,'wgl tot'!H48*tabellen!$D$50,('wgl tot'!L48+'wgl tot'!P48)*BF48),2)</f>
        <v>0</v>
      </c>
      <c r="O48" s="181">
        <f>ROUND(+('wgl tot'!L48+'wgl tot'!P48)*BG48,2)</f>
        <v>0</v>
      </c>
      <c r="P48" s="181">
        <f>ROUND(IF(I48="j",VLOOKUP(BD48,uitlooptoeslag,2,FALSE))*IF('wgl tot'!H48&gt;1,1,'wgl tot'!H48),2)</f>
        <v>0</v>
      </c>
      <c r="Q48" s="181">
        <f>ROUND(IF(BI48="j",tabellen!$D$59*IF('wgl tot'!H48&gt;1,1,'wgl tot'!H48),0),2)</f>
        <v>0</v>
      </c>
      <c r="R48" s="181">
        <f>IF(AND(F48&gt;0,F48&lt;17),tabellen!$C$41*'wgl tot'!H48,0)</f>
        <v>0</v>
      </c>
      <c r="S48" s="181">
        <f>VLOOKUP(BH48,eindejaarsuitkering_OOP,2,TRUE)*'wgl tot'!H48/12</f>
        <v>0</v>
      </c>
      <c r="T48" s="181">
        <f>ROUND(H48*tabellen!$D$57,2)</f>
        <v>0</v>
      </c>
      <c r="U48" s="181">
        <f>ROUND(H48*tabellen!C$45,2)</f>
        <v>0</v>
      </c>
      <c r="V48" s="181">
        <f>H48*(IF(F48="L10",42%*VLOOKUP(tabellen!L$45,saltab2018sept,G48+1,FALSE),IF(F48="L11",42%*VLOOKUP(tabellen!L$46,saltab2018sept,G48+1,FALSE),IF(F48="L12",42%*VLOOKUP(tabellen!L$47,saltab2018sept,G48+1,FALSE),IF(F48="L13",42%*VLOOKUP(tabellen!L$48,saltab2018sept,G48+1,FALSE),0)))))</f>
        <v>0</v>
      </c>
      <c r="W48" s="182">
        <f t="shared" si="9"/>
        <v>0</v>
      </c>
      <c r="X48" s="181">
        <f>('wgl tot'!L48+'wgl tot'!P48)*tabellen!$C$43*12</f>
        <v>0</v>
      </c>
      <c r="Y48" s="163">
        <f t="shared" si="10"/>
        <v>0</v>
      </c>
      <c r="Z48" s="151"/>
      <c r="AA48" s="182">
        <f t="shared" si="18"/>
        <v>0</v>
      </c>
      <c r="AB48" s="217">
        <f>+'wgl tot'!X48/12</f>
        <v>0</v>
      </c>
      <c r="AC48" s="151"/>
      <c r="AD48" s="181">
        <f>IF(F48="",0,(IF('wgl tot'!W48/'wgl tot'!H48&lt;tabellen!$E$6,0,('wgl tot'!W48-tabellen!$E$6*'wgl tot'!H48)/12)*tabellen!$C$6))</f>
        <v>0</v>
      </c>
      <c r="AE48" s="181">
        <f>IF(F48="",0,(IF('wgl tot'!W48/'wgl tot'!H48&lt;tabellen!$E$7,0,(+'wgl tot'!W48-tabellen!$E$7*'wgl tot'!H48)/12)*tabellen!$C$7))</f>
        <v>0</v>
      </c>
      <c r="AF48" s="181">
        <f>'wgl tot'!W48/12*tabellen!$C$8</f>
        <v>0</v>
      </c>
      <c r="AG48" s="181">
        <f>IF(H48=0,0,IF(BN48&gt;tabellen!$G$9/12,tabellen!$G$9/12,BN48)*(tabellen!$C$9+tabellen!$C$10))</f>
        <v>0</v>
      </c>
      <c r="AH48" s="181">
        <f>IF(F48="",0,('wgl tot'!BO48))</f>
        <v>0</v>
      </c>
      <c r="AI48" s="183">
        <f>IF(F48="",0,(IF('wgl tot'!BN48&gt;tabellen!$G$12*'wgl tot'!H48/12,tabellen!$G$12*'wgl tot'!H48/12,'wgl tot'!BN48)*tabellen!$C$12))</f>
        <v>0</v>
      </c>
      <c r="AJ48" s="151"/>
      <c r="AK48" s="183">
        <f>IF(F48="",0,('wgl tot'!BN48*IF(J48=1,tabellen!$C$13,IF(J48=2,tabellen!$C$14,IF(J48=3,tabellen!$C$15,IF(J48=5,tabellen!$C$17,IF(J48=6,tabellen!$C$18,IF(J48=7,tabellen!$C$19,IF(J48=8,tabellen!$C$20,tabellen!$C$16)))))))))</f>
        <v>0</v>
      </c>
      <c r="AL48" s="183">
        <f>IF(F48="",0,('wgl tot'!BN48*tabellen!$C$21))</f>
        <v>0</v>
      </c>
      <c r="AM48" s="237">
        <v>0</v>
      </c>
      <c r="AN48" s="151"/>
      <c r="AO48" s="237">
        <v>0</v>
      </c>
      <c r="AP48" s="151"/>
      <c r="AQ48" s="163">
        <f t="shared" si="19"/>
        <v>0</v>
      </c>
      <c r="AR48" s="163">
        <f t="shared" si="20"/>
        <v>0</v>
      </c>
      <c r="AS48" s="151"/>
      <c r="AT48" s="187" t="str">
        <f t="shared" si="23"/>
        <v/>
      </c>
      <c r="AU48" s="187" t="str">
        <f t="shared" si="24"/>
        <v/>
      </c>
      <c r="AV48" s="151"/>
      <c r="AW48" s="129"/>
      <c r="AX48" s="121"/>
      <c r="AY48" s="121"/>
      <c r="AZ48" s="165">
        <f ca="1">YEAR('wgl tot'!$AZ$9)-YEAR('wgl tot'!E48)</f>
        <v>119</v>
      </c>
      <c r="BA48" s="165">
        <f ca="1">MONTH('wgl tot'!$AZ$9)-MONTH('wgl tot'!E48)</f>
        <v>8</v>
      </c>
      <c r="BB48" s="165">
        <f ca="1">DAY('wgl tot'!$AZ$9)-DAY('wgl tot'!E48)</f>
        <v>14</v>
      </c>
      <c r="BC48" s="130">
        <f>IF(AND('wgl tot'!F48&gt;0,'wgl tot'!F48&lt;17),0,100)</f>
        <v>100</v>
      </c>
      <c r="BD48" s="130">
        <f t="shared" si="25"/>
        <v>0</v>
      </c>
      <c r="BE48" s="148">
        <v>42583</v>
      </c>
      <c r="BF48" s="166">
        <f t="shared" si="17"/>
        <v>0.08</v>
      </c>
      <c r="BG48" s="167">
        <f>+tabellen!$D$51</f>
        <v>6.3E-2</v>
      </c>
      <c r="BH48" s="165">
        <f>IF('wgl tot'!BC48=100,0,'wgl tot'!F48)</f>
        <v>0</v>
      </c>
      <c r="BI48" s="167" t="str">
        <f>IF(OR('wgl tot'!F48="DA",'wgl tot'!F48="DB",'wgl tot'!F48="DBuit",'wgl tot'!F48="DC",'wgl tot'!F48="DCuit",MID('wgl tot'!F48,1,5)="meerh"),"j","n")</f>
        <v>n</v>
      </c>
      <c r="BJ48" s="169" t="e">
        <f>IF('wgl tot'!W48/'wgl tot'!H48&lt;tabellen!$E$6,0,(+'wgl tot'!W48-tabellen!$E$6*'wgl tot'!H48)/12*tabellen!$D$6)</f>
        <v>#DIV/0!</v>
      </c>
      <c r="BK48" s="169" t="e">
        <f>IF('wgl tot'!W48/'wgl tot'!H48&lt;tabellen!$E$7,0,(+'wgl tot'!W48-tabellen!$E$7*'wgl tot'!H48)/12*tabellen!$D$7)</f>
        <v>#DIV/0!</v>
      </c>
      <c r="BL48" s="169">
        <f>'wgl tot'!W48/12*tabellen!$D$8</f>
        <v>0</v>
      </c>
      <c r="BM48" s="170" t="e">
        <f t="shared" si="22"/>
        <v>#DIV/0!</v>
      </c>
      <c r="BN48" s="171" t="e">
        <f>+Y48/12-'wgl tot'!BM48</f>
        <v>#DIV/0!</v>
      </c>
      <c r="BO48" s="171" t="e">
        <f>ROUND(IF('wgl tot'!BN48&gt;tabellen!$H$11,tabellen!$H$11,'wgl tot'!BN48)*tabellen!$C$11,2)</f>
        <v>#DIV/0!</v>
      </c>
      <c r="BP48" s="171" t="e">
        <f>+'wgl tot'!BN48+'wgl tot'!BO48</f>
        <v>#DIV/0!</v>
      </c>
      <c r="BQ48" s="172">
        <f t="shared" si="26"/>
        <v>1900</v>
      </c>
      <c r="BR48" s="172">
        <f t="shared" si="27"/>
        <v>1</v>
      </c>
      <c r="BS48" s="165">
        <f t="shared" si="28"/>
        <v>0</v>
      </c>
      <c r="BT48" s="148">
        <f t="shared" si="15"/>
        <v>22462</v>
      </c>
      <c r="BU48" s="148">
        <f t="shared" ca="1" si="16"/>
        <v>43722.739781944445</v>
      </c>
      <c r="BV48" s="130"/>
      <c r="BW48" s="148"/>
      <c r="BX48" s="130"/>
      <c r="BY48" s="168"/>
      <c r="BZ48" s="168"/>
      <c r="CA48" s="168"/>
      <c r="CB48" s="168"/>
      <c r="CC48" s="168"/>
      <c r="CD48" s="168"/>
      <c r="CE48" s="121"/>
      <c r="CF48" s="121"/>
    </row>
    <row r="49" spans="1:84" s="132" customFormat="1" ht="12" customHeight="1" x14ac:dyDescent="0.2">
      <c r="A49" s="121"/>
      <c r="B49" s="122"/>
      <c r="C49" s="151"/>
      <c r="D49" s="157"/>
      <c r="E49" s="158"/>
      <c r="F49" s="159"/>
      <c r="G49" s="159"/>
      <c r="H49" s="160"/>
      <c r="I49" s="159"/>
      <c r="J49" s="161"/>
      <c r="K49" s="181">
        <f>IF(F49="",0,(VLOOKUP('wgl tot'!F49,saltab2019,'wgl tot'!G49+1,FALSE)))</f>
        <v>0</v>
      </c>
      <c r="L49" s="163">
        <f t="shared" si="0"/>
        <v>0</v>
      </c>
      <c r="M49" s="151"/>
      <c r="N49" s="181">
        <f>ROUND(IF(('wgl tot'!L49+'wgl tot'!P49)*BF49&lt;'wgl tot'!H49*tabellen!$D$50,'wgl tot'!H49*tabellen!$D$50,('wgl tot'!L49+'wgl tot'!P49)*BF49),2)</f>
        <v>0</v>
      </c>
      <c r="O49" s="181">
        <f>ROUND(+('wgl tot'!L49+'wgl tot'!P49)*BG49,2)</f>
        <v>0</v>
      </c>
      <c r="P49" s="181">
        <f>ROUND(IF(I49="j",VLOOKUP(BD49,uitlooptoeslag,2,FALSE))*IF('wgl tot'!H49&gt;1,1,'wgl tot'!H49),2)</f>
        <v>0</v>
      </c>
      <c r="Q49" s="181">
        <f>ROUND(IF(BI49="j",tabellen!$D$59*IF('wgl tot'!H49&gt;1,1,'wgl tot'!H49),0),2)</f>
        <v>0</v>
      </c>
      <c r="R49" s="181">
        <f>IF(AND(F49&gt;0,F49&lt;17),tabellen!$C$41*'wgl tot'!H49,0)</f>
        <v>0</v>
      </c>
      <c r="S49" s="181">
        <f>VLOOKUP(BH49,eindejaarsuitkering_OOP,2,TRUE)*'wgl tot'!H49/12</f>
        <v>0</v>
      </c>
      <c r="T49" s="181">
        <f>ROUND(H49*tabellen!$D$57,2)</f>
        <v>0</v>
      </c>
      <c r="U49" s="181">
        <f>ROUND(H49*tabellen!C$45,2)</f>
        <v>0</v>
      </c>
      <c r="V49" s="181">
        <f>H49*(IF(F49="L10",42%*VLOOKUP(tabellen!L$45,saltab2018sept,G49+1,FALSE),IF(F49="L11",42%*VLOOKUP(tabellen!L$46,saltab2018sept,G49+1,FALSE),IF(F49="L12",42%*VLOOKUP(tabellen!L$47,saltab2018sept,G49+1,FALSE),IF(F49="L13",42%*VLOOKUP(tabellen!L$48,saltab2018sept,G49+1,FALSE),0)))))</f>
        <v>0</v>
      </c>
      <c r="W49" s="182">
        <f t="shared" si="9"/>
        <v>0</v>
      </c>
      <c r="X49" s="181">
        <f>('wgl tot'!L49+'wgl tot'!P49)*tabellen!$C$43*12</f>
        <v>0</v>
      </c>
      <c r="Y49" s="163">
        <f t="shared" si="10"/>
        <v>0</v>
      </c>
      <c r="Z49" s="151"/>
      <c r="AA49" s="182">
        <f t="shared" si="18"/>
        <v>0</v>
      </c>
      <c r="AB49" s="217">
        <f>+'wgl tot'!X49/12</f>
        <v>0</v>
      </c>
      <c r="AC49" s="151"/>
      <c r="AD49" s="181">
        <f>IF(F49="",0,(IF('wgl tot'!W49/'wgl tot'!H49&lt;tabellen!$E$6,0,('wgl tot'!W49-tabellen!$E$6*'wgl tot'!H49)/12)*tabellen!$C$6))</f>
        <v>0</v>
      </c>
      <c r="AE49" s="181">
        <f>IF(F49="",0,(IF('wgl tot'!W49/'wgl tot'!H49&lt;tabellen!$E$7,0,(+'wgl tot'!W49-tabellen!$E$7*'wgl tot'!H49)/12)*tabellen!$C$7))</f>
        <v>0</v>
      </c>
      <c r="AF49" s="181">
        <f>'wgl tot'!W49/12*tabellen!$C$8</f>
        <v>0</v>
      </c>
      <c r="AG49" s="181">
        <f>IF(H49=0,0,IF(BN49&gt;tabellen!$G$9/12,tabellen!$G$9/12,BN49)*(tabellen!$C$9+tabellen!$C$10))</f>
        <v>0</v>
      </c>
      <c r="AH49" s="181">
        <f>IF(F49="",0,('wgl tot'!BO49))</f>
        <v>0</v>
      </c>
      <c r="AI49" s="183">
        <f>IF(F49="",0,(IF('wgl tot'!BN49&gt;tabellen!$G$12*'wgl tot'!H49/12,tabellen!$G$12*'wgl tot'!H49/12,'wgl tot'!BN49)*tabellen!$C$12))</f>
        <v>0</v>
      </c>
      <c r="AJ49" s="151"/>
      <c r="AK49" s="183">
        <f>IF(F49="",0,('wgl tot'!BN49*IF(J49=1,tabellen!$C$13,IF(J49=2,tabellen!$C$14,IF(J49=3,tabellen!$C$15,IF(J49=5,tabellen!$C$17,IF(J49=6,tabellen!$C$18,IF(J49=7,tabellen!$C$19,IF(J49=8,tabellen!$C$20,tabellen!$C$16)))))))))</f>
        <v>0</v>
      </c>
      <c r="AL49" s="183">
        <f>IF(F49="",0,('wgl tot'!BN49*tabellen!$C$21))</f>
        <v>0</v>
      </c>
      <c r="AM49" s="237">
        <v>0</v>
      </c>
      <c r="AN49" s="151"/>
      <c r="AO49" s="237">
        <v>0</v>
      </c>
      <c r="AP49" s="151"/>
      <c r="AQ49" s="163">
        <f t="shared" si="19"/>
        <v>0</v>
      </c>
      <c r="AR49" s="163">
        <f t="shared" si="20"/>
        <v>0</v>
      </c>
      <c r="AS49" s="151"/>
      <c r="AT49" s="187" t="str">
        <f t="shared" si="23"/>
        <v/>
      </c>
      <c r="AU49" s="187" t="str">
        <f t="shared" si="24"/>
        <v/>
      </c>
      <c r="AV49" s="151"/>
      <c r="AW49" s="129"/>
      <c r="AX49" s="121"/>
      <c r="AY49" s="121"/>
      <c r="AZ49" s="165">
        <f ca="1">YEAR('wgl tot'!$AZ$9)-YEAR('wgl tot'!E49)</f>
        <v>119</v>
      </c>
      <c r="BA49" s="165">
        <f ca="1">MONTH('wgl tot'!$AZ$9)-MONTH('wgl tot'!E49)</f>
        <v>8</v>
      </c>
      <c r="BB49" s="165">
        <f ca="1">DAY('wgl tot'!$AZ$9)-DAY('wgl tot'!E49)</f>
        <v>14</v>
      </c>
      <c r="BC49" s="130">
        <f>IF(AND('wgl tot'!F49&gt;0,'wgl tot'!F49&lt;17),0,100)</f>
        <v>100</v>
      </c>
      <c r="BD49" s="130">
        <f t="shared" si="25"/>
        <v>0</v>
      </c>
      <c r="BE49" s="148">
        <v>42583</v>
      </c>
      <c r="BF49" s="166">
        <f t="shared" si="17"/>
        <v>0.08</v>
      </c>
      <c r="BG49" s="167">
        <f>+tabellen!$D$51</f>
        <v>6.3E-2</v>
      </c>
      <c r="BH49" s="165">
        <f>IF('wgl tot'!BC49=100,0,'wgl tot'!F49)</f>
        <v>0</v>
      </c>
      <c r="BI49" s="167" t="str">
        <f>IF(OR('wgl tot'!F49="DA",'wgl tot'!F49="DB",'wgl tot'!F49="DBuit",'wgl tot'!F49="DC",'wgl tot'!F49="DCuit",MID('wgl tot'!F49,1,5)="meerh"),"j","n")</f>
        <v>n</v>
      </c>
      <c r="BJ49" s="169" t="e">
        <f>IF('wgl tot'!W49/'wgl tot'!H49&lt;tabellen!$E$6,0,(+'wgl tot'!W49-tabellen!$E$6*'wgl tot'!H49)/12*tabellen!$D$6)</f>
        <v>#DIV/0!</v>
      </c>
      <c r="BK49" s="169" t="e">
        <f>IF('wgl tot'!W49/'wgl tot'!H49&lt;tabellen!$E$7,0,(+'wgl tot'!W49-tabellen!$E$7*'wgl tot'!H49)/12*tabellen!$D$7)</f>
        <v>#DIV/0!</v>
      </c>
      <c r="BL49" s="169">
        <f>'wgl tot'!W49/12*tabellen!$D$8</f>
        <v>0</v>
      </c>
      <c r="BM49" s="170" t="e">
        <f t="shared" si="22"/>
        <v>#DIV/0!</v>
      </c>
      <c r="BN49" s="171" t="e">
        <f>+Y49/12-'wgl tot'!BM49</f>
        <v>#DIV/0!</v>
      </c>
      <c r="BO49" s="171" t="e">
        <f>ROUND(IF('wgl tot'!BN49&gt;tabellen!$H$11,tabellen!$H$11,'wgl tot'!BN49)*tabellen!$C$11,2)</f>
        <v>#DIV/0!</v>
      </c>
      <c r="BP49" s="171" t="e">
        <f>+'wgl tot'!BN49+'wgl tot'!BO49</f>
        <v>#DIV/0!</v>
      </c>
      <c r="BQ49" s="172">
        <f t="shared" si="26"/>
        <v>1900</v>
      </c>
      <c r="BR49" s="172">
        <f t="shared" si="27"/>
        <v>1</v>
      </c>
      <c r="BS49" s="165">
        <f t="shared" si="28"/>
        <v>0</v>
      </c>
      <c r="BT49" s="148">
        <f t="shared" si="15"/>
        <v>22462</v>
      </c>
      <c r="BU49" s="148">
        <f t="shared" ca="1" si="16"/>
        <v>43722.739781944445</v>
      </c>
      <c r="BV49" s="130"/>
      <c r="BW49" s="148"/>
      <c r="BX49" s="130"/>
      <c r="BY49" s="168"/>
      <c r="BZ49" s="168"/>
      <c r="CA49" s="168"/>
      <c r="CB49" s="168"/>
      <c r="CC49" s="168"/>
      <c r="CD49" s="168"/>
      <c r="CE49" s="121"/>
      <c r="CF49" s="121"/>
    </row>
    <row r="50" spans="1:84" s="132" customFormat="1" ht="12" customHeight="1" x14ac:dyDescent="0.2">
      <c r="A50" s="121"/>
      <c r="B50" s="122"/>
      <c r="C50" s="151"/>
      <c r="D50" s="157"/>
      <c r="E50" s="158"/>
      <c r="F50" s="159"/>
      <c r="G50" s="159"/>
      <c r="H50" s="160"/>
      <c r="I50" s="159"/>
      <c r="J50" s="161"/>
      <c r="K50" s="181">
        <f>IF(F50="",0,(VLOOKUP('wgl tot'!F50,saltab2019,'wgl tot'!G50+1,FALSE)))</f>
        <v>0</v>
      </c>
      <c r="L50" s="163">
        <f t="shared" si="0"/>
        <v>0</v>
      </c>
      <c r="M50" s="151"/>
      <c r="N50" s="181">
        <f>ROUND(IF(('wgl tot'!L50+'wgl tot'!P50)*BF50&lt;'wgl tot'!H50*tabellen!$D$50,'wgl tot'!H50*tabellen!$D$50,('wgl tot'!L50+'wgl tot'!P50)*BF50),2)</f>
        <v>0</v>
      </c>
      <c r="O50" s="181">
        <f>ROUND(+('wgl tot'!L50+'wgl tot'!P50)*BG50,2)</f>
        <v>0</v>
      </c>
      <c r="P50" s="181">
        <f>ROUND(IF(I50="j",VLOOKUP(BD50,uitlooptoeslag,2,FALSE))*IF('wgl tot'!H50&gt;1,1,'wgl tot'!H50),2)</f>
        <v>0</v>
      </c>
      <c r="Q50" s="181">
        <f>ROUND(IF(BI50="j",tabellen!$D$59*IF('wgl tot'!H50&gt;1,1,'wgl tot'!H50),0),2)</f>
        <v>0</v>
      </c>
      <c r="R50" s="181">
        <f>IF(AND(F50&gt;0,F50&lt;17),tabellen!$C$41*'wgl tot'!H50,0)</f>
        <v>0</v>
      </c>
      <c r="S50" s="181">
        <f>VLOOKUP(BH50,eindejaarsuitkering_OOP,2,TRUE)*'wgl tot'!H50/12</f>
        <v>0</v>
      </c>
      <c r="T50" s="181">
        <f>ROUND(H50*tabellen!$D$57,2)</f>
        <v>0</v>
      </c>
      <c r="U50" s="181">
        <f>ROUND(H50*tabellen!C$45,2)</f>
        <v>0</v>
      </c>
      <c r="V50" s="181">
        <f>H50*(IF(F50="L10",42%*VLOOKUP(tabellen!L$45,saltab2018sept,G50+1,FALSE),IF(F50="L11",42%*VLOOKUP(tabellen!L$46,saltab2018sept,G50+1,FALSE),IF(F50="L12",42%*VLOOKUP(tabellen!L$47,saltab2018sept,G50+1,FALSE),IF(F50="L13",42%*VLOOKUP(tabellen!L$48,saltab2018sept,G50+1,FALSE),0)))))</f>
        <v>0</v>
      </c>
      <c r="W50" s="182">
        <f t="shared" si="9"/>
        <v>0</v>
      </c>
      <c r="X50" s="181">
        <f>('wgl tot'!L50+'wgl tot'!P50)*tabellen!$C$43*12</f>
        <v>0</v>
      </c>
      <c r="Y50" s="163">
        <f t="shared" si="10"/>
        <v>0</v>
      </c>
      <c r="Z50" s="151"/>
      <c r="AA50" s="182">
        <f t="shared" si="18"/>
        <v>0</v>
      </c>
      <c r="AB50" s="217">
        <f>+'wgl tot'!X50/12</f>
        <v>0</v>
      </c>
      <c r="AC50" s="151"/>
      <c r="AD50" s="181">
        <f>IF(F50="",0,(IF('wgl tot'!W50/'wgl tot'!H50&lt;tabellen!$E$6,0,('wgl tot'!W50-tabellen!$E$6*'wgl tot'!H50)/12)*tabellen!$C$6))</f>
        <v>0</v>
      </c>
      <c r="AE50" s="181">
        <f>IF(F50="",0,(IF('wgl tot'!W50/'wgl tot'!H50&lt;tabellen!$E$7,0,(+'wgl tot'!W50-tabellen!$E$7*'wgl tot'!H50)/12)*tabellen!$C$7))</f>
        <v>0</v>
      </c>
      <c r="AF50" s="181">
        <f>'wgl tot'!W50/12*tabellen!$C$8</f>
        <v>0</v>
      </c>
      <c r="AG50" s="181">
        <f>IF(H50=0,0,IF(BN50&gt;tabellen!$G$9/12,tabellen!$G$9/12,BN50)*(tabellen!$C$9+tabellen!$C$10))</f>
        <v>0</v>
      </c>
      <c r="AH50" s="181">
        <f>IF(F50="",0,('wgl tot'!BO50))</f>
        <v>0</v>
      </c>
      <c r="AI50" s="183">
        <f>IF(F50="",0,(IF('wgl tot'!BN50&gt;tabellen!$G$12*'wgl tot'!H50/12,tabellen!$G$12*'wgl tot'!H50/12,'wgl tot'!BN50)*tabellen!$C$12))</f>
        <v>0</v>
      </c>
      <c r="AJ50" s="151"/>
      <c r="AK50" s="183">
        <f>IF(F50="",0,('wgl tot'!BN50*IF(J50=1,tabellen!$C$13,IF(J50=2,tabellen!$C$14,IF(J50=3,tabellen!$C$15,IF(J50=5,tabellen!$C$17,IF(J50=6,tabellen!$C$18,IF(J50=7,tabellen!$C$19,IF(J50=8,tabellen!$C$20,tabellen!$C$16)))))))))</f>
        <v>0</v>
      </c>
      <c r="AL50" s="183">
        <f>IF(F50="",0,('wgl tot'!BN50*tabellen!$C$21))</f>
        <v>0</v>
      </c>
      <c r="AM50" s="237">
        <v>0</v>
      </c>
      <c r="AN50" s="151"/>
      <c r="AO50" s="237">
        <v>0</v>
      </c>
      <c r="AP50" s="151"/>
      <c r="AQ50" s="163">
        <f t="shared" si="19"/>
        <v>0</v>
      </c>
      <c r="AR50" s="163">
        <f t="shared" si="20"/>
        <v>0</v>
      </c>
      <c r="AS50" s="151"/>
      <c r="AT50" s="187" t="str">
        <f t="shared" si="23"/>
        <v/>
      </c>
      <c r="AU50" s="187" t="str">
        <f t="shared" si="24"/>
        <v/>
      </c>
      <c r="AV50" s="151"/>
      <c r="AW50" s="129"/>
      <c r="AX50" s="121"/>
      <c r="AY50" s="121"/>
      <c r="AZ50" s="165">
        <f ca="1">YEAR('wgl tot'!$AZ$9)-YEAR('wgl tot'!E50)</f>
        <v>119</v>
      </c>
      <c r="BA50" s="165">
        <f ca="1">MONTH('wgl tot'!$AZ$9)-MONTH('wgl tot'!E50)</f>
        <v>8</v>
      </c>
      <c r="BB50" s="165">
        <f ca="1">DAY('wgl tot'!$AZ$9)-DAY('wgl tot'!E50)</f>
        <v>14</v>
      </c>
      <c r="BC50" s="130">
        <f>IF(AND('wgl tot'!F50&gt;0,'wgl tot'!F50&lt;17),0,100)</f>
        <v>100</v>
      </c>
      <c r="BD50" s="130">
        <f t="shared" si="25"/>
        <v>0</v>
      </c>
      <c r="BE50" s="148">
        <v>42583</v>
      </c>
      <c r="BF50" s="166">
        <f t="shared" si="17"/>
        <v>0.08</v>
      </c>
      <c r="BG50" s="167">
        <f>+tabellen!$D$51</f>
        <v>6.3E-2</v>
      </c>
      <c r="BH50" s="165">
        <f>IF('wgl tot'!BC50=100,0,'wgl tot'!F50)</f>
        <v>0</v>
      </c>
      <c r="BI50" s="167" t="str">
        <f>IF(OR('wgl tot'!F50="DA",'wgl tot'!F50="DB",'wgl tot'!F50="DBuit",'wgl tot'!F50="DC",'wgl tot'!F50="DCuit",MID('wgl tot'!F50,1,5)="meerh"),"j","n")</f>
        <v>n</v>
      </c>
      <c r="BJ50" s="169" t="e">
        <f>IF('wgl tot'!W50/'wgl tot'!H50&lt;tabellen!$E$6,0,(+'wgl tot'!W50-tabellen!$E$6*'wgl tot'!H50)/12*tabellen!$D$6)</f>
        <v>#DIV/0!</v>
      </c>
      <c r="BK50" s="169" t="e">
        <f>IF('wgl tot'!W50/'wgl tot'!H50&lt;tabellen!$E$7,0,(+'wgl tot'!W50-tabellen!$E$7*'wgl tot'!H50)/12*tabellen!$D$7)</f>
        <v>#DIV/0!</v>
      </c>
      <c r="BL50" s="169">
        <f>'wgl tot'!W50/12*tabellen!$D$8</f>
        <v>0</v>
      </c>
      <c r="BM50" s="170" t="e">
        <f t="shared" si="22"/>
        <v>#DIV/0!</v>
      </c>
      <c r="BN50" s="171" t="e">
        <f>+Y50/12-'wgl tot'!BM50</f>
        <v>#DIV/0!</v>
      </c>
      <c r="BO50" s="171" t="e">
        <f>ROUND(IF('wgl tot'!BN50&gt;tabellen!$H$11,tabellen!$H$11,'wgl tot'!BN50)*tabellen!$C$11,2)</f>
        <v>#DIV/0!</v>
      </c>
      <c r="BP50" s="171" t="e">
        <f>+'wgl tot'!BN50+'wgl tot'!BO50</f>
        <v>#DIV/0!</v>
      </c>
      <c r="BQ50" s="172">
        <f t="shared" si="26"/>
        <v>1900</v>
      </c>
      <c r="BR50" s="172">
        <f t="shared" si="27"/>
        <v>1</v>
      </c>
      <c r="BS50" s="165">
        <f t="shared" si="28"/>
        <v>0</v>
      </c>
      <c r="BT50" s="148">
        <f t="shared" si="15"/>
        <v>22462</v>
      </c>
      <c r="BU50" s="148">
        <f t="shared" ca="1" si="16"/>
        <v>43722.739781944445</v>
      </c>
      <c r="BV50" s="130"/>
      <c r="BW50" s="148"/>
      <c r="BX50" s="130"/>
      <c r="BY50" s="168"/>
      <c r="BZ50" s="168"/>
      <c r="CA50" s="168"/>
      <c r="CB50" s="168"/>
      <c r="CC50" s="168"/>
      <c r="CD50" s="168"/>
      <c r="CE50" s="121"/>
      <c r="CF50" s="121"/>
    </row>
    <row r="51" spans="1:84" s="132" customFormat="1" ht="12" customHeight="1" x14ac:dyDescent="0.2">
      <c r="A51" s="121"/>
      <c r="B51" s="122"/>
      <c r="C51" s="151"/>
      <c r="D51" s="157"/>
      <c r="E51" s="158"/>
      <c r="F51" s="159"/>
      <c r="G51" s="159"/>
      <c r="H51" s="160"/>
      <c r="I51" s="159"/>
      <c r="J51" s="161"/>
      <c r="K51" s="181">
        <f>IF(F51="",0,(VLOOKUP('wgl tot'!F51,saltab2019,'wgl tot'!G51+1,FALSE)))</f>
        <v>0</v>
      </c>
      <c r="L51" s="163">
        <f t="shared" ref="L51:L70" si="29">K51*H51</f>
        <v>0</v>
      </c>
      <c r="M51" s="151"/>
      <c r="N51" s="181">
        <f>ROUND(IF(('wgl tot'!L51+'wgl tot'!P51)*BF51&lt;'wgl tot'!H51*tabellen!$D$50,'wgl tot'!H51*tabellen!$D$50,('wgl tot'!L51+'wgl tot'!P51)*BF51),2)</f>
        <v>0</v>
      </c>
      <c r="O51" s="181">
        <f>ROUND(+('wgl tot'!L51+'wgl tot'!P51)*BG51,2)</f>
        <v>0</v>
      </c>
      <c r="P51" s="181">
        <f>ROUND(IF(I51="j",VLOOKUP(BD51,uitlooptoeslag,2,FALSE))*IF('wgl tot'!H51&gt;1,1,'wgl tot'!H51),2)</f>
        <v>0</v>
      </c>
      <c r="Q51" s="181">
        <f>ROUND(IF(BI51="j",tabellen!$D$59*IF('wgl tot'!H51&gt;1,1,'wgl tot'!H51),0),2)</f>
        <v>0</v>
      </c>
      <c r="R51" s="181">
        <f>IF(AND(F51&gt;0,F51&lt;17),tabellen!$C$41*'wgl tot'!H51,0)</f>
        <v>0</v>
      </c>
      <c r="S51" s="181">
        <f>VLOOKUP(BH51,eindejaarsuitkering_OOP,2,TRUE)*'wgl tot'!H51/12</f>
        <v>0</v>
      </c>
      <c r="T51" s="181">
        <f>ROUND(H51*tabellen!$D$57,2)</f>
        <v>0</v>
      </c>
      <c r="U51" s="181">
        <f>ROUND(H51*tabellen!C$45,2)</f>
        <v>0</v>
      </c>
      <c r="V51" s="181">
        <f>H51*(IF(F51="L10",42%*VLOOKUP(tabellen!L$45,saltab2018sept,G51+1,FALSE),IF(F51="L11",42%*VLOOKUP(tabellen!L$46,saltab2018sept,G51+1,FALSE),IF(F51="L12",42%*VLOOKUP(tabellen!L$47,saltab2018sept,G51+1,FALSE),IF(F51="L13",42%*VLOOKUP(tabellen!L$48,saltab2018sept,G51+1,FALSE),0)))))</f>
        <v>0</v>
      </c>
      <c r="W51" s="182">
        <f t="shared" si="9"/>
        <v>0</v>
      </c>
      <c r="X51" s="181">
        <f>('wgl tot'!L51+'wgl tot'!P51)*tabellen!$C$43*12</f>
        <v>0</v>
      </c>
      <c r="Y51" s="163">
        <f t="shared" si="10"/>
        <v>0</v>
      </c>
      <c r="Z51" s="151"/>
      <c r="AA51" s="182">
        <f t="shared" si="18"/>
        <v>0</v>
      </c>
      <c r="AB51" s="217">
        <f>+'wgl tot'!X51/12</f>
        <v>0</v>
      </c>
      <c r="AC51" s="151"/>
      <c r="AD51" s="181">
        <f>IF(F51="",0,(IF('wgl tot'!W51/'wgl tot'!H51&lt;tabellen!$E$6,0,('wgl tot'!W51-tabellen!$E$6*'wgl tot'!H51)/12)*tabellen!$C$6))</f>
        <v>0</v>
      </c>
      <c r="AE51" s="181">
        <f>IF(F51="",0,(IF('wgl tot'!W51/'wgl tot'!H51&lt;tabellen!$E$7,0,(+'wgl tot'!W51-tabellen!$E$7*'wgl tot'!H51)/12)*tabellen!$C$7))</f>
        <v>0</v>
      </c>
      <c r="AF51" s="181">
        <f>'wgl tot'!W51/12*tabellen!$C$8</f>
        <v>0</v>
      </c>
      <c r="AG51" s="181">
        <f>IF(H51=0,0,IF(BN51&gt;tabellen!$G$9/12,tabellen!$G$9/12,BN51)*(tabellen!$C$9+tabellen!$C$10))</f>
        <v>0</v>
      </c>
      <c r="AH51" s="181">
        <f>IF(F51="",0,('wgl tot'!BO51))</f>
        <v>0</v>
      </c>
      <c r="AI51" s="183">
        <f>IF(F51="",0,(IF('wgl tot'!BN51&gt;tabellen!$G$12*'wgl tot'!H51/12,tabellen!$G$12*'wgl tot'!H51/12,'wgl tot'!BN51)*tabellen!$C$12))</f>
        <v>0</v>
      </c>
      <c r="AJ51" s="151"/>
      <c r="AK51" s="183">
        <f>IF(F51="",0,('wgl tot'!BN51*IF(J51=1,tabellen!$C$13,IF(J51=2,tabellen!$C$14,IF(J51=3,tabellen!$C$15,IF(J51=5,tabellen!$C$17,IF(J51=6,tabellen!$C$18,IF(J51=7,tabellen!$C$19,IF(J51=8,tabellen!$C$20,tabellen!$C$16)))))))))</f>
        <v>0</v>
      </c>
      <c r="AL51" s="183">
        <f>IF(F51="",0,('wgl tot'!BN51*tabellen!$C$21))</f>
        <v>0</v>
      </c>
      <c r="AM51" s="237">
        <v>0</v>
      </c>
      <c r="AN51" s="151"/>
      <c r="AO51" s="237">
        <v>0</v>
      </c>
      <c r="AP51" s="151"/>
      <c r="AQ51" s="163">
        <f t="shared" si="19"/>
        <v>0</v>
      </c>
      <c r="AR51" s="163">
        <f t="shared" ref="AR51:AR70" si="30">AQ51*12</f>
        <v>0</v>
      </c>
      <c r="AS51" s="151"/>
      <c r="AT51" s="187" t="str">
        <f t="shared" si="23"/>
        <v/>
      </c>
      <c r="AU51" s="187" t="str">
        <f t="shared" si="24"/>
        <v/>
      </c>
      <c r="AV51" s="151"/>
      <c r="AW51" s="129"/>
      <c r="AX51" s="121"/>
      <c r="AY51" s="121"/>
      <c r="AZ51" s="165">
        <f ca="1">YEAR('wgl tot'!$AZ$9)-YEAR('wgl tot'!E51)</f>
        <v>119</v>
      </c>
      <c r="BA51" s="165">
        <f ca="1">MONTH('wgl tot'!$AZ$9)-MONTH('wgl tot'!E51)</f>
        <v>8</v>
      </c>
      <c r="BB51" s="165">
        <f ca="1">DAY('wgl tot'!$AZ$9)-DAY('wgl tot'!E51)</f>
        <v>14</v>
      </c>
      <c r="BC51" s="130">
        <f>IF(AND('wgl tot'!F51&gt;0,'wgl tot'!F51&lt;17),0,100)</f>
        <v>100</v>
      </c>
      <c r="BD51" s="130">
        <f t="shared" si="25"/>
        <v>0</v>
      </c>
      <c r="BE51" s="148">
        <v>42583</v>
      </c>
      <c r="BF51" s="166">
        <f t="shared" si="17"/>
        <v>0.08</v>
      </c>
      <c r="BG51" s="167">
        <f>+tabellen!$D$51</f>
        <v>6.3E-2</v>
      </c>
      <c r="BH51" s="165">
        <f>IF('wgl tot'!BC51=100,0,'wgl tot'!F51)</f>
        <v>0</v>
      </c>
      <c r="BI51" s="167" t="str">
        <f>IF(OR('wgl tot'!F51="DA",'wgl tot'!F51="DB",'wgl tot'!F51="DBuit",'wgl tot'!F51="DC",'wgl tot'!F51="DCuit",MID('wgl tot'!F51,1,5)="meerh"),"j","n")</f>
        <v>n</v>
      </c>
      <c r="BJ51" s="169" t="e">
        <f>IF('wgl tot'!W51/'wgl tot'!H51&lt;tabellen!$E$6,0,(+'wgl tot'!W51-tabellen!$E$6*'wgl tot'!H51)/12*tabellen!$D$6)</f>
        <v>#DIV/0!</v>
      </c>
      <c r="BK51" s="169" t="e">
        <f>IF('wgl tot'!W51/'wgl tot'!H51&lt;tabellen!$E$7,0,(+'wgl tot'!W51-tabellen!$E$7*'wgl tot'!H51)/12*tabellen!$D$7)</f>
        <v>#DIV/0!</v>
      </c>
      <c r="BL51" s="169">
        <f>'wgl tot'!W51/12*tabellen!$D$8</f>
        <v>0</v>
      </c>
      <c r="BM51" s="170" t="e">
        <f t="shared" ref="BM51:BM70" si="31">SUM(BJ51:BL51)</f>
        <v>#DIV/0!</v>
      </c>
      <c r="BN51" s="171" t="e">
        <f>+Y51/12-'wgl tot'!BM51</f>
        <v>#DIV/0!</v>
      </c>
      <c r="BO51" s="171" t="e">
        <f>ROUND(IF('wgl tot'!BN51&gt;tabellen!$H$11,tabellen!$H$11,'wgl tot'!BN51)*tabellen!$C$11,2)</f>
        <v>#DIV/0!</v>
      </c>
      <c r="BP51" s="171" t="e">
        <f>+'wgl tot'!BN51+'wgl tot'!BO51</f>
        <v>#DIV/0!</v>
      </c>
      <c r="BQ51" s="172">
        <f t="shared" si="26"/>
        <v>1900</v>
      </c>
      <c r="BR51" s="172">
        <f t="shared" si="27"/>
        <v>1</v>
      </c>
      <c r="BS51" s="165">
        <f t="shared" si="28"/>
        <v>0</v>
      </c>
      <c r="BT51" s="148">
        <f t="shared" ref="BT51:BT70" si="32">DATE(BQ51+61,BR51+6,BS51)</f>
        <v>22462</v>
      </c>
      <c r="BU51" s="148">
        <f t="shared" ca="1" si="16"/>
        <v>43722.739781944445</v>
      </c>
      <c r="BV51" s="130"/>
      <c r="BW51" s="148"/>
      <c r="BX51" s="130"/>
      <c r="BY51" s="168"/>
      <c r="BZ51" s="168"/>
      <c r="CA51" s="168"/>
      <c r="CB51" s="168"/>
      <c r="CC51" s="168"/>
      <c r="CD51" s="168"/>
      <c r="CE51" s="121"/>
      <c r="CF51" s="121"/>
    </row>
    <row r="52" spans="1:84" s="132" customFormat="1" ht="12" customHeight="1" x14ac:dyDescent="0.2">
      <c r="A52" s="121"/>
      <c r="B52" s="122"/>
      <c r="C52" s="151"/>
      <c r="D52" s="157"/>
      <c r="E52" s="158"/>
      <c r="F52" s="159"/>
      <c r="G52" s="159"/>
      <c r="H52" s="160"/>
      <c r="I52" s="159"/>
      <c r="J52" s="161"/>
      <c r="K52" s="181">
        <f>IF(F52="",0,(VLOOKUP('wgl tot'!F52,saltab2019,'wgl tot'!G52+1,FALSE)))</f>
        <v>0</v>
      </c>
      <c r="L52" s="163">
        <f t="shared" si="29"/>
        <v>0</v>
      </c>
      <c r="M52" s="151"/>
      <c r="N52" s="181">
        <f>ROUND(IF(('wgl tot'!L52+'wgl tot'!P52)*BF52&lt;'wgl tot'!H52*tabellen!$D$50,'wgl tot'!H52*tabellen!$D$50,('wgl tot'!L52+'wgl tot'!P52)*BF52),2)</f>
        <v>0</v>
      </c>
      <c r="O52" s="181">
        <f>ROUND(+('wgl tot'!L52+'wgl tot'!P52)*BG52,2)</f>
        <v>0</v>
      </c>
      <c r="P52" s="181">
        <f>ROUND(IF(I52="j",VLOOKUP(BD52,uitlooptoeslag,2,FALSE))*IF('wgl tot'!H52&gt;1,1,'wgl tot'!H52),2)</f>
        <v>0</v>
      </c>
      <c r="Q52" s="181">
        <f>ROUND(IF(BI52="j",tabellen!$D$59*IF('wgl tot'!H52&gt;1,1,'wgl tot'!H52),0),2)</f>
        <v>0</v>
      </c>
      <c r="R52" s="181">
        <f>IF(AND(F52&gt;0,F52&lt;17),tabellen!$C$41*'wgl tot'!H52,0)</f>
        <v>0</v>
      </c>
      <c r="S52" s="181">
        <f>VLOOKUP(BH52,eindejaarsuitkering_OOP,2,TRUE)*'wgl tot'!H52/12</f>
        <v>0</v>
      </c>
      <c r="T52" s="181">
        <f>ROUND(H52*tabellen!$D$57,2)</f>
        <v>0</v>
      </c>
      <c r="U52" s="181">
        <f>ROUND(H52*tabellen!C$45,2)</f>
        <v>0</v>
      </c>
      <c r="V52" s="181">
        <f>H52*(IF(F52="L10",42%*VLOOKUP(tabellen!L$45,saltab2018sept,G52+1,FALSE),IF(F52="L11",42%*VLOOKUP(tabellen!L$46,saltab2018sept,G52+1,FALSE),IF(F52="L12",42%*VLOOKUP(tabellen!L$47,saltab2018sept,G52+1,FALSE),IF(F52="L13",42%*VLOOKUP(tabellen!L$48,saltab2018sept,G52+1,FALSE),0)))))</f>
        <v>0</v>
      </c>
      <c r="W52" s="182">
        <f t="shared" si="9"/>
        <v>0</v>
      </c>
      <c r="X52" s="181">
        <f>('wgl tot'!L52+'wgl tot'!P52)*tabellen!$C$43*12</f>
        <v>0</v>
      </c>
      <c r="Y52" s="163">
        <f t="shared" si="10"/>
        <v>0</v>
      </c>
      <c r="Z52" s="151"/>
      <c r="AA52" s="182">
        <f t="shared" si="18"/>
        <v>0</v>
      </c>
      <c r="AB52" s="217">
        <f>+'wgl tot'!X52/12</f>
        <v>0</v>
      </c>
      <c r="AC52" s="151"/>
      <c r="AD52" s="181">
        <f>IF(F52="",0,(IF('wgl tot'!W52/'wgl tot'!H52&lt;tabellen!$E$6,0,('wgl tot'!W52-tabellen!$E$6*'wgl tot'!H52)/12)*tabellen!$C$6))</f>
        <v>0</v>
      </c>
      <c r="AE52" s="181">
        <f>IF(F52="",0,(IF('wgl tot'!W52/'wgl tot'!H52&lt;tabellen!$E$7,0,(+'wgl tot'!W52-tabellen!$E$7*'wgl tot'!H52)/12)*tabellen!$C$7))</f>
        <v>0</v>
      </c>
      <c r="AF52" s="181">
        <f>'wgl tot'!W52/12*tabellen!$C$8</f>
        <v>0</v>
      </c>
      <c r="AG52" s="181">
        <f>IF(H52=0,0,IF(BN52&gt;tabellen!$G$9/12,tabellen!$G$9/12,BN52)*(tabellen!$C$9+tabellen!$C$10))</f>
        <v>0</v>
      </c>
      <c r="AH52" s="181">
        <f>IF(F52="",0,('wgl tot'!BO52))</f>
        <v>0</v>
      </c>
      <c r="AI52" s="183">
        <f>IF(F52="",0,(IF('wgl tot'!BN52&gt;tabellen!$G$12*'wgl tot'!H52/12,tabellen!$G$12*'wgl tot'!H52/12,'wgl tot'!BN52)*tabellen!$C$12))</f>
        <v>0</v>
      </c>
      <c r="AJ52" s="151"/>
      <c r="AK52" s="183">
        <f>IF(F52="",0,('wgl tot'!BN52*IF(J52=1,tabellen!$C$13,IF(J52=2,tabellen!$C$14,IF(J52=3,tabellen!$C$15,IF(J52=5,tabellen!$C$17,IF(J52=6,tabellen!$C$18,IF(J52=7,tabellen!$C$19,IF(J52=8,tabellen!$C$20,tabellen!$C$16)))))))))</f>
        <v>0</v>
      </c>
      <c r="AL52" s="183">
        <f>IF(F52="",0,('wgl tot'!BN52*tabellen!$C$21))</f>
        <v>0</v>
      </c>
      <c r="AM52" s="237">
        <v>0</v>
      </c>
      <c r="AN52" s="151"/>
      <c r="AO52" s="237">
        <v>0</v>
      </c>
      <c r="AP52" s="151"/>
      <c r="AQ52" s="163">
        <f t="shared" si="19"/>
        <v>0</v>
      </c>
      <c r="AR52" s="163">
        <f t="shared" si="30"/>
        <v>0</v>
      </c>
      <c r="AS52" s="151"/>
      <c r="AT52" s="187" t="str">
        <f t="shared" si="23"/>
        <v/>
      </c>
      <c r="AU52" s="187" t="str">
        <f t="shared" si="24"/>
        <v/>
      </c>
      <c r="AV52" s="151"/>
      <c r="AW52" s="129"/>
      <c r="AX52" s="121"/>
      <c r="AY52" s="121"/>
      <c r="AZ52" s="165">
        <f ca="1">YEAR('wgl tot'!$AZ$9)-YEAR('wgl tot'!E52)</f>
        <v>119</v>
      </c>
      <c r="BA52" s="165">
        <f ca="1">MONTH('wgl tot'!$AZ$9)-MONTH('wgl tot'!E52)</f>
        <v>8</v>
      </c>
      <c r="BB52" s="165">
        <f ca="1">DAY('wgl tot'!$AZ$9)-DAY('wgl tot'!E52)</f>
        <v>14</v>
      </c>
      <c r="BC52" s="130">
        <f>IF(AND('wgl tot'!F52&gt;0,'wgl tot'!F52&lt;17),0,100)</f>
        <v>100</v>
      </c>
      <c r="BD52" s="130">
        <f t="shared" si="25"/>
        <v>0</v>
      </c>
      <c r="BE52" s="148">
        <v>42583</v>
      </c>
      <c r="BF52" s="166">
        <f t="shared" si="17"/>
        <v>0.08</v>
      </c>
      <c r="BG52" s="167">
        <f>+tabellen!$D$51</f>
        <v>6.3E-2</v>
      </c>
      <c r="BH52" s="165">
        <f>IF('wgl tot'!BC52=100,0,'wgl tot'!F52)</f>
        <v>0</v>
      </c>
      <c r="BI52" s="167" t="str">
        <f>IF(OR('wgl tot'!F52="DA",'wgl tot'!F52="DB",'wgl tot'!F52="DBuit",'wgl tot'!F52="DC",'wgl tot'!F52="DCuit",MID('wgl tot'!F52,1,5)="meerh"),"j","n")</f>
        <v>n</v>
      </c>
      <c r="BJ52" s="169" t="e">
        <f>IF('wgl tot'!W52/'wgl tot'!H52&lt;tabellen!$E$6,0,(+'wgl tot'!W52-tabellen!$E$6*'wgl tot'!H52)/12*tabellen!$D$6)</f>
        <v>#DIV/0!</v>
      </c>
      <c r="BK52" s="169" t="e">
        <f>IF('wgl tot'!W52/'wgl tot'!H52&lt;tabellen!$E$7,0,(+'wgl tot'!W52-tabellen!$E$7*'wgl tot'!H52)/12*tabellen!$D$7)</f>
        <v>#DIV/0!</v>
      </c>
      <c r="BL52" s="169">
        <f>'wgl tot'!W52/12*tabellen!$D$8</f>
        <v>0</v>
      </c>
      <c r="BM52" s="170" t="e">
        <f t="shared" si="31"/>
        <v>#DIV/0!</v>
      </c>
      <c r="BN52" s="171" t="e">
        <f>+Y52/12-'wgl tot'!BM52</f>
        <v>#DIV/0!</v>
      </c>
      <c r="BO52" s="171" t="e">
        <f>ROUND(IF('wgl tot'!BN52&gt;tabellen!$H$11,tabellen!$H$11,'wgl tot'!BN52)*tabellen!$C$11,2)</f>
        <v>#DIV/0!</v>
      </c>
      <c r="BP52" s="171" t="e">
        <f>+'wgl tot'!BN52+'wgl tot'!BO52</f>
        <v>#DIV/0!</v>
      </c>
      <c r="BQ52" s="172">
        <f t="shared" si="26"/>
        <v>1900</v>
      </c>
      <c r="BR52" s="172">
        <f t="shared" si="27"/>
        <v>1</v>
      </c>
      <c r="BS52" s="165">
        <f t="shared" si="28"/>
        <v>0</v>
      </c>
      <c r="BT52" s="148">
        <f t="shared" si="32"/>
        <v>22462</v>
      </c>
      <c r="BU52" s="148">
        <f t="shared" ca="1" si="16"/>
        <v>43722.739781944445</v>
      </c>
      <c r="BV52" s="130"/>
      <c r="BW52" s="148"/>
      <c r="BX52" s="130"/>
      <c r="BY52" s="168"/>
      <c r="BZ52" s="168"/>
      <c r="CA52" s="168"/>
      <c r="CB52" s="168"/>
      <c r="CC52" s="168"/>
      <c r="CD52" s="168"/>
      <c r="CE52" s="121"/>
      <c r="CF52" s="121"/>
    </row>
    <row r="53" spans="1:84" s="132" customFormat="1" ht="12" customHeight="1" x14ac:dyDescent="0.2">
      <c r="A53" s="121"/>
      <c r="B53" s="122"/>
      <c r="C53" s="151"/>
      <c r="D53" s="157"/>
      <c r="E53" s="158"/>
      <c r="F53" s="159"/>
      <c r="G53" s="159"/>
      <c r="H53" s="160"/>
      <c r="I53" s="159"/>
      <c r="J53" s="161"/>
      <c r="K53" s="181">
        <f>IF(F53="",0,(VLOOKUP('wgl tot'!F53,saltab2019,'wgl tot'!G53+1,FALSE)))</f>
        <v>0</v>
      </c>
      <c r="L53" s="163">
        <f t="shared" si="29"/>
        <v>0</v>
      </c>
      <c r="M53" s="151"/>
      <c r="N53" s="181">
        <f>ROUND(IF(('wgl tot'!L53+'wgl tot'!P53)*BF53&lt;'wgl tot'!H53*tabellen!$D$50,'wgl tot'!H53*tabellen!$D$50,('wgl tot'!L53+'wgl tot'!P53)*BF53),2)</f>
        <v>0</v>
      </c>
      <c r="O53" s="181">
        <f>ROUND(+('wgl tot'!L53+'wgl tot'!P53)*BG53,2)</f>
        <v>0</v>
      </c>
      <c r="P53" s="181">
        <f>ROUND(IF(I53="j",VLOOKUP(BD53,uitlooptoeslag,2,FALSE))*IF('wgl tot'!H53&gt;1,1,'wgl tot'!H53),2)</f>
        <v>0</v>
      </c>
      <c r="Q53" s="181">
        <f>ROUND(IF(BI53="j",tabellen!$D$59*IF('wgl tot'!H53&gt;1,1,'wgl tot'!H53),0),2)</f>
        <v>0</v>
      </c>
      <c r="R53" s="181">
        <f>IF(AND(F53&gt;0,F53&lt;17),tabellen!$C$41*'wgl tot'!H53,0)</f>
        <v>0</v>
      </c>
      <c r="S53" s="181">
        <f>VLOOKUP(BH53,eindejaarsuitkering_OOP,2,TRUE)*'wgl tot'!H53/12</f>
        <v>0</v>
      </c>
      <c r="T53" s="181">
        <f>ROUND(H53*tabellen!$D$57,2)</f>
        <v>0</v>
      </c>
      <c r="U53" s="181">
        <f>ROUND(H53*tabellen!C$45,2)</f>
        <v>0</v>
      </c>
      <c r="V53" s="181">
        <f>H53*(IF(F53="L10",42%*VLOOKUP(tabellen!L$45,saltab2018sept,G53+1,FALSE),IF(F53="L11",42%*VLOOKUP(tabellen!L$46,saltab2018sept,G53+1,FALSE),IF(F53="L12",42%*VLOOKUP(tabellen!L$47,saltab2018sept,G53+1,FALSE),IF(F53="L13",42%*VLOOKUP(tabellen!L$48,saltab2018sept,G53+1,FALSE),0)))))</f>
        <v>0</v>
      </c>
      <c r="W53" s="182">
        <f t="shared" si="9"/>
        <v>0</v>
      </c>
      <c r="X53" s="181">
        <f>('wgl tot'!L53+'wgl tot'!P53)*tabellen!$C$43*12</f>
        <v>0</v>
      </c>
      <c r="Y53" s="163">
        <f t="shared" si="10"/>
        <v>0</v>
      </c>
      <c r="Z53" s="151"/>
      <c r="AA53" s="182">
        <f t="shared" si="18"/>
        <v>0</v>
      </c>
      <c r="AB53" s="217">
        <f>+'wgl tot'!X53/12</f>
        <v>0</v>
      </c>
      <c r="AC53" s="151"/>
      <c r="AD53" s="181">
        <f>IF(F53="",0,(IF('wgl tot'!W53/'wgl tot'!H53&lt;tabellen!$E$6,0,('wgl tot'!W53-tabellen!$E$6*'wgl tot'!H53)/12)*tabellen!$C$6))</f>
        <v>0</v>
      </c>
      <c r="AE53" s="181">
        <f>IF(F53="",0,(IF('wgl tot'!W53/'wgl tot'!H53&lt;tabellen!$E$7,0,(+'wgl tot'!W53-tabellen!$E$7*'wgl tot'!H53)/12)*tabellen!$C$7))</f>
        <v>0</v>
      </c>
      <c r="AF53" s="181">
        <f>'wgl tot'!W53/12*tabellen!$C$8</f>
        <v>0</v>
      </c>
      <c r="AG53" s="181">
        <f>IF(H53=0,0,IF(BN53&gt;tabellen!$G$9/12,tabellen!$G$9/12,BN53)*(tabellen!$C$9+tabellen!$C$10))</f>
        <v>0</v>
      </c>
      <c r="AH53" s="181">
        <f>IF(F53="",0,('wgl tot'!BO53))</f>
        <v>0</v>
      </c>
      <c r="AI53" s="183">
        <f>IF(F53="",0,(IF('wgl tot'!BN53&gt;tabellen!$G$12*'wgl tot'!H53/12,tabellen!$G$12*'wgl tot'!H53/12,'wgl tot'!BN53)*tabellen!$C$12))</f>
        <v>0</v>
      </c>
      <c r="AJ53" s="151"/>
      <c r="AK53" s="183">
        <f>IF(F53="",0,('wgl tot'!BN53*IF(J53=1,tabellen!$C$13,IF(J53=2,tabellen!$C$14,IF(J53=3,tabellen!$C$15,IF(J53=5,tabellen!$C$17,IF(J53=6,tabellen!$C$18,IF(J53=7,tabellen!$C$19,IF(J53=8,tabellen!$C$20,tabellen!$C$16)))))))))</f>
        <v>0</v>
      </c>
      <c r="AL53" s="183">
        <f>IF(F53="",0,('wgl tot'!BN53*tabellen!$C$21))</f>
        <v>0</v>
      </c>
      <c r="AM53" s="237">
        <v>0</v>
      </c>
      <c r="AN53" s="151"/>
      <c r="AO53" s="237">
        <v>0</v>
      </c>
      <c r="AP53" s="151"/>
      <c r="AQ53" s="163">
        <f t="shared" si="19"/>
        <v>0</v>
      </c>
      <c r="AR53" s="163">
        <f t="shared" si="30"/>
        <v>0</v>
      </c>
      <c r="AS53" s="151"/>
      <c r="AT53" s="187" t="str">
        <f t="shared" si="23"/>
        <v/>
      </c>
      <c r="AU53" s="187" t="str">
        <f t="shared" si="24"/>
        <v/>
      </c>
      <c r="AV53" s="151"/>
      <c r="AW53" s="129"/>
      <c r="AX53" s="121"/>
      <c r="AY53" s="121"/>
      <c r="AZ53" s="165">
        <f ca="1">YEAR('wgl tot'!$AZ$9)-YEAR('wgl tot'!E53)</f>
        <v>119</v>
      </c>
      <c r="BA53" s="165">
        <f ca="1">MONTH('wgl tot'!$AZ$9)-MONTH('wgl tot'!E53)</f>
        <v>8</v>
      </c>
      <c r="BB53" s="165">
        <f ca="1">DAY('wgl tot'!$AZ$9)-DAY('wgl tot'!E53)</f>
        <v>14</v>
      </c>
      <c r="BC53" s="130">
        <f>IF(AND('wgl tot'!F53&gt;0,'wgl tot'!F53&lt;17),0,100)</f>
        <v>100</v>
      </c>
      <c r="BD53" s="130">
        <f t="shared" si="25"/>
        <v>0</v>
      </c>
      <c r="BE53" s="148">
        <v>42583</v>
      </c>
      <c r="BF53" s="166">
        <f t="shared" si="17"/>
        <v>0.08</v>
      </c>
      <c r="BG53" s="167">
        <f>+tabellen!$D$51</f>
        <v>6.3E-2</v>
      </c>
      <c r="BH53" s="165">
        <f>IF('wgl tot'!BC53=100,0,'wgl tot'!F53)</f>
        <v>0</v>
      </c>
      <c r="BI53" s="167" t="str">
        <f>IF(OR('wgl tot'!F53="DA",'wgl tot'!F53="DB",'wgl tot'!F53="DBuit",'wgl tot'!F53="DC",'wgl tot'!F53="DCuit",MID('wgl tot'!F53,1,5)="meerh"),"j","n")</f>
        <v>n</v>
      </c>
      <c r="BJ53" s="169" t="e">
        <f>IF('wgl tot'!W53/'wgl tot'!H53&lt;tabellen!$E$6,0,(+'wgl tot'!W53-tabellen!$E$6*'wgl tot'!H53)/12*tabellen!$D$6)</f>
        <v>#DIV/0!</v>
      </c>
      <c r="BK53" s="169" t="e">
        <f>IF('wgl tot'!W53/'wgl tot'!H53&lt;tabellen!$E$7,0,(+'wgl tot'!W53-tabellen!$E$7*'wgl tot'!H53)/12*tabellen!$D$7)</f>
        <v>#DIV/0!</v>
      </c>
      <c r="BL53" s="169">
        <f>'wgl tot'!W53/12*tabellen!$D$8</f>
        <v>0</v>
      </c>
      <c r="BM53" s="170" t="e">
        <f t="shared" si="31"/>
        <v>#DIV/0!</v>
      </c>
      <c r="BN53" s="171" t="e">
        <f>+Y53/12-'wgl tot'!BM53</f>
        <v>#DIV/0!</v>
      </c>
      <c r="BO53" s="171" t="e">
        <f>ROUND(IF('wgl tot'!BN53&gt;tabellen!$H$11,tabellen!$H$11,'wgl tot'!BN53)*tabellen!$C$11,2)</f>
        <v>#DIV/0!</v>
      </c>
      <c r="BP53" s="171" t="e">
        <f>+'wgl tot'!BN53+'wgl tot'!BO53</f>
        <v>#DIV/0!</v>
      </c>
      <c r="BQ53" s="172">
        <f t="shared" si="26"/>
        <v>1900</v>
      </c>
      <c r="BR53" s="172">
        <f t="shared" si="27"/>
        <v>1</v>
      </c>
      <c r="BS53" s="165">
        <f t="shared" si="28"/>
        <v>0</v>
      </c>
      <c r="BT53" s="148">
        <f t="shared" si="32"/>
        <v>22462</v>
      </c>
      <c r="BU53" s="148">
        <f t="shared" ca="1" si="16"/>
        <v>43722.739781944445</v>
      </c>
      <c r="BV53" s="130"/>
      <c r="BW53" s="148"/>
      <c r="BX53" s="130"/>
      <c r="BY53" s="168"/>
      <c r="BZ53" s="168"/>
      <c r="CA53" s="168"/>
      <c r="CB53" s="168"/>
      <c r="CC53" s="168"/>
      <c r="CD53" s="168"/>
      <c r="CE53" s="121"/>
      <c r="CF53" s="121"/>
    </row>
    <row r="54" spans="1:84" s="132" customFormat="1" ht="12" customHeight="1" x14ac:dyDescent="0.2">
      <c r="A54" s="121"/>
      <c r="B54" s="122"/>
      <c r="C54" s="151"/>
      <c r="D54" s="157"/>
      <c r="E54" s="158"/>
      <c r="F54" s="159"/>
      <c r="G54" s="159"/>
      <c r="H54" s="160"/>
      <c r="I54" s="159"/>
      <c r="J54" s="161"/>
      <c r="K54" s="181">
        <f>IF(F54="",0,(VLOOKUP('wgl tot'!F54,saltab2019,'wgl tot'!G54+1,FALSE)))</f>
        <v>0</v>
      </c>
      <c r="L54" s="163">
        <f t="shared" si="29"/>
        <v>0</v>
      </c>
      <c r="M54" s="151"/>
      <c r="N54" s="181">
        <f>ROUND(IF(('wgl tot'!L54+'wgl tot'!P54)*BF54&lt;'wgl tot'!H54*tabellen!$D$50,'wgl tot'!H54*tabellen!$D$50,('wgl tot'!L54+'wgl tot'!P54)*BF54),2)</f>
        <v>0</v>
      </c>
      <c r="O54" s="181">
        <f>ROUND(+('wgl tot'!L54+'wgl tot'!P54)*BG54,2)</f>
        <v>0</v>
      </c>
      <c r="P54" s="181">
        <f>ROUND(IF(I54="j",VLOOKUP(BD54,uitlooptoeslag,2,FALSE))*IF('wgl tot'!H54&gt;1,1,'wgl tot'!H54),2)</f>
        <v>0</v>
      </c>
      <c r="Q54" s="181">
        <f>ROUND(IF(BI54="j",tabellen!$D$59*IF('wgl tot'!H54&gt;1,1,'wgl tot'!H54),0),2)</f>
        <v>0</v>
      </c>
      <c r="R54" s="181">
        <f>IF(AND(F54&gt;0,F54&lt;17),tabellen!$C$41*'wgl tot'!H54,0)</f>
        <v>0</v>
      </c>
      <c r="S54" s="181">
        <f>VLOOKUP(BH54,eindejaarsuitkering_OOP,2,TRUE)*'wgl tot'!H54/12</f>
        <v>0</v>
      </c>
      <c r="T54" s="181">
        <f>ROUND(H54*tabellen!$D$57,2)</f>
        <v>0</v>
      </c>
      <c r="U54" s="181">
        <f>ROUND(H54*tabellen!C$45,2)</f>
        <v>0</v>
      </c>
      <c r="V54" s="181">
        <f>H54*(IF(F54="L10",42%*VLOOKUP(tabellen!L$45,saltab2018sept,G54+1,FALSE),IF(F54="L11",42%*VLOOKUP(tabellen!L$46,saltab2018sept,G54+1,FALSE),IF(F54="L12",42%*VLOOKUP(tabellen!L$47,saltab2018sept,G54+1,FALSE),IF(F54="L13",42%*VLOOKUP(tabellen!L$48,saltab2018sept,G54+1,FALSE),0)))))</f>
        <v>0</v>
      </c>
      <c r="W54" s="182">
        <f t="shared" si="9"/>
        <v>0</v>
      </c>
      <c r="X54" s="181">
        <f>('wgl tot'!L54+'wgl tot'!P54)*tabellen!$C$43*12</f>
        <v>0</v>
      </c>
      <c r="Y54" s="163">
        <f t="shared" si="10"/>
        <v>0</v>
      </c>
      <c r="Z54" s="151"/>
      <c r="AA54" s="182">
        <f t="shared" si="18"/>
        <v>0</v>
      </c>
      <c r="AB54" s="217">
        <f>+'wgl tot'!X54/12</f>
        <v>0</v>
      </c>
      <c r="AC54" s="151"/>
      <c r="AD54" s="181">
        <f>IF(F54="",0,(IF('wgl tot'!W54/'wgl tot'!H54&lt;tabellen!$E$6,0,('wgl tot'!W54-tabellen!$E$6*'wgl tot'!H54)/12)*tabellen!$C$6))</f>
        <v>0</v>
      </c>
      <c r="AE54" s="181">
        <f>IF(F54="",0,(IF('wgl tot'!W54/'wgl tot'!H54&lt;tabellen!$E$7,0,(+'wgl tot'!W54-tabellen!$E$7*'wgl tot'!H54)/12)*tabellen!$C$7))</f>
        <v>0</v>
      </c>
      <c r="AF54" s="181">
        <f>'wgl tot'!W54/12*tabellen!$C$8</f>
        <v>0</v>
      </c>
      <c r="AG54" s="181">
        <f>IF(H54=0,0,IF(BN54&gt;tabellen!$G$9/12,tabellen!$G$9/12,BN54)*(tabellen!$C$9+tabellen!$C$10))</f>
        <v>0</v>
      </c>
      <c r="AH54" s="181">
        <f>IF(F54="",0,('wgl tot'!BO54))</f>
        <v>0</v>
      </c>
      <c r="AI54" s="183">
        <f>IF(F54="",0,(IF('wgl tot'!BN54&gt;tabellen!$G$12*'wgl tot'!H54/12,tabellen!$G$12*'wgl tot'!H54/12,'wgl tot'!BN54)*tabellen!$C$12))</f>
        <v>0</v>
      </c>
      <c r="AJ54" s="151"/>
      <c r="AK54" s="183">
        <f>IF(F54="",0,('wgl tot'!BN54*IF(J54=1,tabellen!$C$13,IF(J54=2,tabellen!$C$14,IF(J54=3,tabellen!$C$15,IF(J54=5,tabellen!$C$17,IF(J54=6,tabellen!$C$18,IF(J54=7,tabellen!$C$19,IF(J54=8,tabellen!$C$20,tabellen!$C$16)))))))))</f>
        <v>0</v>
      </c>
      <c r="AL54" s="183">
        <f>IF(F54="",0,('wgl tot'!BN54*tabellen!$C$21))</f>
        <v>0</v>
      </c>
      <c r="AM54" s="237">
        <v>0</v>
      </c>
      <c r="AN54" s="151"/>
      <c r="AO54" s="237">
        <v>0</v>
      </c>
      <c r="AP54" s="151"/>
      <c r="AQ54" s="163">
        <f t="shared" si="19"/>
        <v>0</v>
      </c>
      <c r="AR54" s="163">
        <f t="shared" si="30"/>
        <v>0</v>
      </c>
      <c r="AS54" s="151"/>
      <c r="AT54" s="187" t="str">
        <f t="shared" si="23"/>
        <v/>
      </c>
      <c r="AU54" s="187" t="str">
        <f t="shared" si="24"/>
        <v/>
      </c>
      <c r="AV54" s="151"/>
      <c r="AW54" s="129"/>
      <c r="AX54" s="121"/>
      <c r="AY54" s="121"/>
      <c r="AZ54" s="165">
        <f ca="1">YEAR('wgl tot'!$AZ$9)-YEAR('wgl tot'!E54)</f>
        <v>119</v>
      </c>
      <c r="BA54" s="165">
        <f ca="1">MONTH('wgl tot'!$AZ$9)-MONTH('wgl tot'!E54)</f>
        <v>8</v>
      </c>
      <c r="BB54" s="165">
        <f ca="1">DAY('wgl tot'!$AZ$9)-DAY('wgl tot'!E54)</f>
        <v>14</v>
      </c>
      <c r="BC54" s="130">
        <f>IF(AND('wgl tot'!F54&gt;0,'wgl tot'!F54&lt;17),0,100)</f>
        <v>100</v>
      </c>
      <c r="BD54" s="130">
        <f t="shared" si="25"/>
        <v>0</v>
      </c>
      <c r="BE54" s="148">
        <v>42583</v>
      </c>
      <c r="BF54" s="166">
        <f t="shared" si="17"/>
        <v>0.08</v>
      </c>
      <c r="BG54" s="167">
        <f>+tabellen!$D$51</f>
        <v>6.3E-2</v>
      </c>
      <c r="BH54" s="165">
        <f>IF('wgl tot'!BC54=100,0,'wgl tot'!F54)</f>
        <v>0</v>
      </c>
      <c r="BI54" s="167" t="str">
        <f>IF(OR('wgl tot'!F54="DA",'wgl tot'!F54="DB",'wgl tot'!F54="DBuit",'wgl tot'!F54="DC",'wgl tot'!F54="DCuit",MID('wgl tot'!F54,1,5)="meerh"),"j","n")</f>
        <v>n</v>
      </c>
      <c r="BJ54" s="169" t="e">
        <f>IF('wgl tot'!W54/'wgl tot'!H54&lt;tabellen!$E$6,0,(+'wgl tot'!W54-tabellen!$E$6*'wgl tot'!H54)/12*tabellen!$D$6)</f>
        <v>#DIV/0!</v>
      </c>
      <c r="BK54" s="169" t="e">
        <f>IF('wgl tot'!W54/'wgl tot'!H54&lt;tabellen!$E$7,0,(+'wgl tot'!W54-tabellen!$E$7*'wgl tot'!H54)/12*tabellen!$D$7)</f>
        <v>#DIV/0!</v>
      </c>
      <c r="BL54" s="169">
        <f>'wgl tot'!W54/12*tabellen!$D$8</f>
        <v>0</v>
      </c>
      <c r="BM54" s="170" t="e">
        <f t="shared" si="31"/>
        <v>#DIV/0!</v>
      </c>
      <c r="BN54" s="171" t="e">
        <f>+Y54/12-'wgl tot'!BM54</f>
        <v>#DIV/0!</v>
      </c>
      <c r="BO54" s="171" t="e">
        <f>ROUND(IF('wgl tot'!BN54&gt;tabellen!$H$11,tabellen!$H$11,'wgl tot'!BN54)*tabellen!$C$11,2)</f>
        <v>#DIV/0!</v>
      </c>
      <c r="BP54" s="171" t="e">
        <f>+'wgl tot'!BN54+'wgl tot'!BO54</f>
        <v>#DIV/0!</v>
      </c>
      <c r="BQ54" s="172">
        <f t="shared" si="26"/>
        <v>1900</v>
      </c>
      <c r="BR54" s="172">
        <f t="shared" si="27"/>
        <v>1</v>
      </c>
      <c r="BS54" s="165">
        <f t="shared" si="28"/>
        <v>0</v>
      </c>
      <c r="BT54" s="148">
        <f t="shared" si="32"/>
        <v>22462</v>
      </c>
      <c r="BU54" s="148">
        <f t="shared" ca="1" si="16"/>
        <v>43722.739781944445</v>
      </c>
      <c r="BV54" s="130"/>
      <c r="BW54" s="148"/>
      <c r="BX54" s="130"/>
      <c r="BY54" s="168"/>
      <c r="BZ54" s="168"/>
      <c r="CA54" s="168"/>
      <c r="CB54" s="168"/>
      <c r="CC54" s="168"/>
      <c r="CD54" s="168"/>
      <c r="CE54" s="121"/>
      <c r="CF54" s="121"/>
    </row>
    <row r="55" spans="1:84" s="132" customFormat="1" ht="12" customHeight="1" x14ac:dyDescent="0.2">
      <c r="A55" s="121"/>
      <c r="B55" s="122"/>
      <c r="C55" s="151"/>
      <c r="D55" s="157"/>
      <c r="E55" s="158"/>
      <c r="F55" s="159"/>
      <c r="G55" s="159"/>
      <c r="H55" s="160"/>
      <c r="I55" s="159"/>
      <c r="J55" s="161"/>
      <c r="K55" s="181">
        <f>IF(F55="",0,(VLOOKUP('wgl tot'!F55,saltab2019,'wgl tot'!G55+1,FALSE)))</f>
        <v>0</v>
      </c>
      <c r="L55" s="163">
        <f t="shared" si="29"/>
        <v>0</v>
      </c>
      <c r="M55" s="151"/>
      <c r="N55" s="181">
        <f>ROUND(IF(('wgl tot'!L55+'wgl tot'!P55)*BF55&lt;'wgl tot'!H55*tabellen!$D$50,'wgl tot'!H55*tabellen!$D$50,('wgl tot'!L55+'wgl tot'!P55)*BF55),2)</f>
        <v>0</v>
      </c>
      <c r="O55" s="181">
        <f>ROUND(+('wgl tot'!L55+'wgl tot'!P55)*BG55,2)</f>
        <v>0</v>
      </c>
      <c r="P55" s="181">
        <f>ROUND(IF(I55="j",VLOOKUP(BD55,uitlooptoeslag,2,FALSE))*IF('wgl tot'!H55&gt;1,1,'wgl tot'!H55),2)</f>
        <v>0</v>
      </c>
      <c r="Q55" s="181">
        <f>ROUND(IF(BI55="j",tabellen!$D$59*IF('wgl tot'!H55&gt;1,1,'wgl tot'!H55),0),2)</f>
        <v>0</v>
      </c>
      <c r="R55" s="181">
        <f>IF(AND(F55&gt;0,F55&lt;17),tabellen!$C$41*'wgl tot'!H55,0)</f>
        <v>0</v>
      </c>
      <c r="S55" s="181">
        <f>VLOOKUP(BH55,eindejaarsuitkering_OOP,2,TRUE)*'wgl tot'!H55/12</f>
        <v>0</v>
      </c>
      <c r="T55" s="181">
        <f>ROUND(H55*tabellen!$D$57,2)</f>
        <v>0</v>
      </c>
      <c r="U55" s="181">
        <f>ROUND(H55*tabellen!C$45,2)</f>
        <v>0</v>
      </c>
      <c r="V55" s="181">
        <f>H55*(IF(F55="L10",42%*VLOOKUP(tabellen!L$45,saltab2018sept,G55+1,FALSE),IF(F55="L11",42%*VLOOKUP(tabellen!L$46,saltab2018sept,G55+1,FALSE),IF(F55="L12",42%*VLOOKUP(tabellen!L$47,saltab2018sept,G55+1,FALSE),IF(F55="L13",42%*VLOOKUP(tabellen!L$48,saltab2018sept,G55+1,FALSE),0)))))</f>
        <v>0</v>
      </c>
      <c r="W55" s="182">
        <f t="shared" si="9"/>
        <v>0</v>
      </c>
      <c r="X55" s="181">
        <f>('wgl tot'!L55+'wgl tot'!P55)*tabellen!$C$43*12</f>
        <v>0</v>
      </c>
      <c r="Y55" s="163">
        <f t="shared" si="10"/>
        <v>0</v>
      </c>
      <c r="Z55" s="151"/>
      <c r="AA55" s="182">
        <f t="shared" si="18"/>
        <v>0</v>
      </c>
      <c r="AB55" s="217">
        <f>+'wgl tot'!X55/12</f>
        <v>0</v>
      </c>
      <c r="AC55" s="151"/>
      <c r="AD55" s="181">
        <f>IF(F55="",0,(IF('wgl tot'!W55/'wgl tot'!H55&lt;tabellen!$E$6,0,('wgl tot'!W55-tabellen!$E$6*'wgl tot'!H55)/12)*tabellen!$C$6))</f>
        <v>0</v>
      </c>
      <c r="AE55" s="181">
        <f>IF(F55="",0,(IF('wgl tot'!W55/'wgl tot'!H55&lt;tabellen!$E$7,0,(+'wgl tot'!W55-tabellen!$E$7*'wgl tot'!H55)/12)*tabellen!$C$7))</f>
        <v>0</v>
      </c>
      <c r="AF55" s="181">
        <f>'wgl tot'!W55/12*tabellen!$C$8</f>
        <v>0</v>
      </c>
      <c r="AG55" s="181">
        <f>IF(H55=0,0,IF(BN55&gt;tabellen!$G$9/12,tabellen!$G$9/12,BN55)*(tabellen!$C$9+tabellen!$C$10))</f>
        <v>0</v>
      </c>
      <c r="AH55" s="181">
        <f>IF(F55="",0,('wgl tot'!BO55))</f>
        <v>0</v>
      </c>
      <c r="AI55" s="183">
        <f>IF(F55="",0,(IF('wgl tot'!BN55&gt;tabellen!$G$12*'wgl tot'!H55/12,tabellen!$G$12*'wgl tot'!H55/12,'wgl tot'!BN55)*tabellen!$C$12))</f>
        <v>0</v>
      </c>
      <c r="AJ55" s="151"/>
      <c r="AK55" s="183">
        <f>IF(F55="",0,('wgl tot'!BN55*IF(J55=1,tabellen!$C$13,IF(J55=2,tabellen!$C$14,IF(J55=3,tabellen!$C$15,IF(J55=5,tabellen!$C$17,IF(J55=6,tabellen!$C$18,IF(J55=7,tabellen!$C$19,IF(J55=8,tabellen!$C$20,tabellen!$C$16)))))))))</f>
        <v>0</v>
      </c>
      <c r="AL55" s="183">
        <f>IF(F55="",0,('wgl tot'!BN55*tabellen!$C$21))</f>
        <v>0</v>
      </c>
      <c r="AM55" s="237">
        <v>0</v>
      </c>
      <c r="AN55" s="151"/>
      <c r="AO55" s="237">
        <v>0</v>
      </c>
      <c r="AP55" s="151"/>
      <c r="AQ55" s="163">
        <f t="shared" si="19"/>
        <v>0</v>
      </c>
      <c r="AR55" s="163">
        <f t="shared" si="30"/>
        <v>0</v>
      </c>
      <c r="AS55" s="151"/>
      <c r="AT55" s="187" t="str">
        <f t="shared" si="23"/>
        <v/>
      </c>
      <c r="AU55" s="187" t="str">
        <f t="shared" si="24"/>
        <v/>
      </c>
      <c r="AV55" s="151"/>
      <c r="AW55" s="129"/>
      <c r="AX55" s="121"/>
      <c r="AY55" s="121"/>
      <c r="AZ55" s="165">
        <f ca="1">YEAR('wgl tot'!$AZ$9)-YEAR('wgl tot'!E55)</f>
        <v>119</v>
      </c>
      <c r="BA55" s="165">
        <f ca="1">MONTH('wgl tot'!$AZ$9)-MONTH('wgl tot'!E55)</f>
        <v>8</v>
      </c>
      <c r="BB55" s="165">
        <f ca="1">DAY('wgl tot'!$AZ$9)-DAY('wgl tot'!E55)</f>
        <v>14</v>
      </c>
      <c r="BC55" s="130">
        <f>IF(AND('wgl tot'!F55&gt;0,'wgl tot'!F55&lt;17),0,100)</f>
        <v>100</v>
      </c>
      <c r="BD55" s="130">
        <f t="shared" si="25"/>
        <v>0</v>
      </c>
      <c r="BE55" s="148">
        <v>42583</v>
      </c>
      <c r="BF55" s="166">
        <f t="shared" si="17"/>
        <v>0.08</v>
      </c>
      <c r="BG55" s="167">
        <f>+tabellen!$D$51</f>
        <v>6.3E-2</v>
      </c>
      <c r="BH55" s="165">
        <f>IF('wgl tot'!BC55=100,0,'wgl tot'!F55)</f>
        <v>0</v>
      </c>
      <c r="BI55" s="167" t="str">
        <f>IF(OR('wgl tot'!F55="DA",'wgl tot'!F55="DB",'wgl tot'!F55="DBuit",'wgl tot'!F55="DC",'wgl tot'!F55="DCuit",MID('wgl tot'!F55,1,5)="meerh"),"j","n")</f>
        <v>n</v>
      </c>
      <c r="BJ55" s="169" t="e">
        <f>IF('wgl tot'!W55/'wgl tot'!H55&lt;tabellen!$E$6,0,(+'wgl tot'!W55-tabellen!$E$6*'wgl tot'!H55)/12*tabellen!$D$6)</f>
        <v>#DIV/0!</v>
      </c>
      <c r="BK55" s="169" t="e">
        <f>IF('wgl tot'!W55/'wgl tot'!H55&lt;tabellen!$E$7,0,(+'wgl tot'!W55-tabellen!$E$7*'wgl tot'!H55)/12*tabellen!$D$7)</f>
        <v>#DIV/0!</v>
      </c>
      <c r="BL55" s="169">
        <f>'wgl tot'!W55/12*tabellen!$D$8</f>
        <v>0</v>
      </c>
      <c r="BM55" s="170" t="e">
        <f t="shared" si="31"/>
        <v>#DIV/0!</v>
      </c>
      <c r="BN55" s="171" t="e">
        <f>+Y55/12-'wgl tot'!BM55</f>
        <v>#DIV/0!</v>
      </c>
      <c r="BO55" s="171" t="e">
        <f>ROUND(IF('wgl tot'!BN55&gt;tabellen!$H$11,tabellen!$H$11,'wgl tot'!BN55)*tabellen!$C$11,2)</f>
        <v>#DIV/0!</v>
      </c>
      <c r="BP55" s="171" t="e">
        <f>+'wgl tot'!BN55+'wgl tot'!BO55</f>
        <v>#DIV/0!</v>
      </c>
      <c r="BQ55" s="172">
        <f t="shared" si="26"/>
        <v>1900</v>
      </c>
      <c r="BR55" s="172">
        <f t="shared" si="27"/>
        <v>1</v>
      </c>
      <c r="BS55" s="165">
        <f t="shared" si="28"/>
        <v>0</v>
      </c>
      <c r="BT55" s="148">
        <f t="shared" si="32"/>
        <v>22462</v>
      </c>
      <c r="BU55" s="148">
        <f t="shared" ca="1" si="16"/>
        <v>43722.739781944445</v>
      </c>
      <c r="BV55" s="130"/>
      <c r="BW55" s="148"/>
      <c r="BX55" s="130"/>
      <c r="BY55" s="168"/>
      <c r="BZ55" s="168"/>
      <c r="CA55" s="168"/>
      <c r="CB55" s="168"/>
      <c r="CC55" s="168"/>
      <c r="CD55" s="168"/>
      <c r="CE55" s="121"/>
      <c r="CF55" s="121"/>
    </row>
    <row r="56" spans="1:84" s="132" customFormat="1" ht="12" customHeight="1" x14ac:dyDescent="0.2">
      <c r="A56" s="121"/>
      <c r="B56" s="122"/>
      <c r="C56" s="151"/>
      <c r="D56" s="157"/>
      <c r="E56" s="158"/>
      <c r="F56" s="159"/>
      <c r="G56" s="159"/>
      <c r="H56" s="160"/>
      <c r="I56" s="159"/>
      <c r="J56" s="161"/>
      <c r="K56" s="181">
        <f>IF(F56="",0,(VLOOKUP('wgl tot'!F56,saltab2019,'wgl tot'!G56+1,FALSE)))</f>
        <v>0</v>
      </c>
      <c r="L56" s="163">
        <f t="shared" si="29"/>
        <v>0</v>
      </c>
      <c r="M56" s="151"/>
      <c r="N56" s="181">
        <f>ROUND(IF(('wgl tot'!L56+'wgl tot'!P56)*BF56&lt;'wgl tot'!H56*tabellen!$D$50,'wgl tot'!H56*tabellen!$D$50,('wgl tot'!L56+'wgl tot'!P56)*BF56),2)</f>
        <v>0</v>
      </c>
      <c r="O56" s="181">
        <f>ROUND(+('wgl tot'!L56+'wgl tot'!P56)*BG56,2)</f>
        <v>0</v>
      </c>
      <c r="P56" s="181">
        <f>ROUND(IF(I56="j",VLOOKUP(BD56,uitlooptoeslag,2,FALSE))*IF('wgl tot'!H56&gt;1,1,'wgl tot'!H56),2)</f>
        <v>0</v>
      </c>
      <c r="Q56" s="181">
        <f>ROUND(IF(BI56="j",tabellen!$D$59*IF('wgl tot'!H56&gt;1,1,'wgl tot'!H56),0),2)</f>
        <v>0</v>
      </c>
      <c r="R56" s="181">
        <f>IF(AND(F56&gt;0,F56&lt;17),tabellen!$C$41*'wgl tot'!H56,0)</f>
        <v>0</v>
      </c>
      <c r="S56" s="181">
        <f>VLOOKUP(BH56,eindejaarsuitkering_OOP,2,TRUE)*'wgl tot'!H56/12</f>
        <v>0</v>
      </c>
      <c r="T56" s="181">
        <f>ROUND(H56*tabellen!$D$57,2)</f>
        <v>0</v>
      </c>
      <c r="U56" s="181">
        <f>ROUND(H56*tabellen!C$45,2)</f>
        <v>0</v>
      </c>
      <c r="V56" s="181">
        <f>H56*(IF(F56="L10",42%*VLOOKUP(tabellen!L$45,saltab2018sept,G56+1,FALSE),IF(F56="L11",42%*VLOOKUP(tabellen!L$46,saltab2018sept,G56+1,FALSE),IF(F56="L12",42%*VLOOKUP(tabellen!L$47,saltab2018sept,G56+1,FALSE),IF(F56="L13",42%*VLOOKUP(tabellen!L$48,saltab2018sept,G56+1,FALSE),0)))))</f>
        <v>0</v>
      </c>
      <c r="W56" s="182">
        <f t="shared" si="9"/>
        <v>0</v>
      </c>
      <c r="X56" s="181">
        <f>('wgl tot'!L56+'wgl tot'!P56)*tabellen!$C$43*12</f>
        <v>0</v>
      </c>
      <c r="Y56" s="163">
        <f t="shared" si="10"/>
        <v>0</v>
      </c>
      <c r="Z56" s="151"/>
      <c r="AA56" s="182">
        <f t="shared" si="18"/>
        <v>0</v>
      </c>
      <c r="AB56" s="217">
        <f>+'wgl tot'!X56/12</f>
        <v>0</v>
      </c>
      <c r="AC56" s="151"/>
      <c r="AD56" s="181">
        <f>IF(F56="",0,(IF('wgl tot'!W56/'wgl tot'!H56&lt;tabellen!$E$6,0,('wgl tot'!W56-tabellen!$E$6*'wgl tot'!H56)/12)*tabellen!$C$6))</f>
        <v>0</v>
      </c>
      <c r="AE56" s="181">
        <f>IF(F56="",0,(IF('wgl tot'!W56/'wgl tot'!H56&lt;tabellen!$E$7,0,(+'wgl tot'!W56-tabellen!$E$7*'wgl tot'!H56)/12)*tabellen!$C$7))</f>
        <v>0</v>
      </c>
      <c r="AF56" s="181">
        <f>'wgl tot'!W56/12*tabellen!$C$8</f>
        <v>0</v>
      </c>
      <c r="AG56" s="181">
        <f>IF(H56=0,0,IF(BN56&gt;tabellen!$G$9/12,tabellen!$G$9/12,BN56)*(tabellen!$C$9+tabellen!$C$10))</f>
        <v>0</v>
      </c>
      <c r="AH56" s="181">
        <f>IF(F56="",0,('wgl tot'!BO56))</f>
        <v>0</v>
      </c>
      <c r="AI56" s="183">
        <f>IF(F56="",0,(IF('wgl tot'!BN56&gt;tabellen!$G$12*'wgl tot'!H56/12,tabellen!$G$12*'wgl tot'!H56/12,'wgl tot'!BN56)*tabellen!$C$12))</f>
        <v>0</v>
      </c>
      <c r="AJ56" s="151"/>
      <c r="AK56" s="183">
        <f>IF(F56="",0,('wgl tot'!BN56*IF(J56=1,tabellen!$C$13,IF(J56=2,tabellen!$C$14,IF(J56=3,tabellen!$C$15,IF(J56=5,tabellen!$C$17,IF(J56=6,tabellen!$C$18,IF(J56=7,tabellen!$C$19,IF(J56=8,tabellen!$C$20,tabellen!$C$16)))))))))</f>
        <v>0</v>
      </c>
      <c r="AL56" s="183">
        <f>IF(F56="",0,('wgl tot'!BN56*tabellen!$C$21))</f>
        <v>0</v>
      </c>
      <c r="AM56" s="237">
        <v>0</v>
      </c>
      <c r="AN56" s="151"/>
      <c r="AO56" s="237">
        <v>0</v>
      </c>
      <c r="AP56" s="151"/>
      <c r="AQ56" s="163">
        <f t="shared" si="19"/>
        <v>0</v>
      </c>
      <c r="AR56" s="163">
        <f t="shared" si="30"/>
        <v>0</v>
      </c>
      <c r="AS56" s="151"/>
      <c r="AT56" s="187" t="str">
        <f t="shared" si="23"/>
        <v/>
      </c>
      <c r="AU56" s="187" t="str">
        <f t="shared" si="24"/>
        <v/>
      </c>
      <c r="AV56" s="151"/>
      <c r="AW56" s="129"/>
      <c r="AX56" s="121"/>
      <c r="AY56" s="121"/>
      <c r="AZ56" s="165">
        <f ca="1">YEAR('wgl tot'!$AZ$9)-YEAR('wgl tot'!E56)</f>
        <v>119</v>
      </c>
      <c r="BA56" s="165">
        <f ca="1">MONTH('wgl tot'!$AZ$9)-MONTH('wgl tot'!E56)</f>
        <v>8</v>
      </c>
      <c r="BB56" s="165">
        <f ca="1">DAY('wgl tot'!$AZ$9)-DAY('wgl tot'!E56)</f>
        <v>14</v>
      </c>
      <c r="BC56" s="130">
        <f>IF(AND('wgl tot'!F56&gt;0,'wgl tot'!F56&lt;17),0,100)</f>
        <v>100</v>
      </c>
      <c r="BD56" s="130">
        <f t="shared" si="25"/>
        <v>0</v>
      </c>
      <c r="BE56" s="148">
        <v>42583</v>
      </c>
      <c r="BF56" s="166">
        <f t="shared" si="17"/>
        <v>0.08</v>
      </c>
      <c r="BG56" s="167">
        <f>+tabellen!$D$51</f>
        <v>6.3E-2</v>
      </c>
      <c r="BH56" s="165">
        <f>IF('wgl tot'!BC56=100,0,'wgl tot'!F56)</f>
        <v>0</v>
      </c>
      <c r="BI56" s="167" t="str">
        <f>IF(OR('wgl tot'!F56="DA",'wgl tot'!F56="DB",'wgl tot'!F56="DBuit",'wgl tot'!F56="DC",'wgl tot'!F56="DCuit",MID('wgl tot'!F56,1,5)="meerh"),"j","n")</f>
        <v>n</v>
      </c>
      <c r="BJ56" s="169" t="e">
        <f>IF('wgl tot'!W56/'wgl tot'!H56&lt;tabellen!$E$6,0,(+'wgl tot'!W56-tabellen!$E$6*'wgl tot'!H56)/12*tabellen!$D$6)</f>
        <v>#DIV/0!</v>
      </c>
      <c r="BK56" s="169" t="e">
        <f>IF('wgl tot'!W56/'wgl tot'!H56&lt;tabellen!$E$7,0,(+'wgl tot'!W56-tabellen!$E$7*'wgl tot'!H56)/12*tabellen!$D$7)</f>
        <v>#DIV/0!</v>
      </c>
      <c r="BL56" s="169">
        <f>'wgl tot'!W56/12*tabellen!$D$8</f>
        <v>0</v>
      </c>
      <c r="BM56" s="170" t="e">
        <f t="shared" si="31"/>
        <v>#DIV/0!</v>
      </c>
      <c r="BN56" s="171" t="e">
        <f>+Y56/12-'wgl tot'!BM56</f>
        <v>#DIV/0!</v>
      </c>
      <c r="BO56" s="171" t="e">
        <f>ROUND(IF('wgl tot'!BN56&gt;tabellen!$H$11,tabellen!$H$11,'wgl tot'!BN56)*tabellen!$C$11,2)</f>
        <v>#DIV/0!</v>
      </c>
      <c r="BP56" s="171" t="e">
        <f>+'wgl tot'!BN56+'wgl tot'!BO56</f>
        <v>#DIV/0!</v>
      </c>
      <c r="BQ56" s="172">
        <f t="shared" si="26"/>
        <v>1900</v>
      </c>
      <c r="BR56" s="172">
        <f t="shared" si="27"/>
        <v>1</v>
      </c>
      <c r="BS56" s="165">
        <f t="shared" si="28"/>
        <v>0</v>
      </c>
      <c r="BT56" s="148">
        <f t="shared" si="32"/>
        <v>22462</v>
      </c>
      <c r="BU56" s="148">
        <f t="shared" ca="1" si="16"/>
        <v>43722.739781944445</v>
      </c>
      <c r="BV56" s="130"/>
      <c r="BW56" s="148"/>
      <c r="BX56" s="130"/>
      <c r="BY56" s="168"/>
      <c r="BZ56" s="168"/>
      <c r="CA56" s="168"/>
      <c r="CB56" s="168"/>
      <c r="CC56" s="168"/>
      <c r="CD56" s="168"/>
      <c r="CE56" s="121"/>
      <c r="CF56" s="121"/>
    </row>
    <row r="57" spans="1:84" s="132" customFormat="1" ht="12" customHeight="1" x14ac:dyDescent="0.2">
      <c r="A57" s="121"/>
      <c r="B57" s="122"/>
      <c r="C57" s="151"/>
      <c r="D57" s="157"/>
      <c r="E57" s="158"/>
      <c r="F57" s="159"/>
      <c r="G57" s="159"/>
      <c r="H57" s="160"/>
      <c r="I57" s="159"/>
      <c r="J57" s="161"/>
      <c r="K57" s="181">
        <f>IF(F57="",0,(VLOOKUP('wgl tot'!F57,saltab2019,'wgl tot'!G57+1,FALSE)))</f>
        <v>0</v>
      </c>
      <c r="L57" s="163">
        <f t="shared" si="29"/>
        <v>0</v>
      </c>
      <c r="M57" s="151"/>
      <c r="N57" s="181">
        <f>ROUND(IF(('wgl tot'!L57+'wgl tot'!P57)*BF57&lt;'wgl tot'!H57*tabellen!$D$50,'wgl tot'!H57*tabellen!$D$50,('wgl tot'!L57+'wgl tot'!P57)*BF57),2)</f>
        <v>0</v>
      </c>
      <c r="O57" s="181">
        <f>ROUND(+('wgl tot'!L57+'wgl tot'!P57)*BG57,2)</f>
        <v>0</v>
      </c>
      <c r="P57" s="181">
        <f>ROUND(IF(I57="j",VLOOKUP(BD57,uitlooptoeslag,2,FALSE))*IF('wgl tot'!H57&gt;1,1,'wgl tot'!H57),2)</f>
        <v>0</v>
      </c>
      <c r="Q57" s="181">
        <f>ROUND(IF(BI57="j",tabellen!$D$59*IF('wgl tot'!H57&gt;1,1,'wgl tot'!H57),0),2)</f>
        <v>0</v>
      </c>
      <c r="R57" s="181">
        <f>IF(AND(F57&gt;0,F57&lt;17),tabellen!$C$41*'wgl tot'!H57,0)</f>
        <v>0</v>
      </c>
      <c r="S57" s="181">
        <f>VLOOKUP(BH57,eindejaarsuitkering_OOP,2,TRUE)*'wgl tot'!H57/12</f>
        <v>0</v>
      </c>
      <c r="T57" s="181">
        <f>ROUND(H57*tabellen!$D$57,2)</f>
        <v>0</v>
      </c>
      <c r="U57" s="181">
        <f>ROUND(H57*tabellen!C$45,2)</f>
        <v>0</v>
      </c>
      <c r="V57" s="181">
        <f>H57*(IF(F57="L10",42%*VLOOKUP(tabellen!L$45,saltab2018sept,G57+1,FALSE),IF(F57="L11",42%*VLOOKUP(tabellen!L$46,saltab2018sept,G57+1,FALSE),IF(F57="L12",42%*VLOOKUP(tabellen!L$47,saltab2018sept,G57+1,FALSE),IF(F57="L13",42%*VLOOKUP(tabellen!L$48,saltab2018sept,G57+1,FALSE),0)))))</f>
        <v>0</v>
      </c>
      <c r="W57" s="182">
        <f t="shared" si="9"/>
        <v>0</v>
      </c>
      <c r="X57" s="181">
        <f>('wgl tot'!L57+'wgl tot'!P57)*tabellen!$C$43*12</f>
        <v>0</v>
      </c>
      <c r="Y57" s="163">
        <f t="shared" si="10"/>
        <v>0</v>
      </c>
      <c r="Z57" s="151"/>
      <c r="AA57" s="182">
        <f t="shared" si="18"/>
        <v>0</v>
      </c>
      <c r="AB57" s="217">
        <f>+'wgl tot'!X57/12</f>
        <v>0</v>
      </c>
      <c r="AC57" s="151"/>
      <c r="AD57" s="181">
        <f>IF(F57="",0,(IF('wgl tot'!W57/'wgl tot'!H57&lt;tabellen!$E$6,0,('wgl tot'!W57-tabellen!$E$6*'wgl tot'!H57)/12)*tabellen!$C$6))</f>
        <v>0</v>
      </c>
      <c r="AE57" s="181">
        <f>IF(F57="",0,(IF('wgl tot'!W57/'wgl tot'!H57&lt;tabellen!$E$7,0,(+'wgl tot'!W57-tabellen!$E$7*'wgl tot'!H57)/12)*tabellen!$C$7))</f>
        <v>0</v>
      </c>
      <c r="AF57" s="181">
        <f>'wgl tot'!W57/12*tabellen!$C$8</f>
        <v>0</v>
      </c>
      <c r="AG57" s="181">
        <f>IF(H57=0,0,IF(BN57&gt;tabellen!$G$9/12,tabellen!$G$9/12,BN57)*(tabellen!$C$9+tabellen!$C$10))</f>
        <v>0</v>
      </c>
      <c r="AH57" s="181">
        <f>IF(F57="",0,('wgl tot'!BO57))</f>
        <v>0</v>
      </c>
      <c r="AI57" s="183">
        <f>IF(F57="",0,(IF('wgl tot'!BN57&gt;tabellen!$G$12*'wgl tot'!H57/12,tabellen!$G$12*'wgl tot'!H57/12,'wgl tot'!BN57)*tabellen!$C$12))</f>
        <v>0</v>
      </c>
      <c r="AJ57" s="151"/>
      <c r="AK57" s="183">
        <f>IF(F57="",0,('wgl tot'!BN57*IF(J57=1,tabellen!$C$13,IF(J57=2,tabellen!$C$14,IF(J57=3,tabellen!$C$15,IF(J57=5,tabellen!$C$17,IF(J57=6,tabellen!$C$18,IF(J57=7,tabellen!$C$19,IF(J57=8,tabellen!$C$20,tabellen!$C$16)))))))))</f>
        <v>0</v>
      </c>
      <c r="AL57" s="183">
        <f>IF(F57="",0,('wgl tot'!BN57*tabellen!$C$21))</f>
        <v>0</v>
      </c>
      <c r="AM57" s="237">
        <v>0</v>
      </c>
      <c r="AN57" s="151"/>
      <c r="AO57" s="237">
        <v>0</v>
      </c>
      <c r="AP57" s="151"/>
      <c r="AQ57" s="163">
        <f t="shared" si="19"/>
        <v>0</v>
      </c>
      <c r="AR57" s="163">
        <f t="shared" si="30"/>
        <v>0</v>
      </c>
      <c r="AS57" s="151"/>
      <c r="AT57" s="187" t="str">
        <f t="shared" si="23"/>
        <v/>
      </c>
      <c r="AU57" s="187" t="str">
        <f t="shared" si="24"/>
        <v/>
      </c>
      <c r="AV57" s="151"/>
      <c r="AW57" s="129"/>
      <c r="AX57" s="121"/>
      <c r="AY57" s="121"/>
      <c r="AZ57" s="165">
        <f ca="1">YEAR('wgl tot'!$AZ$9)-YEAR('wgl tot'!E57)</f>
        <v>119</v>
      </c>
      <c r="BA57" s="165">
        <f ca="1">MONTH('wgl tot'!$AZ$9)-MONTH('wgl tot'!E57)</f>
        <v>8</v>
      </c>
      <c r="BB57" s="165">
        <f ca="1">DAY('wgl tot'!$AZ$9)-DAY('wgl tot'!E57)</f>
        <v>14</v>
      </c>
      <c r="BC57" s="130">
        <f>IF(AND('wgl tot'!F57&gt;0,'wgl tot'!F57&lt;17),0,100)</f>
        <v>100</v>
      </c>
      <c r="BD57" s="130">
        <f t="shared" si="25"/>
        <v>0</v>
      </c>
      <c r="BE57" s="148">
        <v>42583</v>
      </c>
      <c r="BF57" s="166">
        <f t="shared" si="17"/>
        <v>0.08</v>
      </c>
      <c r="BG57" s="167">
        <f>+tabellen!$D$51</f>
        <v>6.3E-2</v>
      </c>
      <c r="BH57" s="165">
        <f>IF('wgl tot'!BC57=100,0,'wgl tot'!F57)</f>
        <v>0</v>
      </c>
      <c r="BI57" s="167" t="str">
        <f>IF(OR('wgl tot'!F57="DA",'wgl tot'!F57="DB",'wgl tot'!F57="DBuit",'wgl tot'!F57="DC",'wgl tot'!F57="DCuit",MID('wgl tot'!F57,1,5)="meerh"),"j","n")</f>
        <v>n</v>
      </c>
      <c r="BJ57" s="169" t="e">
        <f>IF('wgl tot'!W57/'wgl tot'!H57&lt;tabellen!$E$6,0,(+'wgl tot'!W57-tabellen!$E$6*'wgl tot'!H57)/12*tabellen!$D$6)</f>
        <v>#DIV/0!</v>
      </c>
      <c r="BK57" s="169" t="e">
        <f>IF('wgl tot'!W57/'wgl tot'!H57&lt;tabellen!$E$7,0,(+'wgl tot'!W57-tabellen!$E$7*'wgl tot'!H57)/12*tabellen!$D$7)</f>
        <v>#DIV/0!</v>
      </c>
      <c r="BL57" s="169">
        <f>'wgl tot'!W57/12*tabellen!$D$8</f>
        <v>0</v>
      </c>
      <c r="BM57" s="170" t="e">
        <f t="shared" si="31"/>
        <v>#DIV/0!</v>
      </c>
      <c r="BN57" s="171" t="e">
        <f>+Y57/12-'wgl tot'!BM57</f>
        <v>#DIV/0!</v>
      </c>
      <c r="BO57" s="171" t="e">
        <f>ROUND(IF('wgl tot'!BN57&gt;tabellen!$H$11,tabellen!$H$11,'wgl tot'!BN57)*tabellen!$C$11,2)</f>
        <v>#DIV/0!</v>
      </c>
      <c r="BP57" s="171" t="e">
        <f>+'wgl tot'!BN57+'wgl tot'!BO57</f>
        <v>#DIV/0!</v>
      </c>
      <c r="BQ57" s="172">
        <f t="shared" si="26"/>
        <v>1900</v>
      </c>
      <c r="BR57" s="172">
        <f t="shared" si="27"/>
        <v>1</v>
      </c>
      <c r="BS57" s="165">
        <f t="shared" si="28"/>
        <v>0</v>
      </c>
      <c r="BT57" s="148">
        <f t="shared" si="32"/>
        <v>22462</v>
      </c>
      <c r="BU57" s="148">
        <f t="shared" ca="1" si="16"/>
        <v>43722.739781944445</v>
      </c>
      <c r="BV57" s="130"/>
      <c r="BW57" s="148"/>
      <c r="BX57" s="130"/>
      <c r="BY57" s="168"/>
      <c r="BZ57" s="168"/>
      <c r="CA57" s="168"/>
      <c r="CB57" s="168"/>
      <c r="CC57" s="168"/>
      <c r="CD57" s="168"/>
      <c r="CE57" s="121"/>
      <c r="CF57" s="121"/>
    </row>
    <row r="58" spans="1:84" s="132" customFormat="1" ht="12" customHeight="1" x14ac:dyDescent="0.2">
      <c r="A58" s="121"/>
      <c r="B58" s="122"/>
      <c r="C58" s="151"/>
      <c r="D58" s="157"/>
      <c r="E58" s="158"/>
      <c r="F58" s="159"/>
      <c r="G58" s="159"/>
      <c r="H58" s="160"/>
      <c r="I58" s="159"/>
      <c r="J58" s="161"/>
      <c r="K58" s="181">
        <f>IF(F58="",0,(VLOOKUP('wgl tot'!F58,saltab2019,'wgl tot'!G58+1,FALSE)))</f>
        <v>0</v>
      </c>
      <c r="L58" s="163">
        <f t="shared" si="29"/>
        <v>0</v>
      </c>
      <c r="M58" s="151"/>
      <c r="N58" s="181">
        <f>ROUND(IF(('wgl tot'!L58+'wgl tot'!P58)*BF58&lt;'wgl tot'!H58*tabellen!$D$50,'wgl tot'!H58*tabellen!$D$50,('wgl tot'!L58+'wgl tot'!P58)*BF58),2)</f>
        <v>0</v>
      </c>
      <c r="O58" s="181">
        <f>ROUND(+('wgl tot'!L58+'wgl tot'!P58)*BG58,2)</f>
        <v>0</v>
      </c>
      <c r="P58" s="181">
        <f>ROUND(IF(I58="j",VLOOKUP(BD58,uitlooptoeslag,2,FALSE))*IF('wgl tot'!H58&gt;1,1,'wgl tot'!H58),2)</f>
        <v>0</v>
      </c>
      <c r="Q58" s="181">
        <f>ROUND(IF(BI58="j",tabellen!$D$59*IF('wgl tot'!H58&gt;1,1,'wgl tot'!H58),0),2)</f>
        <v>0</v>
      </c>
      <c r="R58" s="181">
        <f>IF(AND(F58&gt;0,F58&lt;17),tabellen!$C$41*'wgl tot'!H58,0)</f>
        <v>0</v>
      </c>
      <c r="S58" s="181">
        <f>VLOOKUP(BH58,eindejaarsuitkering_OOP,2,TRUE)*'wgl tot'!H58/12</f>
        <v>0</v>
      </c>
      <c r="T58" s="181">
        <f>ROUND(H58*tabellen!$D$57,2)</f>
        <v>0</v>
      </c>
      <c r="U58" s="181">
        <f>ROUND(H58*tabellen!C$45,2)</f>
        <v>0</v>
      </c>
      <c r="V58" s="181">
        <f>H58*(IF(F58="L10",42%*VLOOKUP(tabellen!L$45,saltab2018sept,G58+1,FALSE),IF(F58="L11",42%*VLOOKUP(tabellen!L$46,saltab2018sept,G58+1,FALSE),IF(F58="L12",42%*VLOOKUP(tabellen!L$47,saltab2018sept,G58+1,FALSE),IF(F58="L13",42%*VLOOKUP(tabellen!L$48,saltab2018sept,G58+1,FALSE),0)))))</f>
        <v>0</v>
      </c>
      <c r="W58" s="182">
        <f t="shared" si="9"/>
        <v>0</v>
      </c>
      <c r="X58" s="181">
        <f>('wgl tot'!L58+'wgl tot'!P58)*tabellen!$C$43*12</f>
        <v>0</v>
      </c>
      <c r="Y58" s="163">
        <f t="shared" si="10"/>
        <v>0</v>
      </c>
      <c r="Z58" s="151"/>
      <c r="AA58" s="182">
        <f t="shared" si="18"/>
        <v>0</v>
      </c>
      <c r="AB58" s="217">
        <f>+'wgl tot'!X58/12</f>
        <v>0</v>
      </c>
      <c r="AC58" s="151"/>
      <c r="AD58" s="181">
        <f>IF(F58="",0,(IF('wgl tot'!W58/'wgl tot'!H58&lt;tabellen!$E$6,0,('wgl tot'!W58-tabellen!$E$6*'wgl tot'!H58)/12)*tabellen!$C$6))</f>
        <v>0</v>
      </c>
      <c r="AE58" s="181">
        <f>IF(F58="",0,(IF('wgl tot'!W58/'wgl tot'!H58&lt;tabellen!$E$7,0,(+'wgl tot'!W58-tabellen!$E$7*'wgl tot'!H58)/12)*tabellen!$C$7))</f>
        <v>0</v>
      </c>
      <c r="AF58" s="181">
        <f>'wgl tot'!W58/12*tabellen!$C$8</f>
        <v>0</v>
      </c>
      <c r="AG58" s="181">
        <f>IF(H58=0,0,IF(BN58&gt;tabellen!$G$9/12,tabellen!$G$9/12,BN58)*(tabellen!$C$9+tabellen!$C$10))</f>
        <v>0</v>
      </c>
      <c r="AH58" s="181">
        <f>IF(F58="",0,('wgl tot'!BO58))</f>
        <v>0</v>
      </c>
      <c r="AI58" s="183">
        <f>IF(F58="",0,(IF('wgl tot'!BN58&gt;tabellen!$G$12*'wgl tot'!H58/12,tabellen!$G$12*'wgl tot'!H58/12,'wgl tot'!BN58)*tabellen!$C$12))</f>
        <v>0</v>
      </c>
      <c r="AJ58" s="151"/>
      <c r="AK58" s="183">
        <f>IF(F58="",0,('wgl tot'!BN58*IF(J58=1,tabellen!$C$13,IF(J58=2,tabellen!$C$14,IF(J58=3,tabellen!$C$15,IF(J58=5,tabellen!$C$17,IF(J58=6,tabellen!$C$18,IF(J58=7,tabellen!$C$19,IF(J58=8,tabellen!$C$20,tabellen!$C$16)))))))))</f>
        <v>0</v>
      </c>
      <c r="AL58" s="183">
        <f>IF(F58="",0,('wgl tot'!BN58*tabellen!$C$21))</f>
        <v>0</v>
      </c>
      <c r="AM58" s="237">
        <v>0</v>
      </c>
      <c r="AN58" s="151"/>
      <c r="AO58" s="237">
        <v>0</v>
      </c>
      <c r="AP58" s="151"/>
      <c r="AQ58" s="163">
        <f t="shared" si="19"/>
        <v>0</v>
      </c>
      <c r="AR58" s="163">
        <f t="shared" si="30"/>
        <v>0</v>
      </c>
      <c r="AS58" s="151"/>
      <c r="AT58" s="187" t="str">
        <f t="shared" si="23"/>
        <v/>
      </c>
      <c r="AU58" s="187" t="str">
        <f t="shared" si="24"/>
        <v/>
      </c>
      <c r="AV58" s="151"/>
      <c r="AW58" s="129"/>
      <c r="AX58" s="121"/>
      <c r="AY58" s="121"/>
      <c r="AZ58" s="165">
        <f ca="1">YEAR('wgl tot'!$AZ$9)-YEAR('wgl tot'!E58)</f>
        <v>119</v>
      </c>
      <c r="BA58" s="165">
        <f ca="1">MONTH('wgl tot'!$AZ$9)-MONTH('wgl tot'!E58)</f>
        <v>8</v>
      </c>
      <c r="BB58" s="165">
        <f ca="1">DAY('wgl tot'!$AZ$9)-DAY('wgl tot'!E58)</f>
        <v>14</v>
      </c>
      <c r="BC58" s="130">
        <f>IF(AND('wgl tot'!F58&gt;0,'wgl tot'!F58&lt;17),0,100)</f>
        <v>100</v>
      </c>
      <c r="BD58" s="130">
        <f t="shared" si="25"/>
        <v>0</v>
      </c>
      <c r="BE58" s="148">
        <v>42583</v>
      </c>
      <c r="BF58" s="166">
        <f t="shared" si="17"/>
        <v>0.08</v>
      </c>
      <c r="BG58" s="167">
        <f>+tabellen!$D$51</f>
        <v>6.3E-2</v>
      </c>
      <c r="BH58" s="165">
        <f>IF('wgl tot'!BC58=100,0,'wgl tot'!F58)</f>
        <v>0</v>
      </c>
      <c r="BI58" s="167" t="str">
        <f>IF(OR('wgl tot'!F58="DA",'wgl tot'!F58="DB",'wgl tot'!F58="DBuit",'wgl tot'!F58="DC",'wgl tot'!F58="DCuit",MID('wgl tot'!F58,1,5)="meerh"),"j","n")</f>
        <v>n</v>
      </c>
      <c r="BJ58" s="169" t="e">
        <f>IF('wgl tot'!W58/'wgl tot'!H58&lt;tabellen!$E$6,0,(+'wgl tot'!W58-tabellen!$E$6*'wgl tot'!H58)/12*tabellen!$D$6)</f>
        <v>#DIV/0!</v>
      </c>
      <c r="BK58" s="169" t="e">
        <f>IF('wgl tot'!W58/'wgl tot'!H58&lt;tabellen!$E$7,0,(+'wgl tot'!W58-tabellen!$E$7*'wgl tot'!H58)/12*tabellen!$D$7)</f>
        <v>#DIV/0!</v>
      </c>
      <c r="BL58" s="169">
        <f>'wgl tot'!W58/12*tabellen!$D$8</f>
        <v>0</v>
      </c>
      <c r="BM58" s="170" t="e">
        <f t="shared" si="31"/>
        <v>#DIV/0!</v>
      </c>
      <c r="BN58" s="171" t="e">
        <f>+Y58/12-'wgl tot'!BM58</f>
        <v>#DIV/0!</v>
      </c>
      <c r="BO58" s="171" t="e">
        <f>ROUND(IF('wgl tot'!BN58&gt;tabellen!$H$11,tabellen!$H$11,'wgl tot'!BN58)*tabellen!$C$11,2)</f>
        <v>#DIV/0!</v>
      </c>
      <c r="BP58" s="171" t="e">
        <f>+'wgl tot'!BN58+'wgl tot'!BO58</f>
        <v>#DIV/0!</v>
      </c>
      <c r="BQ58" s="172">
        <f t="shared" si="26"/>
        <v>1900</v>
      </c>
      <c r="BR58" s="172">
        <f t="shared" si="27"/>
        <v>1</v>
      </c>
      <c r="BS58" s="165">
        <f t="shared" si="28"/>
        <v>0</v>
      </c>
      <c r="BT58" s="148">
        <f t="shared" si="32"/>
        <v>22462</v>
      </c>
      <c r="BU58" s="148">
        <f t="shared" ca="1" si="16"/>
        <v>43722.739781944445</v>
      </c>
      <c r="BV58" s="130"/>
      <c r="BW58" s="148"/>
      <c r="BX58" s="130"/>
      <c r="BY58" s="168"/>
      <c r="BZ58" s="168"/>
      <c r="CA58" s="168"/>
      <c r="CB58" s="168"/>
      <c r="CC58" s="168"/>
      <c r="CD58" s="168"/>
      <c r="CE58" s="121"/>
      <c r="CF58" s="121"/>
    </row>
    <row r="59" spans="1:84" s="132" customFormat="1" ht="12" customHeight="1" x14ac:dyDescent="0.2">
      <c r="A59" s="121"/>
      <c r="B59" s="122"/>
      <c r="C59" s="151"/>
      <c r="D59" s="157"/>
      <c r="E59" s="158"/>
      <c r="F59" s="159"/>
      <c r="G59" s="159"/>
      <c r="H59" s="160"/>
      <c r="I59" s="159"/>
      <c r="J59" s="161"/>
      <c r="K59" s="181">
        <f>IF(F59="",0,(VLOOKUP('wgl tot'!F59,saltab2019,'wgl tot'!G59+1,FALSE)))</f>
        <v>0</v>
      </c>
      <c r="L59" s="163">
        <f t="shared" si="29"/>
        <v>0</v>
      </c>
      <c r="M59" s="151"/>
      <c r="N59" s="181">
        <f>ROUND(IF(('wgl tot'!L59+'wgl tot'!P59)*BF59&lt;'wgl tot'!H59*tabellen!$D$50,'wgl tot'!H59*tabellen!$D$50,('wgl tot'!L59+'wgl tot'!P59)*BF59),2)</f>
        <v>0</v>
      </c>
      <c r="O59" s="181">
        <f>ROUND(+('wgl tot'!L59+'wgl tot'!P59)*BG59,2)</f>
        <v>0</v>
      </c>
      <c r="P59" s="181">
        <f>ROUND(IF(I59="j",VLOOKUP(BD59,uitlooptoeslag,2,FALSE))*IF('wgl tot'!H59&gt;1,1,'wgl tot'!H59),2)</f>
        <v>0</v>
      </c>
      <c r="Q59" s="181">
        <f>ROUND(IF(BI59="j",tabellen!$D$59*IF('wgl tot'!H59&gt;1,1,'wgl tot'!H59),0),2)</f>
        <v>0</v>
      </c>
      <c r="R59" s="181">
        <f>IF(AND(F59&gt;0,F59&lt;17),tabellen!$C$41*'wgl tot'!H59,0)</f>
        <v>0</v>
      </c>
      <c r="S59" s="181">
        <f>VLOOKUP(BH59,eindejaarsuitkering_OOP,2,TRUE)*'wgl tot'!H59/12</f>
        <v>0</v>
      </c>
      <c r="T59" s="181">
        <f>ROUND(H59*tabellen!$D$57,2)</f>
        <v>0</v>
      </c>
      <c r="U59" s="181">
        <f>ROUND(H59*tabellen!C$45,2)</f>
        <v>0</v>
      </c>
      <c r="V59" s="181">
        <f>H59*(IF(F59="L10",42%*VLOOKUP(tabellen!L$45,saltab2018sept,G59+1,FALSE),IF(F59="L11",42%*VLOOKUP(tabellen!L$46,saltab2018sept,G59+1,FALSE),IF(F59="L12",42%*VLOOKUP(tabellen!L$47,saltab2018sept,G59+1,FALSE),IF(F59="L13",42%*VLOOKUP(tabellen!L$48,saltab2018sept,G59+1,FALSE),0)))))</f>
        <v>0</v>
      </c>
      <c r="W59" s="182">
        <f t="shared" si="9"/>
        <v>0</v>
      </c>
      <c r="X59" s="181">
        <f>('wgl tot'!L59+'wgl tot'!P59)*tabellen!$C$43*12</f>
        <v>0</v>
      </c>
      <c r="Y59" s="163">
        <f t="shared" si="10"/>
        <v>0</v>
      </c>
      <c r="Z59" s="151"/>
      <c r="AA59" s="182">
        <f t="shared" si="18"/>
        <v>0</v>
      </c>
      <c r="AB59" s="217">
        <f>+'wgl tot'!X59/12</f>
        <v>0</v>
      </c>
      <c r="AC59" s="151"/>
      <c r="AD59" s="181">
        <f>IF(F59="",0,(IF('wgl tot'!W59/'wgl tot'!H59&lt;tabellen!$E$6,0,('wgl tot'!W59-tabellen!$E$6*'wgl tot'!H59)/12)*tabellen!$C$6))</f>
        <v>0</v>
      </c>
      <c r="AE59" s="181">
        <f>IF(F59="",0,(IF('wgl tot'!W59/'wgl tot'!H59&lt;tabellen!$E$7,0,(+'wgl tot'!W59-tabellen!$E$7*'wgl tot'!H59)/12)*tabellen!$C$7))</f>
        <v>0</v>
      </c>
      <c r="AF59" s="181">
        <f>'wgl tot'!W59/12*tabellen!$C$8</f>
        <v>0</v>
      </c>
      <c r="AG59" s="181">
        <f>IF(H59=0,0,IF(BN59&gt;tabellen!$G$9/12,tabellen!$G$9/12,BN59)*(tabellen!$C$9+tabellen!$C$10))</f>
        <v>0</v>
      </c>
      <c r="AH59" s="181">
        <f>IF(F59="",0,('wgl tot'!BO59))</f>
        <v>0</v>
      </c>
      <c r="AI59" s="183">
        <f>IF(F59="",0,(IF('wgl tot'!BN59&gt;tabellen!$G$12*'wgl tot'!H59/12,tabellen!$G$12*'wgl tot'!H59/12,'wgl tot'!BN59)*tabellen!$C$12))</f>
        <v>0</v>
      </c>
      <c r="AJ59" s="151"/>
      <c r="AK59" s="183">
        <f>IF(F59="",0,('wgl tot'!BN59*IF(J59=1,tabellen!$C$13,IF(J59=2,tabellen!$C$14,IF(J59=3,tabellen!$C$15,IF(J59=5,tabellen!$C$17,IF(J59=6,tabellen!$C$18,IF(J59=7,tabellen!$C$19,IF(J59=8,tabellen!$C$20,tabellen!$C$16)))))))))</f>
        <v>0</v>
      </c>
      <c r="AL59" s="183">
        <f>IF(F59="",0,('wgl tot'!BN59*tabellen!$C$21))</f>
        <v>0</v>
      </c>
      <c r="AM59" s="237">
        <v>0</v>
      </c>
      <c r="AN59" s="151"/>
      <c r="AO59" s="237">
        <v>0</v>
      </c>
      <c r="AP59" s="151"/>
      <c r="AQ59" s="163">
        <f t="shared" si="19"/>
        <v>0</v>
      </c>
      <c r="AR59" s="163">
        <f t="shared" si="30"/>
        <v>0</v>
      </c>
      <c r="AS59" s="151"/>
      <c r="AT59" s="187" t="str">
        <f t="shared" si="23"/>
        <v/>
      </c>
      <c r="AU59" s="187" t="str">
        <f t="shared" si="24"/>
        <v/>
      </c>
      <c r="AV59" s="151"/>
      <c r="AW59" s="129"/>
      <c r="AX59" s="121"/>
      <c r="AY59" s="121"/>
      <c r="AZ59" s="165">
        <f ca="1">YEAR('wgl tot'!$AZ$9)-YEAR('wgl tot'!E59)</f>
        <v>119</v>
      </c>
      <c r="BA59" s="165">
        <f ca="1">MONTH('wgl tot'!$AZ$9)-MONTH('wgl tot'!E59)</f>
        <v>8</v>
      </c>
      <c r="BB59" s="165">
        <f ca="1">DAY('wgl tot'!$AZ$9)-DAY('wgl tot'!E59)</f>
        <v>14</v>
      </c>
      <c r="BC59" s="130">
        <f>IF(AND('wgl tot'!F59&gt;0,'wgl tot'!F59&lt;17),0,100)</f>
        <v>100</v>
      </c>
      <c r="BD59" s="130">
        <f t="shared" si="25"/>
        <v>0</v>
      </c>
      <c r="BE59" s="148">
        <v>42583</v>
      </c>
      <c r="BF59" s="166">
        <f t="shared" si="17"/>
        <v>0.08</v>
      </c>
      <c r="BG59" s="167">
        <f>+tabellen!$D$51</f>
        <v>6.3E-2</v>
      </c>
      <c r="BH59" s="165">
        <f>IF('wgl tot'!BC59=100,0,'wgl tot'!F59)</f>
        <v>0</v>
      </c>
      <c r="BI59" s="167" t="str">
        <f>IF(OR('wgl tot'!F59="DA",'wgl tot'!F59="DB",'wgl tot'!F59="DBuit",'wgl tot'!F59="DC",'wgl tot'!F59="DCuit",MID('wgl tot'!F59,1,5)="meerh"),"j","n")</f>
        <v>n</v>
      </c>
      <c r="BJ59" s="169" t="e">
        <f>IF('wgl tot'!W59/'wgl tot'!H59&lt;tabellen!$E$6,0,(+'wgl tot'!W59-tabellen!$E$6*'wgl tot'!H59)/12*tabellen!$D$6)</f>
        <v>#DIV/0!</v>
      </c>
      <c r="BK59" s="169" t="e">
        <f>IF('wgl tot'!W59/'wgl tot'!H59&lt;tabellen!$E$7,0,(+'wgl tot'!W59-tabellen!$E$7*'wgl tot'!H59)/12*tabellen!$D$7)</f>
        <v>#DIV/0!</v>
      </c>
      <c r="BL59" s="169">
        <f>'wgl tot'!W59/12*tabellen!$D$8</f>
        <v>0</v>
      </c>
      <c r="BM59" s="170" t="e">
        <f t="shared" si="31"/>
        <v>#DIV/0!</v>
      </c>
      <c r="BN59" s="171" t="e">
        <f>+Y59/12-'wgl tot'!BM59</f>
        <v>#DIV/0!</v>
      </c>
      <c r="BO59" s="171" t="e">
        <f>ROUND(IF('wgl tot'!BN59&gt;tabellen!$H$11,tabellen!$H$11,'wgl tot'!BN59)*tabellen!$C$11,2)</f>
        <v>#DIV/0!</v>
      </c>
      <c r="BP59" s="171" t="e">
        <f>+'wgl tot'!BN59+'wgl tot'!BO59</f>
        <v>#DIV/0!</v>
      </c>
      <c r="BQ59" s="172">
        <f t="shared" si="26"/>
        <v>1900</v>
      </c>
      <c r="BR59" s="172">
        <f t="shared" si="27"/>
        <v>1</v>
      </c>
      <c r="BS59" s="165">
        <f t="shared" si="28"/>
        <v>0</v>
      </c>
      <c r="BT59" s="148">
        <f t="shared" si="32"/>
        <v>22462</v>
      </c>
      <c r="BU59" s="148">
        <f t="shared" ca="1" si="16"/>
        <v>43722.739781944445</v>
      </c>
      <c r="BV59" s="130"/>
      <c r="BW59" s="148"/>
      <c r="BX59" s="130"/>
      <c r="BY59" s="168"/>
      <c r="BZ59" s="168"/>
      <c r="CA59" s="168"/>
      <c r="CB59" s="168"/>
      <c r="CC59" s="168"/>
      <c r="CD59" s="168"/>
      <c r="CE59" s="121"/>
      <c r="CF59" s="121"/>
    </row>
    <row r="60" spans="1:84" s="132" customFormat="1" ht="12" customHeight="1" x14ac:dyDescent="0.2">
      <c r="A60" s="121"/>
      <c r="B60" s="122"/>
      <c r="C60" s="151"/>
      <c r="D60" s="157"/>
      <c r="E60" s="158"/>
      <c r="F60" s="159"/>
      <c r="G60" s="159"/>
      <c r="H60" s="160"/>
      <c r="I60" s="159"/>
      <c r="J60" s="161"/>
      <c r="K60" s="181">
        <f>IF(F60="",0,(VLOOKUP('wgl tot'!F60,saltab2019,'wgl tot'!G60+1,FALSE)))</f>
        <v>0</v>
      </c>
      <c r="L60" s="163">
        <f t="shared" si="29"/>
        <v>0</v>
      </c>
      <c r="M60" s="151"/>
      <c r="N60" s="181">
        <f>ROUND(IF(('wgl tot'!L60+'wgl tot'!P60)*BF60&lt;'wgl tot'!H60*tabellen!$D$50,'wgl tot'!H60*tabellen!$D$50,('wgl tot'!L60+'wgl tot'!P60)*BF60),2)</f>
        <v>0</v>
      </c>
      <c r="O60" s="181">
        <f>ROUND(+('wgl tot'!L60+'wgl tot'!P60)*BG60,2)</f>
        <v>0</v>
      </c>
      <c r="P60" s="181">
        <f>ROUND(IF(I60="j",VLOOKUP(BD60,uitlooptoeslag,2,FALSE))*IF('wgl tot'!H60&gt;1,1,'wgl tot'!H60),2)</f>
        <v>0</v>
      </c>
      <c r="Q60" s="181">
        <f>ROUND(IF(BI60="j",tabellen!$D$59*IF('wgl tot'!H60&gt;1,1,'wgl tot'!H60),0),2)</f>
        <v>0</v>
      </c>
      <c r="R60" s="181">
        <f>IF(AND(F60&gt;0,F60&lt;17),tabellen!$C$41*'wgl tot'!H60,0)</f>
        <v>0</v>
      </c>
      <c r="S60" s="181">
        <f>VLOOKUP(BH60,eindejaarsuitkering_OOP,2,TRUE)*'wgl tot'!H60/12</f>
        <v>0</v>
      </c>
      <c r="T60" s="181">
        <f>ROUND(H60*tabellen!$D$57,2)</f>
        <v>0</v>
      </c>
      <c r="U60" s="181">
        <f>ROUND(H60*tabellen!C$45,2)</f>
        <v>0</v>
      </c>
      <c r="V60" s="181">
        <f>H60*(IF(F60="L10",42%*VLOOKUP(tabellen!L$45,saltab2018sept,G60+1,FALSE),IF(F60="L11",42%*VLOOKUP(tabellen!L$46,saltab2018sept,G60+1,FALSE),IF(F60="L12",42%*VLOOKUP(tabellen!L$47,saltab2018sept,G60+1,FALSE),IF(F60="L13",42%*VLOOKUP(tabellen!L$48,saltab2018sept,G60+1,FALSE),0)))))</f>
        <v>0</v>
      </c>
      <c r="W60" s="182">
        <f t="shared" si="9"/>
        <v>0</v>
      </c>
      <c r="X60" s="181">
        <f>('wgl tot'!L60+'wgl tot'!P60)*tabellen!$C$43*12</f>
        <v>0</v>
      </c>
      <c r="Y60" s="163">
        <f t="shared" si="10"/>
        <v>0</v>
      </c>
      <c r="Z60" s="151"/>
      <c r="AA60" s="182">
        <f t="shared" si="18"/>
        <v>0</v>
      </c>
      <c r="AB60" s="217">
        <f>+'wgl tot'!X60/12</f>
        <v>0</v>
      </c>
      <c r="AC60" s="151"/>
      <c r="AD60" s="181">
        <f>IF(F60="",0,(IF('wgl tot'!W60/'wgl tot'!H60&lt;tabellen!$E$6,0,('wgl tot'!W60-tabellen!$E$6*'wgl tot'!H60)/12)*tabellen!$C$6))</f>
        <v>0</v>
      </c>
      <c r="AE60" s="181">
        <f>IF(F60="",0,(IF('wgl tot'!W60/'wgl tot'!H60&lt;tabellen!$E$7,0,(+'wgl tot'!W60-tabellen!$E$7*'wgl tot'!H60)/12)*tabellen!$C$7))</f>
        <v>0</v>
      </c>
      <c r="AF60" s="181">
        <f>'wgl tot'!W60/12*tabellen!$C$8</f>
        <v>0</v>
      </c>
      <c r="AG60" s="181">
        <f>IF(H60=0,0,IF(BN60&gt;tabellen!$G$9/12,tabellen!$G$9/12,BN60)*(tabellen!$C$9+tabellen!$C$10))</f>
        <v>0</v>
      </c>
      <c r="AH60" s="181">
        <f>IF(F60="",0,('wgl tot'!BO60))</f>
        <v>0</v>
      </c>
      <c r="AI60" s="183">
        <f>IF(F60="",0,(IF('wgl tot'!BN60&gt;tabellen!$G$12*'wgl tot'!H60/12,tabellen!$G$12*'wgl tot'!H60/12,'wgl tot'!BN60)*tabellen!$C$12))</f>
        <v>0</v>
      </c>
      <c r="AJ60" s="151"/>
      <c r="AK60" s="183">
        <f>IF(F60="",0,('wgl tot'!BN60*IF(J60=1,tabellen!$C$13,IF(J60=2,tabellen!$C$14,IF(J60=3,tabellen!$C$15,IF(J60=5,tabellen!$C$17,IF(J60=6,tabellen!$C$18,IF(J60=7,tabellen!$C$19,IF(J60=8,tabellen!$C$20,tabellen!$C$16)))))))))</f>
        <v>0</v>
      </c>
      <c r="AL60" s="183">
        <f>IF(F60="",0,('wgl tot'!BN60*tabellen!$C$21))</f>
        <v>0</v>
      </c>
      <c r="AM60" s="237">
        <v>0</v>
      </c>
      <c r="AN60" s="151"/>
      <c r="AO60" s="237">
        <v>0</v>
      </c>
      <c r="AP60" s="151"/>
      <c r="AQ60" s="163">
        <f t="shared" si="19"/>
        <v>0</v>
      </c>
      <c r="AR60" s="163">
        <f t="shared" si="30"/>
        <v>0</v>
      </c>
      <c r="AS60" s="151"/>
      <c r="AT60" s="187" t="str">
        <f t="shared" si="23"/>
        <v/>
      </c>
      <c r="AU60" s="187" t="str">
        <f t="shared" si="24"/>
        <v/>
      </c>
      <c r="AV60" s="151"/>
      <c r="AW60" s="129"/>
      <c r="AX60" s="121"/>
      <c r="AY60" s="121"/>
      <c r="AZ60" s="165">
        <f ca="1">YEAR('wgl tot'!$AZ$9)-YEAR('wgl tot'!E60)</f>
        <v>119</v>
      </c>
      <c r="BA60" s="165">
        <f ca="1">MONTH('wgl tot'!$AZ$9)-MONTH('wgl tot'!E60)</f>
        <v>8</v>
      </c>
      <c r="BB60" s="165">
        <f ca="1">DAY('wgl tot'!$AZ$9)-DAY('wgl tot'!E60)</f>
        <v>14</v>
      </c>
      <c r="BC60" s="130">
        <f>IF(AND('wgl tot'!F60&gt;0,'wgl tot'!F60&lt;17),0,100)</f>
        <v>100</v>
      </c>
      <c r="BD60" s="130">
        <f t="shared" si="25"/>
        <v>0</v>
      </c>
      <c r="BE60" s="148">
        <v>42583</v>
      </c>
      <c r="BF60" s="166">
        <f t="shared" si="17"/>
        <v>0.08</v>
      </c>
      <c r="BG60" s="167">
        <f>+tabellen!$D$51</f>
        <v>6.3E-2</v>
      </c>
      <c r="BH60" s="165">
        <f>IF('wgl tot'!BC60=100,0,'wgl tot'!F60)</f>
        <v>0</v>
      </c>
      <c r="BI60" s="167" t="str">
        <f>IF(OR('wgl tot'!F60="DA",'wgl tot'!F60="DB",'wgl tot'!F60="DBuit",'wgl tot'!F60="DC",'wgl tot'!F60="DCuit",MID('wgl tot'!F60,1,5)="meerh"),"j","n")</f>
        <v>n</v>
      </c>
      <c r="BJ60" s="169" t="e">
        <f>IF('wgl tot'!W60/'wgl tot'!H60&lt;tabellen!$E$6,0,(+'wgl tot'!W60-tabellen!$E$6*'wgl tot'!H60)/12*tabellen!$D$6)</f>
        <v>#DIV/0!</v>
      </c>
      <c r="BK60" s="169" t="e">
        <f>IF('wgl tot'!W60/'wgl tot'!H60&lt;tabellen!$E$7,0,(+'wgl tot'!W60-tabellen!$E$7*'wgl tot'!H60)/12*tabellen!$D$7)</f>
        <v>#DIV/0!</v>
      </c>
      <c r="BL60" s="169">
        <f>'wgl tot'!W60/12*tabellen!$D$8</f>
        <v>0</v>
      </c>
      <c r="BM60" s="170" t="e">
        <f t="shared" si="31"/>
        <v>#DIV/0!</v>
      </c>
      <c r="BN60" s="171" t="e">
        <f>+Y60/12-'wgl tot'!BM60</f>
        <v>#DIV/0!</v>
      </c>
      <c r="BO60" s="171" t="e">
        <f>ROUND(IF('wgl tot'!BN60&gt;tabellen!$H$11,tabellen!$H$11,'wgl tot'!BN60)*tabellen!$C$11,2)</f>
        <v>#DIV/0!</v>
      </c>
      <c r="BP60" s="171" t="e">
        <f>+'wgl tot'!BN60+'wgl tot'!BO60</f>
        <v>#DIV/0!</v>
      </c>
      <c r="BQ60" s="172">
        <f t="shared" si="26"/>
        <v>1900</v>
      </c>
      <c r="BR60" s="172">
        <f t="shared" si="27"/>
        <v>1</v>
      </c>
      <c r="BS60" s="165">
        <f t="shared" si="28"/>
        <v>0</v>
      </c>
      <c r="BT60" s="148">
        <f t="shared" si="32"/>
        <v>22462</v>
      </c>
      <c r="BU60" s="148">
        <f t="shared" ca="1" si="16"/>
        <v>43722.739781944445</v>
      </c>
      <c r="BV60" s="130"/>
      <c r="BW60" s="148"/>
      <c r="BX60" s="130"/>
      <c r="BY60" s="168"/>
      <c r="BZ60" s="168"/>
      <c r="CA60" s="168"/>
      <c r="CB60" s="168"/>
      <c r="CC60" s="168"/>
      <c r="CD60" s="168"/>
      <c r="CE60" s="121"/>
      <c r="CF60" s="121"/>
    </row>
    <row r="61" spans="1:84" s="132" customFormat="1" ht="12" customHeight="1" x14ac:dyDescent="0.2">
      <c r="A61" s="121"/>
      <c r="B61" s="122"/>
      <c r="C61" s="151"/>
      <c r="D61" s="157"/>
      <c r="E61" s="158"/>
      <c r="F61" s="159"/>
      <c r="G61" s="159"/>
      <c r="H61" s="160"/>
      <c r="I61" s="159"/>
      <c r="J61" s="161"/>
      <c r="K61" s="181">
        <f>IF(F61="",0,(VLOOKUP('wgl tot'!F61,saltab2019,'wgl tot'!G61+1,FALSE)))</f>
        <v>0</v>
      </c>
      <c r="L61" s="163">
        <f t="shared" si="29"/>
        <v>0</v>
      </c>
      <c r="M61" s="151"/>
      <c r="N61" s="181">
        <f>ROUND(IF(('wgl tot'!L61+'wgl tot'!P61)*BF61&lt;'wgl tot'!H61*tabellen!$D$50,'wgl tot'!H61*tabellen!$D$50,('wgl tot'!L61+'wgl tot'!P61)*BF61),2)</f>
        <v>0</v>
      </c>
      <c r="O61" s="181">
        <f>ROUND(+('wgl tot'!L61+'wgl tot'!P61)*BG61,2)</f>
        <v>0</v>
      </c>
      <c r="P61" s="181">
        <f>ROUND(IF(I61="j",VLOOKUP(BD61,uitlooptoeslag,2,FALSE))*IF('wgl tot'!H61&gt;1,1,'wgl tot'!H61),2)</f>
        <v>0</v>
      </c>
      <c r="Q61" s="181">
        <f>ROUND(IF(BI61="j",tabellen!$D$59*IF('wgl tot'!H61&gt;1,1,'wgl tot'!H61),0),2)</f>
        <v>0</v>
      </c>
      <c r="R61" s="181">
        <f>IF(AND(F61&gt;0,F61&lt;17),tabellen!$C$41*'wgl tot'!H61,0)</f>
        <v>0</v>
      </c>
      <c r="S61" s="181">
        <f>VLOOKUP(BH61,eindejaarsuitkering_OOP,2,TRUE)*'wgl tot'!H61/12</f>
        <v>0</v>
      </c>
      <c r="T61" s="181">
        <f>ROUND(H61*tabellen!$D$57,2)</f>
        <v>0</v>
      </c>
      <c r="U61" s="181">
        <f>ROUND(H61*tabellen!C$45,2)</f>
        <v>0</v>
      </c>
      <c r="V61" s="181">
        <f>H61*(IF(F61="L10",42%*VLOOKUP(tabellen!L$45,saltab2018sept,G61+1,FALSE),IF(F61="L11",42%*VLOOKUP(tabellen!L$46,saltab2018sept,G61+1,FALSE),IF(F61="L12",42%*VLOOKUP(tabellen!L$47,saltab2018sept,G61+1,FALSE),IF(F61="L13",42%*VLOOKUP(tabellen!L$48,saltab2018sept,G61+1,FALSE),0)))))</f>
        <v>0</v>
      </c>
      <c r="W61" s="182">
        <f t="shared" si="9"/>
        <v>0</v>
      </c>
      <c r="X61" s="181">
        <f>('wgl tot'!L61+'wgl tot'!P61)*tabellen!$C$43*12</f>
        <v>0</v>
      </c>
      <c r="Y61" s="163">
        <f t="shared" si="10"/>
        <v>0</v>
      </c>
      <c r="Z61" s="151"/>
      <c r="AA61" s="182">
        <f t="shared" si="18"/>
        <v>0</v>
      </c>
      <c r="AB61" s="217">
        <f>+'wgl tot'!X61/12</f>
        <v>0</v>
      </c>
      <c r="AC61" s="151"/>
      <c r="AD61" s="181">
        <f>IF(F61="",0,(IF('wgl tot'!W61/'wgl tot'!H61&lt;tabellen!$E$6,0,('wgl tot'!W61-tabellen!$E$6*'wgl tot'!H61)/12)*tabellen!$C$6))</f>
        <v>0</v>
      </c>
      <c r="AE61" s="181">
        <f>IF(F61="",0,(IF('wgl tot'!W61/'wgl tot'!H61&lt;tabellen!$E$7,0,(+'wgl tot'!W61-tabellen!$E$7*'wgl tot'!H61)/12)*tabellen!$C$7))</f>
        <v>0</v>
      </c>
      <c r="AF61" s="181">
        <f>'wgl tot'!W61/12*tabellen!$C$8</f>
        <v>0</v>
      </c>
      <c r="AG61" s="181">
        <f>IF(H61=0,0,IF(BN61&gt;tabellen!$G$9/12,tabellen!$G$9/12,BN61)*(tabellen!$C$9+tabellen!$C$10))</f>
        <v>0</v>
      </c>
      <c r="AH61" s="181">
        <f>IF(F61="",0,('wgl tot'!BO61))</f>
        <v>0</v>
      </c>
      <c r="AI61" s="183">
        <f>IF(F61="",0,(IF('wgl tot'!BN61&gt;tabellen!$G$12*'wgl tot'!H61/12,tabellen!$G$12*'wgl tot'!H61/12,'wgl tot'!BN61)*tabellen!$C$12))</f>
        <v>0</v>
      </c>
      <c r="AJ61" s="151"/>
      <c r="AK61" s="183">
        <f>IF(F61="",0,('wgl tot'!BN61*IF(J61=1,tabellen!$C$13,IF(J61=2,tabellen!$C$14,IF(J61=3,tabellen!$C$15,IF(J61=5,tabellen!$C$17,IF(J61=6,tabellen!$C$18,IF(J61=7,tabellen!$C$19,IF(J61=8,tabellen!$C$20,tabellen!$C$16)))))))))</f>
        <v>0</v>
      </c>
      <c r="AL61" s="183">
        <f>IF(F61="",0,('wgl tot'!BN61*tabellen!$C$21))</f>
        <v>0</v>
      </c>
      <c r="AM61" s="237">
        <v>0</v>
      </c>
      <c r="AN61" s="151"/>
      <c r="AO61" s="237">
        <v>0</v>
      </c>
      <c r="AP61" s="151"/>
      <c r="AQ61" s="163">
        <f t="shared" si="19"/>
        <v>0</v>
      </c>
      <c r="AR61" s="163">
        <f t="shared" si="30"/>
        <v>0</v>
      </c>
      <c r="AS61" s="151"/>
      <c r="AT61" s="187" t="str">
        <f t="shared" si="23"/>
        <v/>
      </c>
      <c r="AU61" s="187" t="str">
        <f t="shared" si="24"/>
        <v/>
      </c>
      <c r="AV61" s="151"/>
      <c r="AW61" s="129"/>
      <c r="AX61" s="121"/>
      <c r="AY61" s="121"/>
      <c r="AZ61" s="165">
        <f ca="1">YEAR('wgl tot'!$AZ$9)-YEAR('wgl tot'!E61)</f>
        <v>119</v>
      </c>
      <c r="BA61" s="165">
        <f ca="1">MONTH('wgl tot'!$AZ$9)-MONTH('wgl tot'!E61)</f>
        <v>8</v>
      </c>
      <c r="BB61" s="165">
        <f ca="1">DAY('wgl tot'!$AZ$9)-DAY('wgl tot'!E61)</f>
        <v>14</v>
      </c>
      <c r="BC61" s="130">
        <f>IF(AND('wgl tot'!F61&gt;0,'wgl tot'!F61&lt;17),0,100)</f>
        <v>100</v>
      </c>
      <c r="BD61" s="130">
        <f t="shared" si="25"/>
        <v>0</v>
      </c>
      <c r="BE61" s="148">
        <v>42583</v>
      </c>
      <c r="BF61" s="166">
        <f t="shared" si="17"/>
        <v>0.08</v>
      </c>
      <c r="BG61" s="167">
        <f>+tabellen!$D$51</f>
        <v>6.3E-2</v>
      </c>
      <c r="BH61" s="165">
        <f>IF('wgl tot'!BC61=100,0,'wgl tot'!F61)</f>
        <v>0</v>
      </c>
      <c r="BI61" s="167" t="str">
        <f>IF(OR('wgl tot'!F61="DA",'wgl tot'!F61="DB",'wgl tot'!F61="DBuit",'wgl tot'!F61="DC",'wgl tot'!F61="DCuit",MID('wgl tot'!F61,1,5)="meerh"),"j","n")</f>
        <v>n</v>
      </c>
      <c r="BJ61" s="169" t="e">
        <f>IF('wgl tot'!W61/'wgl tot'!H61&lt;tabellen!$E$6,0,(+'wgl tot'!W61-tabellen!$E$6*'wgl tot'!H61)/12*tabellen!$D$6)</f>
        <v>#DIV/0!</v>
      </c>
      <c r="BK61" s="169" t="e">
        <f>IF('wgl tot'!W61/'wgl tot'!H61&lt;tabellen!$E$7,0,(+'wgl tot'!W61-tabellen!$E$7*'wgl tot'!H61)/12*tabellen!$D$7)</f>
        <v>#DIV/0!</v>
      </c>
      <c r="BL61" s="169">
        <f>'wgl tot'!W61/12*tabellen!$D$8</f>
        <v>0</v>
      </c>
      <c r="BM61" s="170" t="e">
        <f t="shared" si="31"/>
        <v>#DIV/0!</v>
      </c>
      <c r="BN61" s="171" t="e">
        <f>+Y61/12-'wgl tot'!BM61</f>
        <v>#DIV/0!</v>
      </c>
      <c r="BO61" s="171" t="e">
        <f>ROUND(IF('wgl tot'!BN61&gt;tabellen!$H$11,tabellen!$H$11,'wgl tot'!BN61)*tabellen!$C$11,2)</f>
        <v>#DIV/0!</v>
      </c>
      <c r="BP61" s="171" t="e">
        <f>+'wgl tot'!BN61+'wgl tot'!BO61</f>
        <v>#DIV/0!</v>
      </c>
      <c r="BQ61" s="172">
        <f t="shared" si="26"/>
        <v>1900</v>
      </c>
      <c r="BR61" s="172">
        <f t="shared" si="27"/>
        <v>1</v>
      </c>
      <c r="BS61" s="165">
        <f t="shared" si="28"/>
        <v>0</v>
      </c>
      <c r="BT61" s="148">
        <f t="shared" si="32"/>
        <v>22462</v>
      </c>
      <c r="BU61" s="148">
        <f t="shared" ca="1" si="16"/>
        <v>43722.739781944445</v>
      </c>
      <c r="BV61" s="130"/>
      <c r="BW61" s="148"/>
      <c r="BX61" s="130"/>
      <c r="BY61" s="168"/>
      <c r="BZ61" s="168"/>
      <c r="CA61" s="168"/>
      <c r="CB61" s="168"/>
      <c r="CC61" s="168"/>
      <c r="CD61" s="168"/>
      <c r="CE61" s="121"/>
      <c r="CF61" s="121"/>
    </row>
    <row r="62" spans="1:84" s="132" customFormat="1" ht="12" customHeight="1" x14ac:dyDescent="0.2">
      <c r="A62" s="121"/>
      <c r="B62" s="122"/>
      <c r="C62" s="151"/>
      <c r="D62" s="157"/>
      <c r="E62" s="158"/>
      <c r="F62" s="159"/>
      <c r="G62" s="159"/>
      <c r="H62" s="160"/>
      <c r="I62" s="159"/>
      <c r="J62" s="161"/>
      <c r="K62" s="181">
        <f>IF(F62="",0,(VLOOKUP('wgl tot'!F62,saltab2019,'wgl tot'!G62+1,FALSE)))</f>
        <v>0</v>
      </c>
      <c r="L62" s="163">
        <f t="shared" si="29"/>
        <v>0</v>
      </c>
      <c r="M62" s="151"/>
      <c r="N62" s="181">
        <f>ROUND(IF(('wgl tot'!L62+'wgl tot'!P62)*BF62&lt;'wgl tot'!H62*tabellen!$D$50,'wgl tot'!H62*tabellen!$D$50,('wgl tot'!L62+'wgl tot'!P62)*BF62),2)</f>
        <v>0</v>
      </c>
      <c r="O62" s="181">
        <f>ROUND(+('wgl tot'!L62+'wgl tot'!P62)*BG62,2)</f>
        <v>0</v>
      </c>
      <c r="P62" s="181">
        <f>ROUND(IF(I62="j",VLOOKUP(BD62,uitlooptoeslag,2,FALSE))*IF('wgl tot'!H62&gt;1,1,'wgl tot'!H62),2)</f>
        <v>0</v>
      </c>
      <c r="Q62" s="181">
        <f>ROUND(IF(BI62="j",tabellen!$D$59*IF('wgl tot'!H62&gt;1,1,'wgl tot'!H62),0),2)</f>
        <v>0</v>
      </c>
      <c r="R62" s="181">
        <f>IF(AND(F62&gt;0,F62&lt;17),tabellen!$C$41*'wgl tot'!H62,0)</f>
        <v>0</v>
      </c>
      <c r="S62" s="181">
        <f>VLOOKUP(BH62,eindejaarsuitkering_OOP,2,TRUE)*'wgl tot'!H62/12</f>
        <v>0</v>
      </c>
      <c r="T62" s="181">
        <f>ROUND(H62*tabellen!$D$57,2)</f>
        <v>0</v>
      </c>
      <c r="U62" s="181">
        <f>ROUND(H62*tabellen!C$45,2)</f>
        <v>0</v>
      </c>
      <c r="V62" s="181">
        <f>H62*(IF(F62="L10",42%*VLOOKUP(tabellen!L$45,saltab2018sept,G62+1,FALSE),IF(F62="L11",42%*VLOOKUP(tabellen!L$46,saltab2018sept,G62+1,FALSE),IF(F62="L12",42%*VLOOKUP(tabellen!L$47,saltab2018sept,G62+1,FALSE),IF(F62="L13",42%*VLOOKUP(tabellen!L$48,saltab2018sept,G62+1,FALSE),0)))))</f>
        <v>0</v>
      </c>
      <c r="W62" s="182">
        <f t="shared" si="9"/>
        <v>0</v>
      </c>
      <c r="X62" s="181">
        <f>('wgl tot'!L62+'wgl tot'!P62)*tabellen!$C$43*12</f>
        <v>0</v>
      </c>
      <c r="Y62" s="163">
        <f t="shared" si="10"/>
        <v>0</v>
      </c>
      <c r="Z62" s="151"/>
      <c r="AA62" s="182">
        <f t="shared" si="18"/>
        <v>0</v>
      </c>
      <c r="AB62" s="217">
        <f>+'wgl tot'!X62/12</f>
        <v>0</v>
      </c>
      <c r="AC62" s="151"/>
      <c r="AD62" s="181">
        <f>IF(F62="",0,(IF('wgl tot'!W62/'wgl tot'!H62&lt;tabellen!$E$6,0,('wgl tot'!W62-tabellen!$E$6*'wgl tot'!H62)/12)*tabellen!$C$6))</f>
        <v>0</v>
      </c>
      <c r="AE62" s="181">
        <f>IF(F62="",0,(IF('wgl tot'!W62/'wgl tot'!H62&lt;tabellen!$E$7,0,(+'wgl tot'!W62-tabellen!$E$7*'wgl tot'!H62)/12)*tabellen!$C$7))</f>
        <v>0</v>
      </c>
      <c r="AF62" s="181">
        <f>'wgl tot'!W62/12*tabellen!$C$8</f>
        <v>0</v>
      </c>
      <c r="AG62" s="181">
        <f>IF(H62=0,0,IF(BN62&gt;tabellen!$G$9/12,tabellen!$G$9/12,BN62)*(tabellen!$C$9+tabellen!$C$10))</f>
        <v>0</v>
      </c>
      <c r="AH62" s="181">
        <f>IF(F62="",0,('wgl tot'!BO62))</f>
        <v>0</v>
      </c>
      <c r="AI62" s="183">
        <f>IF(F62="",0,(IF('wgl tot'!BN62&gt;tabellen!$G$12*'wgl tot'!H62/12,tabellen!$G$12*'wgl tot'!H62/12,'wgl tot'!BN62)*tabellen!$C$12))</f>
        <v>0</v>
      </c>
      <c r="AJ62" s="151"/>
      <c r="AK62" s="183">
        <f>IF(F62="",0,('wgl tot'!BN62*IF(J62=1,tabellen!$C$13,IF(J62=2,tabellen!$C$14,IF(J62=3,tabellen!$C$15,IF(J62=5,tabellen!$C$17,IF(J62=6,tabellen!$C$18,IF(J62=7,tabellen!$C$19,IF(J62=8,tabellen!$C$20,tabellen!$C$16)))))))))</f>
        <v>0</v>
      </c>
      <c r="AL62" s="183">
        <f>IF(F62="",0,('wgl tot'!BN62*tabellen!$C$21))</f>
        <v>0</v>
      </c>
      <c r="AM62" s="237">
        <v>0</v>
      </c>
      <c r="AN62" s="151"/>
      <c r="AO62" s="237">
        <v>0</v>
      </c>
      <c r="AP62" s="151"/>
      <c r="AQ62" s="163">
        <f t="shared" si="19"/>
        <v>0</v>
      </c>
      <c r="AR62" s="163">
        <f t="shared" si="30"/>
        <v>0</v>
      </c>
      <c r="AS62" s="151"/>
      <c r="AT62" s="187" t="str">
        <f t="shared" si="23"/>
        <v/>
      </c>
      <c r="AU62" s="187" t="str">
        <f t="shared" si="24"/>
        <v/>
      </c>
      <c r="AV62" s="151"/>
      <c r="AW62" s="129"/>
      <c r="AX62" s="121"/>
      <c r="AY62" s="121"/>
      <c r="AZ62" s="165">
        <f ca="1">YEAR('wgl tot'!$AZ$9)-YEAR('wgl tot'!E62)</f>
        <v>119</v>
      </c>
      <c r="BA62" s="165">
        <f ca="1">MONTH('wgl tot'!$AZ$9)-MONTH('wgl tot'!E62)</f>
        <v>8</v>
      </c>
      <c r="BB62" s="165">
        <f ca="1">DAY('wgl tot'!$AZ$9)-DAY('wgl tot'!E62)</f>
        <v>14</v>
      </c>
      <c r="BC62" s="130">
        <f>IF(AND('wgl tot'!F62&gt;0,'wgl tot'!F62&lt;17),0,100)</f>
        <v>100</v>
      </c>
      <c r="BD62" s="130">
        <f t="shared" si="25"/>
        <v>0</v>
      </c>
      <c r="BE62" s="148">
        <v>42583</v>
      </c>
      <c r="BF62" s="166">
        <f t="shared" si="17"/>
        <v>0.08</v>
      </c>
      <c r="BG62" s="167">
        <f>+tabellen!$D$51</f>
        <v>6.3E-2</v>
      </c>
      <c r="BH62" s="165">
        <f>IF('wgl tot'!BC62=100,0,'wgl tot'!F62)</f>
        <v>0</v>
      </c>
      <c r="BI62" s="167" t="str">
        <f>IF(OR('wgl tot'!F62="DA",'wgl tot'!F62="DB",'wgl tot'!F62="DBuit",'wgl tot'!F62="DC",'wgl tot'!F62="DCuit",MID('wgl tot'!F62,1,5)="meerh"),"j","n")</f>
        <v>n</v>
      </c>
      <c r="BJ62" s="169" t="e">
        <f>IF('wgl tot'!W62/'wgl tot'!H62&lt;tabellen!$E$6,0,(+'wgl tot'!W62-tabellen!$E$6*'wgl tot'!H62)/12*tabellen!$D$6)</f>
        <v>#DIV/0!</v>
      </c>
      <c r="BK62" s="169" t="e">
        <f>IF('wgl tot'!W62/'wgl tot'!H62&lt;tabellen!$E$7,0,(+'wgl tot'!W62-tabellen!$E$7*'wgl tot'!H62)/12*tabellen!$D$7)</f>
        <v>#DIV/0!</v>
      </c>
      <c r="BL62" s="169">
        <f>'wgl tot'!W62/12*tabellen!$D$8</f>
        <v>0</v>
      </c>
      <c r="BM62" s="170" t="e">
        <f t="shared" si="31"/>
        <v>#DIV/0!</v>
      </c>
      <c r="BN62" s="171" t="e">
        <f>+Y62/12-'wgl tot'!BM62</f>
        <v>#DIV/0!</v>
      </c>
      <c r="BO62" s="171" t="e">
        <f>ROUND(IF('wgl tot'!BN62&gt;tabellen!$H$11,tabellen!$H$11,'wgl tot'!BN62)*tabellen!$C$11,2)</f>
        <v>#DIV/0!</v>
      </c>
      <c r="BP62" s="171" t="e">
        <f>+'wgl tot'!BN62+'wgl tot'!BO62</f>
        <v>#DIV/0!</v>
      </c>
      <c r="BQ62" s="172">
        <f t="shared" si="26"/>
        <v>1900</v>
      </c>
      <c r="BR62" s="172">
        <f t="shared" si="27"/>
        <v>1</v>
      </c>
      <c r="BS62" s="165">
        <f t="shared" si="28"/>
        <v>0</v>
      </c>
      <c r="BT62" s="148">
        <f t="shared" si="32"/>
        <v>22462</v>
      </c>
      <c r="BU62" s="148">
        <f t="shared" ca="1" si="16"/>
        <v>43722.739781944445</v>
      </c>
      <c r="BV62" s="130"/>
      <c r="BW62" s="148"/>
      <c r="BX62" s="130"/>
      <c r="BY62" s="168"/>
      <c r="BZ62" s="168"/>
      <c r="CA62" s="168"/>
      <c r="CB62" s="168"/>
      <c r="CC62" s="168"/>
      <c r="CD62" s="168"/>
      <c r="CE62" s="121"/>
      <c r="CF62" s="121"/>
    </row>
    <row r="63" spans="1:84" s="132" customFormat="1" ht="12" customHeight="1" x14ac:dyDescent="0.2">
      <c r="A63" s="121"/>
      <c r="B63" s="122"/>
      <c r="C63" s="151"/>
      <c r="D63" s="157"/>
      <c r="E63" s="158"/>
      <c r="F63" s="159"/>
      <c r="G63" s="159"/>
      <c r="H63" s="160"/>
      <c r="I63" s="159"/>
      <c r="J63" s="161"/>
      <c r="K63" s="181">
        <f>IF(F63="",0,(VLOOKUP('wgl tot'!F63,saltab2019,'wgl tot'!G63+1,FALSE)))</f>
        <v>0</v>
      </c>
      <c r="L63" s="163">
        <f t="shared" si="29"/>
        <v>0</v>
      </c>
      <c r="M63" s="151"/>
      <c r="N63" s="181">
        <f>ROUND(IF(('wgl tot'!L63+'wgl tot'!P63)*BF63&lt;'wgl tot'!H63*tabellen!$D$50,'wgl tot'!H63*tabellen!$D$50,('wgl tot'!L63+'wgl tot'!P63)*BF63),2)</f>
        <v>0</v>
      </c>
      <c r="O63" s="181">
        <f>ROUND(+('wgl tot'!L63+'wgl tot'!P63)*BG63,2)</f>
        <v>0</v>
      </c>
      <c r="P63" s="181">
        <f>ROUND(IF(I63="j",VLOOKUP(BD63,uitlooptoeslag,2,FALSE))*IF('wgl tot'!H63&gt;1,1,'wgl tot'!H63),2)</f>
        <v>0</v>
      </c>
      <c r="Q63" s="181">
        <f>ROUND(IF(BI63="j",tabellen!$D$59*IF('wgl tot'!H63&gt;1,1,'wgl tot'!H63),0),2)</f>
        <v>0</v>
      </c>
      <c r="R63" s="181">
        <f>IF(AND(F63&gt;0,F63&lt;17),tabellen!$C$41*'wgl tot'!H63,0)</f>
        <v>0</v>
      </c>
      <c r="S63" s="181">
        <f>VLOOKUP(BH63,eindejaarsuitkering_OOP,2,TRUE)*'wgl tot'!H63/12</f>
        <v>0</v>
      </c>
      <c r="T63" s="181">
        <f>ROUND(H63*tabellen!$D$57,2)</f>
        <v>0</v>
      </c>
      <c r="U63" s="181">
        <f>ROUND(H63*tabellen!C$45,2)</f>
        <v>0</v>
      </c>
      <c r="V63" s="181">
        <f>H63*(IF(F63="L10",42%*VLOOKUP(tabellen!L$45,saltab2018sept,G63+1,FALSE),IF(F63="L11",42%*VLOOKUP(tabellen!L$46,saltab2018sept,G63+1,FALSE),IF(F63="L12",42%*VLOOKUP(tabellen!L$47,saltab2018sept,G63+1,FALSE),IF(F63="L13",42%*VLOOKUP(tabellen!L$48,saltab2018sept,G63+1,FALSE),0)))))</f>
        <v>0</v>
      </c>
      <c r="W63" s="182">
        <f t="shared" si="9"/>
        <v>0</v>
      </c>
      <c r="X63" s="181">
        <f>('wgl tot'!L63+'wgl tot'!P63)*tabellen!$C$43*12</f>
        <v>0</v>
      </c>
      <c r="Y63" s="163">
        <f t="shared" si="10"/>
        <v>0</v>
      </c>
      <c r="Z63" s="151"/>
      <c r="AA63" s="182">
        <f t="shared" si="18"/>
        <v>0</v>
      </c>
      <c r="AB63" s="217">
        <f>+'wgl tot'!X63/12</f>
        <v>0</v>
      </c>
      <c r="AC63" s="151"/>
      <c r="AD63" s="181">
        <f>IF(F63="",0,(IF('wgl tot'!W63/'wgl tot'!H63&lt;tabellen!$E$6,0,('wgl tot'!W63-tabellen!$E$6*'wgl tot'!H63)/12)*tabellen!$C$6))</f>
        <v>0</v>
      </c>
      <c r="AE63" s="181">
        <f>IF(F63="",0,(IF('wgl tot'!W63/'wgl tot'!H63&lt;tabellen!$E$7,0,(+'wgl tot'!W63-tabellen!$E$7*'wgl tot'!H63)/12)*tabellen!$C$7))</f>
        <v>0</v>
      </c>
      <c r="AF63" s="181">
        <f>'wgl tot'!W63/12*tabellen!$C$8</f>
        <v>0</v>
      </c>
      <c r="AG63" s="181">
        <f>IF(H63=0,0,IF(BN63&gt;tabellen!$G$9/12,tabellen!$G$9/12,BN63)*(tabellen!$C$9+tabellen!$C$10))</f>
        <v>0</v>
      </c>
      <c r="AH63" s="181">
        <f>IF(F63="",0,('wgl tot'!BO63))</f>
        <v>0</v>
      </c>
      <c r="AI63" s="183">
        <f>IF(F63="",0,(IF('wgl tot'!BN63&gt;tabellen!$G$12*'wgl tot'!H63/12,tabellen!$G$12*'wgl tot'!H63/12,'wgl tot'!BN63)*tabellen!$C$12))</f>
        <v>0</v>
      </c>
      <c r="AJ63" s="151"/>
      <c r="AK63" s="183">
        <f>IF(F63="",0,('wgl tot'!BN63*IF(J63=1,tabellen!$C$13,IF(J63=2,tabellen!$C$14,IF(J63=3,tabellen!$C$15,IF(J63=5,tabellen!$C$17,IF(J63=6,tabellen!$C$18,IF(J63=7,tabellen!$C$19,IF(J63=8,tabellen!$C$20,tabellen!$C$16)))))))))</f>
        <v>0</v>
      </c>
      <c r="AL63" s="183">
        <f>IF(F63="",0,('wgl tot'!BN63*tabellen!$C$21))</f>
        <v>0</v>
      </c>
      <c r="AM63" s="237">
        <v>0</v>
      </c>
      <c r="AN63" s="151"/>
      <c r="AO63" s="237">
        <v>0</v>
      </c>
      <c r="AP63" s="151"/>
      <c r="AQ63" s="163">
        <f t="shared" si="19"/>
        <v>0</v>
      </c>
      <c r="AR63" s="163">
        <f t="shared" si="30"/>
        <v>0</v>
      </c>
      <c r="AS63" s="151"/>
      <c r="AT63" s="187" t="str">
        <f t="shared" si="23"/>
        <v/>
      </c>
      <c r="AU63" s="187" t="str">
        <f t="shared" si="24"/>
        <v/>
      </c>
      <c r="AV63" s="151"/>
      <c r="AW63" s="129"/>
      <c r="AX63" s="121"/>
      <c r="AY63" s="121"/>
      <c r="AZ63" s="165">
        <f ca="1">YEAR('wgl tot'!$AZ$9)-YEAR('wgl tot'!E63)</f>
        <v>119</v>
      </c>
      <c r="BA63" s="165">
        <f ca="1">MONTH('wgl tot'!$AZ$9)-MONTH('wgl tot'!E63)</f>
        <v>8</v>
      </c>
      <c r="BB63" s="165">
        <f ca="1">DAY('wgl tot'!$AZ$9)-DAY('wgl tot'!E63)</f>
        <v>14</v>
      </c>
      <c r="BC63" s="130">
        <f>IF(AND('wgl tot'!F63&gt;0,'wgl tot'!F63&lt;17),0,100)</f>
        <v>100</v>
      </c>
      <c r="BD63" s="130">
        <f t="shared" si="25"/>
        <v>0</v>
      </c>
      <c r="BE63" s="148">
        <v>42583</v>
      </c>
      <c r="BF63" s="166">
        <f t="shared" si="17"/>
        <v>0.08</v>
      </c>
      <c r="BG63" s="167">
        <f>+tabellen!$D$51</f>
        <v>6.3E-2</v>
      </c>
      <c r="BH63" s="165">
        <f>IF('wgl tot'!BC63=100,0,'wgl tot'!F63)</f>
        <v>0</v>
      </c>
      <c r="BI63" s="167" t="str">
        <f>IF(OR('wgl tot'!F63="DA",'wgl tot'!F63="DB",'wgl tot'!F63="DBuit",'wgl tot'!F63="DC",'wgl tot'!F63="DCuit",MID('wgl tot'!F63,1,5)="meerh"),"j","n")</f>
        <v>n</v>
      </c>
      <c r="BJ63" s="169" t="e">
        <f>IF('wgl tot'!W63/'wgl tot'!H63&lt;tabellen!$E$6,0,(+'wgl tot'!W63-tabellen!$E$6*'wgl tot'!H63)/12*tabellen!$D$6)</f>
        <v>#DIV/0!</v>
      </c>
      <c r="BK63" s="169" t="e">
        <f>IF('wgl tot'!W63/'wgl tot'!H63&lt;tabellen!$E$7,0,(+'wgl tot'!W63-tabellen!$E$7*'wgl tot'!H63)/12*tabellen!$D$7)</f>
        <v>#DIV/0!</v>
      </c>
      <c r="BL63" s="169">
        <f>'wgl tot'!W63/12*tabellen!$D$8</f>
        <v>0</v>
      </c>
      <c r="BM63" s="170" t="e">
        <f t="shared" si="31"/>
        <v>#DIV/0!</v>
      </c>
      <c r="BN63" s="171" t="e">
        <f>+Y63/12-'wgl tot'!BM63</f>
        <v>#DIV/0!</v>
      </c>
      <c r="BO63" s="171" t="e">
        <f>ROUND(IF('wgl tot'!BN63&gt;tabellen!$H$11,tabellen!$H$11,'wgl tot'!BN63)*tabellen!$C$11,2)</f>
        <v>#DIV/0!</v>
      </c>
      <c r="BP63" s="171" t="e">
        <f>+'wgl tot'!BN63+'wgl tot'!BO63</f>
        <v>#DIV/0!</v>
      </c>
      <c r="BQ63" s="172">
        <f t="shared" si="26"/>
        <v>1900</v>
      </c>
      <c r="BR63" s="172">
        <f t="shared" si="27"/>
        <v>1</v>
      </c>
      <c r="BS63" s="165">
        <f t="shared" si="28"/>
        <v>0</v>
      </c>
      <c r="BT63" s="148">
        <f t="shared" si="32"/>
        <v>22462</v>
      </c>
      <c r="BU63" s="148">
        <f t="shared" ca="1" si="16"/>
        <v>43722.739781944445</v>
      </c>
      <c r="BV63" s="130"/>
      <c r="BW63" s="148"/>
      <c r="BX63" s="130"/>
      <c r="BY63" s="168"/>
      <c r="BZ63" s="168"/>
      <c r="CA63" s="168"/>
      <c r="CB63" s="168"/>
      <c r="CC63" s="168"/>
      <c r="CD63" s="168"/>
      <c r="CE63" s="121"/>
      <c r="CF63" s="121"/>
    </row>
    <row r="64" spans="1:84" s="132" customFormat="1" ht="12" customHeight="1" x14ac:dyDescent="0.2">
      <c r="A64" s="121"/>
      <c r="B64" s="122"/>
      <c r="C64" s="151"/>
      <c r="D64" s="157"/>
      <c r="E64" s="158"/>
      <c r="F64" s="159"/>
      <c r="G64" s="159"/>
      <c r="H64" s="160"/>
      <c r="I64" s="159"/>
      <c r="J64" s="161"/>
      <c r="K64" s="181">
        <f>IF(F64="",0,(VLOOKUP('wgl tot'!F64,saltab2019,'wgl tot'!G64+1,FALSE)))</f>
        <v>0</v>
      </c>
      <c r="L64" s="163">
        <f t="shared" si="29"/>
        <v>0</v>
      </c>
      <c r="M64" s="151"/>
      <c r="N64" s="181">
        <f>ROUND(IF(('wgl tot'!L64+'wgl tot'!P64)*BF64&lt;'wgl tot'!H64*tabellen!$D$50,'wgl tot'!H64*tabellen!$D$50,('wgl tot'!L64+'wgl tot'!P64)*BF64),2)</f>
        <v>0</v>
      </c>
      <c r="O64" s="181">
        <f>ROUND(+('wgl tot'!L64+'wgl tot'!P64)*BG64,2)</f>
        <v>0</v>
      </c>
      <c r="P64" s="181">
        <f>ROUND(IF(I64="j",VLOOKUP(BD64,uitlooptoeslag,2,FALSE))*IF('wgl tot'!H64&gt;1,1,'wgl tot'!H64),2)</f>
        <v>0</v>
      </c>
      <c r="Q64" s="181">
        <f>ROUND(IF(BI64="j",tabellen!$D$59*IF('wgl tot'!H64&gt;1,1,'wgl tot'!H64),0),2)</f>
        <v>0</v>
      </c>
      <c r="R64" s="181">
        <f>IF(AND(F64&gt;0,F64&lt;17),tabellen!$C$41*'wgl tot'!H64,0)</f>
        <v>0</v>
      </c>
      <c r="S64" s="181">
        <f>VLOOKUP(BH64,eindejaarsuitkering_OOP,2,TRUE)*'wgl tot'!H64/12</f>
        <v>0</v>
      </c>
      <c r="T64" s="181">
        <f>ROUND(H64*tabellen!$D$57,2)</f>
        <v>0</v>
      </c>
      <c r="U64" s="181">
        <f>ROUND(H64*tabellen!C$45,2)</f>
        <v>0</v>
      </c>
      <c r="V64" s="181">
        <f>H64*(IF(F64="L10",42%*VLOOKUP(tabellen!L$45,saltab2018sept,G64+1,FALSE),IF(F64="L11",42%*VLOOKUP(tabellen!L$46,saltab2018sept,G64+1,FALSE),IF(F64="L12",42%*VLOOKUP(tabellen!L$47,saltab2018sept,G64+1,FALSE),IF(F64="L13",42%*VLOOKUP(tabellen!L$48,saltab2018sept,G64+1,FALSE),0)))))</f>
        <v>0</v>
      </c>
      <c r="W64" s="182">
        <f t="shared" si="9"/>
        <v>0</v>
      </c>
      <c r="X64" s="181">
        <f>('wgl tot'!L64+'wgl tot'!P64)*tabellen!$C$43*12</f>
        <v>0</v>
      </c>
      <c r="Y64" s="163">
        <f t="shared" si="10"/>
        <v>0</v>
      </c>
      <c r="Z64" s="151"/>
      <c r="AA64" s="182">
        <f t="shared" si="18"/>
        <v>0</v>
      </c>
      <c r="AB64" s="217">
        <f>+'wgl tot'!X64/12</f>
        <v>0</v>
      </c>
      <c r="AC64" s="151"/>
      <c r="AD64" s="181">
        <f>IF(F64="",0,(IF('wgl tot'!W64/'wgl tot'!H64&lt;tabellen!$E$6,0,('wgl tot'!W64-tabellen!$E$6*'wgl tot'!H64)/12)*tabellen!$C$6))</f>
        <v>0</v>
      </c>
      <c r="AE64" s="181">
        <f>IF(F64="",0,(IF('wgl tot'!W64/'wgl tot'!H64&lt;tabellen!$E$7,0,(+'wgl tot'!W64-tabellen!$E$7*'wgl tot'!H64)/12)*tabellen!$C$7))</f>
        <v>0</v>
      </c>
      <c r="AF64" s="181">
        <f>'wgl tot'!W64/12*tabellen!$C$8</f>
        <v>0</v>
      </c>
      <c r="AG64" s="181">
        <f>IF(H64=0,0,IF(BN64&gt;tabellen!$G$9/12,tabellen!$G$9/12,BN64)*(tabellen!$C$9+tabellen!$C$10))</f>
        <v>0</v>
      </c>
      <c r="AH64" s="181">
        <f>IF(F64="",0,('wgl tot'!BO64))</f>
        <v>0</v>
      </c>
      <c r="AI64" s="183">
        <f>IF(F64="",0,(IF('wgl tot'!BN64&gt;tabellen!$G$12*'wgl tot'!H64/12,tabellen!$G$12*'wgl tot'!H64/12,'wgl tot'!BN64)*tabellen!$C$12))</f>
        <v>0</v>
      </c>
      <c r="AJ64" s="151"/>
      <c r="AK64" s="183">
        <f>IF(F64="",0,('wgl tot'!BN64*IF(J64=1,tabellen!$C$13,IF(J64=2,tabellen!$C$14,IF(J64=3,tabellen!$C$15,IF(J64=5,tabellen!$C$17,IF(J64=6,tabellen!$C$18,IF(J64=7,tabellen!$C$19,IF(J64=8,tabellen!$C$20,tabellen!$C$16)))))))))</f>
        <v>0</v>
      </c>
      <c r="AL64" s="183">
        <f>IF(F64="",0,('wgl tot'!BN64*tabellen!$C$21))</f>
        <v>0</v>
      </c>
      <c r="AM64" s="237">
        <v>0</v>
      </c>
      <c r="AN64" s="151"/>
      <c r="AO64" s="237">
        <v>0</v>
      </c>
      <c r="AP64" s="151"/>
      <c r="AQ64" s="163">
        <f t="shared" si="19"/>
        <v>0</v>
      </c>
      <c r="AR64" s="163">
        <f t="shared" si="30"/>
        <v>0</v>
      </c>
      <c r="AS64" s="151"/>
      <c r="AT64" s="187" t="str">
        <f t="shared" si="23"/>
        <v/>
      </c>
      <c r="AU64" s="187" t="str">
        <f t="shared" si="24"/>
        <v/>
      </c>
      <c r="AV64" s="151"/>
      <c r="AW64" s="129"/>
      <c r="AX64" s="121"/>
      <c r="AY64" s="121"/>
      <c r="AZ64" s="165">
        <f ca="1">YEAR('wgl tot'!$AZ$9)-YEAR('wgl tot'!E64)</f>
        <v>119</v>
      </c>
      <c r="BA64" s="165">
        <f ca="1">MONTH('wgl tot'!$AZ$9)-MONTH('wgl tot'!E64)</f>
        <v>8</v>
      </c>
      <c r="BB64" s="165">
        <f ca="1">DAY('wgl tot'!$AZ$9)-DAY('wgl tot'!E64)</f>
        <v>14</v>
      </c>
      <c r="BC64" s="130">
        <f>IF(AND('wgl tot'!F64&gt;0,'wgl tot'!F64&lt;17),0,100)</f>
        <v>100</v>
      </c>
      <c r="BD64" s="130">
        <f t="shared" si="25"/>
        <v>0</v>
      </c>
      <c r="BE64" s="148">
        <v>42583</v>
      </c>
      <c r="BF64" s="166">
        <f t="shared" si="17"/>
        <v>0.08</v>
      </c>
      <c r="BG64" s="167">
        <f>+tabellen!$D$51</f>
        <v>6.3E-2</v>
      </c>
      <c r="BH64" s="165">
        <f>IF('wgl tot'!BC64=100,0,'wgl tot'!F64)</f>
        <v>0</v>
      </c>
      <c r="BI64" s="167" t="str">
        <f>IF(OR('wgl tot'!F64="DA",'wgl tot'!F64="DB",'wgl tot'!F64="DBuit",'wgl tot'!F64="DC",'wgl tot'!F64="DCuit",MID('wgl tot'!F64,1,5)="meerh"),"j","n")</f>
        <v>n</v>
      </c>
      <c r="BJ64" s="169" t="e">
        <f>IF('wgl tot'!W64/'wgl tot'!H64&lt;tabellen!$E$6,0,(+'wgl tot'!W64-tabellen!$E$6*'wgl tot'!H64)/12*tabellen!$D$6)</f>
        <v>#DIV/0!</v>
      </c>
      <c r="BK64" s="169" t="e">
        <f>IF('wgl tot'!W64/'wgl tot'!H64&lt;tabellen!$E$7,0,(+'wgl tot'!W64-tabellen!$E$7*'wgl tot'!H64)/12*tabellen!$D$7)</f>
        <v>#DIV/0!</v>
      </c>
      <c r="BL64" s="169">
        <f>'wgl tot'!W64/12*tabellen!$D$8</f>
        <v>0</v>
      </c>
      <c r="BM64" s="170" t="e">
        <f t="shared" si="31"/>
        <v>#DIV/0!</v>
      </c>
      <c r="BN64" s="171" t="e">
        <f>+Y64/12-'wgl tot'!BM64</f>
        <v>#DIV/0!</v>
      </c>
      <c r="BO64" s="171" t="e">
        <f>ROUND(IF('wgl tot'!BN64&gt;tabellen!$H$11,tabellen!$H$11,'wgl tot'!BN64)*tabellen!$C$11,2)</f>
        <v>#DIV/0!</v>
      </c>
      <c r="BP64" s="171" t="e">
        <f>+'wgl tot'!BN64+'wgl tot'!BO64</f>
        <v>#DIV/0!</v>
      </c>
      <c r="BQ64" s="172">
        <f t="shared" si="26"/>
        <v>1900</v>
      </c>
      <c r="BR64" s="172">
        <f t="shared" si="27"/>
        <v>1</v>
      </c>
      <c r="BS64" s="165">
        <f t="shared" si="28"/>
        <v>0</v>
      </c>
      <c r="BT64" s="148">
        <f t="shared" si="32"/>
        <v>22462</v>
      </c>
      <c r="BU64" s="148">
        <f t="shared" ca="1" si="16"/>
        <v>43722.739781944445</v>
      </c>
      <c r="BV64" s="130"/>
      <c r="BW64" s="148"/>
      <c r="BX64" s="130"/>
      <c r="BY64" s="168"/>
      <c r="BZ64" s="168"/>
      <c r="CA64" s="168"/>
      <c r="CB64" s="168"/>
      <c r="CC64" s="168"/>
      <c r="CD64" s="168"/>
      <c r="CE64" s="121"/>
      <c r="CF64" s="121"/>
    </row>
    <row r="65" spans="1:84" s="132" customFormat="1" ht="12" customHeight="1" x14ac:dyDescent="0.2">
      <c r="A65" s="121"/>
      <c r="B65" s="122"/>
      <c r="C65" s="151"/>
      <c r="D65" s="157"/>
      <c r="E65" s="158"/>
      <c r="F65" s="159"/>
      <c r="G65" s="159"/>
      <c r="H65" s="160"/>
      <c r="I65" s="159"/>
      <c r="J65" s="161"/>
      <c r="K65" s="181">
        <f>IF(F65="",0,(VLOOKUP('wgl tot'!F65,saltab2019,'wgl tot'!G65+1,FALSE)))</f>
        <v>0</v>
      </c>
      <c r="L65" s="163">
        <f t="shared" si="29"/>
        <v>0</v>
      </c>
      <c r="M65" s="151"/>
      <c r="N65" s="181">
        <f>ROUND(IF(('wgl tot'!L65+'wgl tot'!P65)*BF65&lt;'wgl tot'!H65*tabellen!$D$50,'wgl tot'!H65*tabellen!$D$50,('wgl tot'!L65+'wgl tot'!P65)*BF65),2)</f>
        <v>0</v>
      </c>
      <c r="O65" s="181">
        <f>ROUND(+('wgl tot'!L65+'wgl tot'!P65)*BG65,2)</f>
        <v>0</v>
      </c>
      <c r="P65" s="181">
        <f>ROUND(IF(I65="j",VLOOKUP(BD65,uitlooptoeslag,2,FALSE))*IF('wgl tot'!H65&gt;1,1,'wgl tot'!H65),2)</f>
        <v>0</v>
      </c>
      <c r="Q65" s="181">
        <f>ROUND(IF(BI65="j",tabellen!$D$59*IF('wgl tot'!H65&gt;1,1,'wgl tot'!H65),0),2)</f>
        <v>0</v>
      </c>
      <c r="R65" s="181">
        <f>IF(AND(F65&gt;0,F65&lt;17),tabellen!$C$41*'wgl tot'!H65,0)</f>
        <v>0</v>
      </c>
      <c r="S65" s="181">
        <f>VLOOKUP(BH65,eindejaarsuitkering_OOP,2,TRUE)*'wgl tot'!H65/12</f>
        <v>0</v>
      </c>
      <c r="T65" s="181">
        <f>ROUND(H65*tabellen!$D$57,2)</f>
        <v>0</v>
      </c>
      <c r="U65" s="181">
        <f>ROUND(H65*tabellen!C$45,2)</f>
        <v>0</v>
      </c>
      <c r="V65" s="181">
        <f>H65*(IF(F65="L10",42%*VLOOKUP(tabellen!L$45,saltab2018sept,G65+1,FALSE),IF(F65="L11",42%*VLOOKUP(tabellen!L$46,saltab2018sept,G65+1,FALSE),IF(F65="L12",42%*VLOOKUP(tabellen!L$47,saltab2018sept,G65+1,FALSE),IF(F65="L13",42%*VLOOKUP(tabellen!L$48,saltab2018sept,G65+1,FALSE),0)))))</f>
        <v>0</v>
      </c>
      <c r="W65" s="182">
        <f t="shared" si="9"/>
        <v>0</v>
      </c>
      <c r="X65" s="181">
        <f>('wgl tot'!L65+'wgl tot'!P65)*tabellen!$C$43*12</f>
        <v>0</v>
      </c>
      <c r="Y65" s="163">
        <f t="shared" si="10"/>
        <v>0</v>
      </c>
      <c r="Z65" s="151"/>
      <c r="AA65" s="182">
        <f t="shared" si="18"/>
        <v>0</v>
      </c>
      <c r="AB65" s="217">
        <f>+'wgl tot'!X65/12</f>
        <v>0</v>
      </c>
      <c r="AC65" s="151"/>
      <c r="AD65" s="181">
        <f>IF(F65="",0,(IF('wgl tot'!W65/'wgl tot'!H65&lt;tabellen!$E$6,0,('wgl tot'!W65-tabellen!$E$6*'wgl tot'!H65)/12)*tabellen!$C$6))</f>
        <v>0</v>
      </c>
      <c r="AE65" s="181">
        <f>IF(F65="",0,(IF('wgl tot'!W65/'wgl tot'!H65&lt;tabellen!$E$7,0,(+'wgl tot'!W65-tabellen!$E$7*'wgl tot'!H65)/12)*tabellen!$C$7))</f>
        <v>0</v>
      </c>
      <c r="AF65" s="181">
        <f>'wgl tot'!W65/12*tabellen!$C$8</f>
        <v>0</v>
      </c>
      <c r="AG65" s="181">
        <f>IF(H65=0,0,IF(BN65&gt;tabellen!$G$9/12,tabellen!$G$9/12,BN65)*(tabellen!$C$9+tabellen!$C$10))</f>
        <v>0</v>
      </c>
      <c r="AH65" s="181">
        <f>IF(F65="",0,('wgl tot'!BO65))</f>
        <v>0</v>
      </c>
      <c r="AI65" s="183">
        <f>IF(F65="",0,(IF('wgl tot'!BN65&gt;tabellen!$G$12*'wgl tot'!H65/12,tabellen!$G$12*'wgl tot'!H65/12,'wgl tot'!BN65)*tabellen!$C$12))</f>
        <v>0</v>
      </c>
      <c r="AJ65" s="151"/>
      <c r="AK65" s="183">
        <f>IF(F65="",0,('wgl tot'!BN65*IF(J65=1,tabellen!$C$13,IF(J65=2,tabellen!$C$14,IF(J65=3,tabellen!$C$15,IF(J65=5,tabellen!$C$17,IF(J65=6,tabellen!$C$18,IF(J65=7,tabellen!$C$19,IF(J65=8,tabellen!$C$20,tabellen!$C$16)))))))))</f>
        <v>0</v>
      </c>
      <c r="AL65" s="183">
        <f>IF(F65="",0,('wgl tot'!BN65*tabellen!$C$21))</f>
        <v>0</v>
      </c>
      <c r="AM65" s="237">
        <v>0</v>
      </c>
      <c r="AN65" s="151"/>
      <c r="AO65" s="237">
        <v>0</v>
      </c>
      <c r="AP65" s="151"/>
      <c r="AQ65" s="163">
        <f t="shared" si="19"/>
        <v>0</v>
      </c>
      <c r="AR65" s="163">
        <f t="shared" si="30"/>
        <v>0</v>
      </c>
      <c r="AS65" s="151"/>
      <c r="AT65" s="187" t="str">
        <f t="shared" si="23"/>
        <v/>
      </c>
      <c r="AU65" s="187" t="str">
        <f t="shared" si="24"/>
        <v/>
      </c>
      <c r="AV65" s="151"/>
      <c r="AW65" s="129"/>
      <c r="AX65" s="121"/>
      <c r="AY65" s="121"/>
      <c r="AZ65" s="165">
        <f ca="1">YEAR('wgl tot'!$AZ$9)-YEAR('wgl tot'!E65)</f>
        <v>119</v>
      </c>
      <c r="BA65" s="165">
        <f ca="1">MONTH('wgl tot'!$AZ$9)-MONTH('wgl tot'!E65)</f>
        <v>8</v>
      </c>
      <c r="BB65" s="165">
        <f ca="1">DAY('wgl tot'!$AZ$9)-DAY('wgl tot'!E65)</f>
        <v>14</v>
      </c>
      <c r="BC65" s="130">
        <f>IF(AND('wgl tot'!F65&gt;0,'wgl tot'!F65&lt;17),0,100)</f>
        <v>100</v>
      </c>
      <c r="BD65" s="130">
        <f t="shared" si="25"/>
        <v>0</v>
      </c>
      <c r="BE65" s="148">
        <v>42583</v>
      </c>
      <c r="BF65" s="166">
        <f t="shared" si="17"/>
        <v>0.08</v>
      </c>
      <c r="BG65" s="167">
        <f>+tabellen!$D$51</f>
        <v>6.3E-2</v>
      </c>
      <c r="BH65" s="165">
        <f>IF('wgl tot'!BC65=100,0,'wgl tot'!F65)</f>
        <v>0</v>
      </c>
      <c r="BI65" s="167" t="str">
        <f>IF(OR('wgl tot'!F65="DA",'wgl tot'!F65="DB",'wgl tot'!F65="DBuit",'wgl tot'!F65="DC",'wgl tot'!F65="DCuit",MID('wgl tot'!F65,1,5)="meerh"),"j","n")</f>
        <v>n</v>
      </c>
      <c r="BJ65" s="169" t="e">
        <f>IF('wgl tot'!W65/'wgl tot'!H65&lt;tabellen!$E$6,0,(+'wgl tot'!W65-tabellen!$E$6*'wgl tot'!H65)/12*tabellen!$D$6)</f>
        <v>#DIV/0!</v>
      </c>
      <c r="BK65" s="169" t="e">
        <f>IF('wgl tot'!W65/'wgl tot'!H65&lt;tabellen!$E$7,0,(+'wgl tot'!W65-tabellen!$E$7*'wgl tot'!H65)/12*tabellen!$D$7)</f>
        <v>#DIV/0!</v>
      </c>
      <c r="BL65" s="169">
        <f>'wgl tot'!W65/12*tabellen!$D$8</f>
        <v>0</v>
      </c>
      <c r="BM65" s="170" t="e">
        <f t="shared" si="31"/>
        <v>#DIV/0!</v>
      </c>
      <c r="BN65" s="171" t="e">
        <f>+Y65/12-'wgl tot'!BM65</f>
        <v>#DIV/0!</v>
      </c>
      <c r="BO65" s="171" t="e">
        <f>ROUND(IF('wgl tot'!BN65&gt;tabellen!$H$11,tabellen!$H$11,'wgl tot'!BN65)*tabellen!$C$11,2)</f>
        <v>#DIV/0!</v>
      </c>
      <c r="BP65" s="171" t="e">
        <f>+'wgl tot'!BN65+'wgl tot'!BO65</f>
        <v>#DIV/0!</v>
      </c>
      <c r="BQ65" s="172">
        <f t="shared" si="26"/>
        <v>1900</v>
      </c>
      <c r="BR65" s="172">
        <f t="shared" si="27"/>
        <v>1</v>
      </c>
      <c r="BS65" s="165">
        <f t="shared" si="28"/>
        <v>0</v>
      </c>
      <c r="BT65" s="148">
        <f t="shared" si="32"/>
        <v>22462</v>
      </c>
      <c r="BU65" s="148">
        <f t="shared" ca="1" si="16"/>
        <v>43722.739781944445</v>
      </c>
      <c r="BV65" s="130"/>
      <c r="BW65" s="148"/>
      <c r="BX65" s="130"/>
      <c r="BY65" s="168"/>
      <c r="BZ65" s="168"/>
      <c r="CA65" s="168"/>
      <c r="CB65" s="168"/>
      <c r="CC65" s="168"/>
      <c r="CD65" s="168"/>
      <c r="CE65" s="121"/>
      <c r="CF65" s="121"/>
    </row>
    <row r="66" spans="1:84" s="132" customFormat="1" ht="12" customHeight="1" x14ac:dyDescent="0.2">
      <c r="A66" s="121"/>
      <c r="B66" s="122"/>
      <c r="C66" s="151"/>
      <c r="D66" s="157"/>
      <c r="E66" s="158"/>
      <c r="F66" s="159"/>
      <c r="G66" s="159"/>
      <c r="H66" s="160"/>
      <c r="I66" s="159"/>
      <c r="J66" s="161"/>
      <c r="K66" s="181">
        <f>IF(F66="",0,(VLOOKUP('wgl tot'!F66,saltab2019,'wgl tot'!G66+1,FALSE)))</f>
        <v>0</v>
      </c>
      <c r="L66" s="163">
        <f t="shared" si="29"/>
        <v>0</v>
      </c>
      <c r="M66" s="151"/>
      <c r="N66" s="181">
        <f>ROUND(IF(('wgl tot'!L66+'wgl tot'!P66)*BF66&lt;'wgl tot'!H66*tabellen!$D$50,'wgl tot'!H66*tabellen!$D$50,('wgl tot'!L66+'wgl tot'!P66)*BF66),2)</f>
        <v>0</v>
      </c>
      <c r="O66" s="181">
        <f>ROUND(+('wgl tot'!L66+'wgl tot'!P66)*BG66,2)</f>
        <v>0</v>
      </c>
      <c r="P66" s="181">
        <f>ROUND(IF(I66="j",VLOOKUP(BD66,uitlooptoeslag,2,FALSE))*IF('wgl tot'!H66&gt;1,1,'wgl tot'!H66),2)</f>
        <v>0</v>
      </c>
      <c r="Q66" s="181">
        <f>ROUND(IF(BI66="j",tabellen!$D$59*IF('wgl tot'!H66&gt;1,1,'wgl tot'!H66),0),2)</f>
        <v>0</v>
      </c>
      <c r="R66" s="181">
        <f>IF(AND(F66&gt;0,F66&lt;17),tabellen!$C$41*'wgl tot'!H66,0)</f>
        <v>0</v>
      </c>
      <c r="S66" s="181">
        <f>VLOOKUP(BH66,eindejaarsuitkering_OOP,2,TRUE)*'wgl tot'!H66/12</f>
        <v>0</v>
      </c>
      <c r="T66" s="181">
        <f>ROUND(H66*tabellen!$D$57,2)</f>
        <v>0</v>
      </c>
      <c r="U66" s="181">
        <f>ROUND(H66*tabellen!C$45,2)</f>
        <v>0</v>
      </c>
      <c r="V66" s="181">
        <f>H66*(IF(F66="L10",42%*VLOOKUP(tabellen!L$45,saltab2018sept,G66+1,FALSE),IF(F66="L11",42%*VLOOKUP(tabellen!L$46,saltab2018sept,G66+1,FALSE),IF(F66="L12",42%*VLOOKUP(tabellen!L$47,saltab2018sept,G66+1,FALSE),IF(F66="L13",42%*VLOOKUP(tabellen!L$48,saltab2018sept,G66+1,FALSE),0)))))</f>
        <v>0</v>
      </c>
      <c r="W66" s="182">
        <f t="shared" si="9"/>
        <v>0</v>
      </c>
      <c r="X66" s="181">
        <f>('wgl tot'!L66+'wgl tot'!P66)*tabellen!$C$43*12</f>
        <v>0</v>
      </c>
      <c r="Y66" s="163">
        <f t="shared" si="10"/>
        <v>0</v>
      </c>
      <c r="Z66" s="151"/>
      <c r="AA66" s="182">
        <f t="shared" si="18"/>
        <v>0</v>
      </c>
      <c r="AB66" s="217">
        <f>+'wgl tot'!X66/12</f>
        <v>0</v>
      </c>
      <c r="AC66" s="151"/>
      <c r="AD66" s="181">
        <f>IF(F66="",0,(IF('wgl tot'!W66/'wgl tot'!H66&lt;tabellen!$E$6,0,('wgl tot'!W66-tabellen!$E$6*'wgl tot'!H66)/12)*tabellen!$C$6))</f>
        <v>0</v>
      </c>
      <c r="AE66" s="181">
        <f>IF(F66="",0,(IF('wgl tot'!W66/'wgl tot'!H66&lt;tabellen!$E$7,0,(+'wgl tot'!W66-tabellen!$E$7*'wgl tot'!H66)/12)*tabellen!$C$7))</f>
        <v>0</v>
      </c>
      <c r="AF66" s="181">
        <f>'wgl tot'!W66/12*tabellen!$C$8</f>
        <v>0</v>
      </c>
      <c r="AG66" s="181">
        <f>IF(H66=0,0,IF(BN66&gt;tabellen!$G$9/12,tabellen!$G$9/12,BN66)*(tabellen!$C$9+tabellen!$C$10))</f>
        <v>0</v>
      </c>
      <c r="AH66" s="181">
        <f>IF(F66="",0,('wgl tot'!BO66))</f>
        <v>0</v>
      </c>
      <c r="AI66" s="183">
        <f>IF(F66="",0,(IF('wgl tot'!BN66&gt;tabellen!$G$12*'wgl tot'!H66/12,tabellen!$G$12*'wgl tot'!H66/12,'wgl tot'!BN66)*tabellen!$C$12))</f>
        <v>0</v>
      </c>
      <c r="AJ66" s="151"/>
      <c r="AK66" s="183">
        <f>IF(F66="",0,('wgl tot'!BN66*IF(J66=1,tabellen!$C$13,IF(J66=2,tabellen!$C$14,IF(J66=3,tabellen!$C$15,IF(J66=5,tabellen!$C$17,IF(J66=6,tabellen!$C$18,IF(J66=7,tabellen!$C$19,IF(J66=8,tabellen!$C$20,tabellen!$C$16)))))))))</f>
        <v>0</v>
      </c>
      <c r="AL66" s="183">
        <f>IF(F66="",0,('wgl tot'!BN66*tabellen!$C$21))</f>
        <v>0</v>
      </c>
      <c r="AM66" s="237">
        <v>0</v>
      </c>
      <c r="AN66" s="151"/>
      <c r="AO66" s="237">
        <v>0</v>
      </c>
      <c r="AP66" s="151"/>
      <c r="AQ66" s="163">
        <f t="shared" si="19"/>
        <v>0</v>
      </c>
      <c r="AR66" s="163">
        <f t="shared" si="30"/>
        <v>0</v>
      </c>
      <c r="AS66" s="151"/>
      <c r="AT66" s="187" t="str">
        <f t="shared" si="23"/>
        <v/>
      </c>
      <c r="AU66" s="187" t="str">
        <f t="shared" si="24"/>
        <v/>
      </c>
      <c r="AV66" s="151"/>
      <c r="AW66" s="129"/>
      <c r="AX66" s="121"/>
      <c r="AY66" s="121"/>
      <c r="AZ66" s="165">
        <f ca="1">YEAR('wgl tot'!$AZ$9)-YEAR('wgl tot'!E66)</f>
        <v>119</v>
      </c>
      <c r="BA66" s="165">
        <f ca="1">MONTH('wgl tot'!$AZ$9)-MONTH('wgl tot'!E66)</f>
        <v>8</v>
      </c>
      <c r="BB66" s="165">
        <f ca="1">DAY('wgl tot'!$AZ$9)-DAY('wgl tot'!E66)</f>
        <v>14</v>
      </c>
      <c r="BC66" s="130">
        <f>IF(AND('wgl tot'!F66&gt;0,'wgl tot'!F66&lt;17),0,100)</f>
        <v>100</v>
      </c>
      <c r="BD66" s="130">
        <f t="shared" si="25"/>
        <v>0</v>
      </c>
      <c r="BE66" s="148">
        <v>42583</v>
      </c>
      <c r="BF66" s="166">
        <f t="shared" si="17"/>
        <v>0.08</v>
      </c>
      <c r="BG66" s="167">
        <f>+tabellen!$D$51</f>
        <v>6.3E-2</v>
      </c>
      <c r="BH66" s="165">
        <f>IF('wgl tot'!BC66=100,0,'wgl tot'!F66)</f>
        <v>0</v>
      </c>
      <c r="BI66" s="167" t="str">
        <f>IF(OR('wgl tot'!F66="DA",'wgl tot'!F66="DB",'wgl tot'!F66="DBuit",'wgl tot'!F66="DC",'wgl tot'!F66="DCuit",MID('wgl tot'!F66,1,5)="meerh"),"j","n")</f>
        <v>n</v>
      </c>
      <c r="BJ66" s="169" t="e">
        <f>IF('wgl tot'!W66/'wgl tot'!H66&lt;tabellen!$E$6,0,(+'wgl tot'!W66-tabellen!$E$6*'wgl tot'!H66)/12*tabellen!$D$6)</f>
        <v>#DIV/0!</v>
      </c>
      <c r="BK66" s="169" t="e">
        <f>IF('wgl tot'!W66/'wgl tot'!H66&lt;tabellen!$E$7,0,(+'wgl tot'!W66-tabellen!$E$7*'wgl tot'!H66)/12*tabellen!$D$7)</f>
        <v>#DIV/0!</v>
      </c>
      <c r="BL66" s="169">
        <f>'wgl tot'!W66/12*tabellen!$D$8</f>
        <v>0</v>
      </c>
      <c r="BM66" s="170" t="e">
        <f t="shared" si="31"/>
        <v>#DIV/0!</v>
      </c>
      <c r="BN66" s="171" t="e">
        <f>+Y66/12-'wgl tot'!BM66</f>
        <v>#DIV/0!</v>
      </c>
      <c r="BO66" s="171" t="e">
        <f>ROUND(IF('wgl tot'!BN66&gt;tabellen!$H$11,tabellen!$H$11,'wgl tot'!BN66)*tabellen!$C$11,2)</f>
        <v>#DIV/0!</v>
      </c>
      <c r="BP66" s="171" t="e">
        <f>+'wgl tot'!BN66+'wgl tot'!BO66</f>
        <v>#DIV/0!</v>
      </c>
      <c r="BQ66" s="172">
        <f t="shared" si="26"/>
        <v>1900</v>
      </c>
      <c r="BR66" s="172">
        <f t="shared" si="27"/>
        <v>1</v>
      </c>
      <c r="BS66" s="165">
        <f t="shared" si="28"/>
        <v>0</v>
      </c>
      <c r="BT66" s="148">
        <f t="shared" si="32"/>
        <v>22462</v>
      </c>
      <c r="BU66" s="148">
        <f t="shared" ca="1" si="16"/>
        <v>43722.739781944445</v>
      </c>
      <c r="BV66" s="130"/>
      <c r="BW66" s="148"/>
      <c r="BX66" s="130"/>
      <c r="BY66" s="168"/>
      <c r="BZ66" s="168"/>
      <c r="CA66" s="168"/>
      <c r="CB66" s="168"/>
      <c r="CC66" s="168"/>
      <c r="CD66" s="168"/>
      <c r="CE66" s="121"/>
      <c r="CF66" s="121"/>
    </row>
    <row r="67" spans="1:84" s="132" customFormat="1" ht="12" customHeight="1" x14ac:dyDescent="0.2">
      <c r="A67" s="121"/>
      <c r="B67" s="122"/>
      <c r="C67" s="151"/>
      <c r="D67" s="157"/>
      <c r="E67" s="158"/>
      <c r="F67" s="159"/>
      <c r="G67" s="159"/>
      <c r="H67" s="160"/>
      <c r="I67" s="159"/>
      <c r="J67" s="161"/>
      <c r="K67" s="181">
        <f>IF(F67="",0,(VLOOKUP('wgl tot'!F67,saltab2019,'wgl tot'!G67+1,FALSE)))</f>
        <v>0</v>
      </c>
      <c r="L67" s="163">
        <f t="shared" si="29"/>
        <v>0</v>
      </c>
      <c r="M67" s="151"/>
      <c r="N67" s="181">
        <f>ROUND(IF(('wgl tot'!L67+'wgl tot'!P67)*BF67&lt;'wgl tot'!H67*tabellen!$D$50,'wgl tot'!H67*tabellen!$D$50,('wgl tot'!L67+'wgl tot'!P67)*BF67),2)</f>
        <v>0</v>
      </c>
      <c r="O67" s="181">
        <f>ROUND(+('wgl tot'!L67+'wgl tot'!P67)*BG67,2)</f>
        <v>0</v>
      </c>
      <c r="P67" s="181">
        <f>ROUND(IF(I67="j",VLOOKUP(BD67,uitlooptoeslag,2,FALSE))*IF('wgl tot'!H67&gt;1,1,'wgl tot'!H67),2)</f>
        <v>0</v>
      </c>
      <c r="Q67" s="181">
        <f>ROUND(IF(BI67="j",tabellen!$D$59*IF('wgl tot'!H67&gt;1,1,'wgl tot'!H67),0),2)</f>
        <v>0</v>
      </c>
      <c r="R67" s="181">
        <f>IF(AND(F67&gt;0,F67&lt;17),tabellen!$C$41*'wgl tot'!H67,0)</f>
        <v>0</v>
      </c>
      <c r="S67" s="181">
        <f>VLOOKUP(BH67,eindejaarsuitkering_OOP,2,TRUE)*'wgl tot'!H67/12</f>
        <v>0</v>
      </c>
      <c r="T67" s="181">
        <f>ROUND(H67*tabellen!$D$57,2)</f>
        <v>0</v>
      </c>
      <c r="U67" s="181">
        <f>ROUND(H67*tabellen!C$45,2)</f>
        <v>0</v>
      </c>
      <c r="V67" s="181">
        <f>H67*(IF(F67="L10",42%*VLOOKUP(tabellen!L$45,saltab2018sept,G67+1,FALSE),IF(F67="L11",42%*VLOOKUP(tabellen!L$46,saltab2018sept,G67+1,FALSE),IF(F67="L12",42%*VLOOKUP(tabellen!L$47,saltab2018sept,G67+1,FALSE),IF(F67="L13",42%*VLOOKUP(tabellen!L$48,saltab2018sept,G67+1,FALSE),0)))))</f>
        <v>0</v>
      </c>
      <c r="W67" s="182">
        <f t="shared" si="9"/>
        <v>0</v>
      </c>
      <c r="X67" s="181">
        <f>('wgl tot'!L67+'wgl tot'!P67)*tabellen!$C$43*12</f>
        <v>0</v>
      </c>
      <c r="Y67" s="163">
        <f t="shared" si="10"/>
        <v>0</v>
      </c>
      <c r="Z67" s="151"/>
      <c r="AA67" s="182">
        <f t="shared" si="18"/>
        <v>0</v>
      </c>
      <c r="AB67" s="217">
        <f>+'wgl tot'!X67/12</f>
        <v>0</v>
      </c>
      <c r="AC67" s="151"/>
      <c r="AD67" s="181">
        <f>IF(F67="",0,(IF('wgl tot'!W67/'wgl tot'!H67&lt;tabellen!$E$6,0,('wgl tot'!W67-tabellen!$E$6*'wgl tot'!H67)/12)*tabellen!$C$6))</f>
        <v>0</v>
      </c>
      <c r="AE67" s="181">
        <f>IF(F67="",0,(IF('wgl tot'!W67/'wgl tot'!H67&lt;tabellen!$E$7,0,(+'wgl tot'!W67-tabellen!$E$7*'wgl tot'!H67)/12)*tabellen!$C$7))</f>
        <v>0</v>
      </c>
      <c r="AF67" s="181">
        <f>'wgl tot'!W67/12*tabellen!$C$8</f>
        <v>0</v>
      </c>
      <c r="AG67" s="181">
        <f>IF(H67=0,0,IF(BN67&gt;tabellen!$G$9/12,tabellen!$G$9/12,BN67)*(tabellen!$C$9+tabellen!$C$10))</f>
        <v>0</v>
      </c>
      <c r="AH67" s="181">
        <f>IF(F67="",0,('wgl tot'!BO67))</f>
        <v>0</v>
      </c>
      <c r="AI67" s="183">
        <f>IF(F67="",0,(IF('wgl tot'!BN67&gt;tabellen!$G$12*'wgl tot'!H67/12,tabellen!$G$12*'wgl tot'!H67/12,'wgl tot'!BN67)*tabellen!$C$12))</f>
        <v>0</v>
      </c>
      <c r="AJ67" s="151"/>
      <c r="AK67" s="183">
        <f>IF(F67="",0,('wgl tot'!BN67*IF(J67=1,tabellen!$C$13,IF(J67=2,tabellen!$C$14,IF(J67=3,tabellen!$C$15,IF(J67=5,tabellen!$C$17,IF(J67=6,tabellen!$C$18,IF(J67=7,tabellen!$C$19,IF(J67=8,tabellen!$C$20,tabellen!$C$16)))))))))</f>
        <v>0</v>
      </c>
      <c r="AL67" s="183">
        <f>IF(F67="",0,('wgl tot'!BN67*tabellen!$C$21))</f>
        <v>0</v>
      </c>
      <c r="AM67" s="237">
        <v>0</v>
      </c>
      <c r="AN67" s="151"/>
      <c r="AO67" s="237">
        <v>0</v>
      </c>
      <c r="AP67" s="151"/>
      <c r="AQ67" s="163">
        <f t="shared" si="19"/>
        <v>0</v>
      </c>
      <c r="AR67" s="163">
        <f t="shared" si="30"/>
        <v>0</v>
      </c>
      <c r="AS67" s="151"/>
      <c r="AT67" s="187" t="str">
        <f t="shared" si="23"/>
        <v/>
      </c>
      <c r="AU67" s="187" t="str">
        <f t="shared" si="24"/>
        <v/>
      </c>
      <c r="AV67" s="151"/>
      <c r="AW67" s="129"/>
      <c r="AX67" s="121"/>
      <c r="AY67" s="121"/>
      <c r="AZ67" s="165">
        <f ca="1">YEAR('wgl tot'!$AZ$9)-YEAR('wgl tot'!E67)</f>
        <v>119</v>
      </c>
      <c r="BA67" s="165">
        <f ca="1">MONTH('wgl tot'!$AZ$9)-MONTH('wgl tot'!E67)</f>
        <v>8</v>
      </c>
      <c r="BB67" s="165">
        <f ca="1">DAY('wgl tot'!$AZ$9)-DAY('wgl tot'!E67)</f>
        <v>14</v>
      </c>
      <c r="BC67" s="130">
        <f>IF(AND('wgl tot'!F67&gt;0,'wgl tot'!F67&lt;17),0,100)</f>
        <v>100</v>
      </c>
      <c r="BD67" s="130">
        <f t="shared" si="25"/>
        <v>0</v>
      </c>
      <c r="BE67" s="148">
        <v>42583</v>
      </c>
      <c r="BF67" s="166">
        <f t="shared" si="17"/>
        <v>0.08</v>
      </c>
      <c r="BG67" s="167">
        <f>+tabellen!$D$51</f>
        <v>6.3E-2</v>
      </c>
      <c r="BH67" s="165">
        <f>IF('wgl tot'!BC67=100,0,'wgl tot'!F67)</f>
        <v>0</v>
      </c>
      <c r="BI67" s="167" t="str">
        <f>IF(OR('wgl tot'!F67="DA",'wgl tot'!F67="DB",'wgl tot'!F67="DBuit",'wgl tot'!F67="DC",'wgl tot'!F67="DCuit",MID('wgl tot'!F67,1,5)="meerh"),"j","n")</f>
        <v>n</v>
      </c>
      <c r="BJ67" s="169" t="e">
        <f>IF('wgl tot'!W67/'wgl tot'!H67&lt;tabellen!$E$6,0,(+'wgl tot'!W67-tabellen!$E$6*'wgl tot'!H67)/12*tabellen!$D$6)</f>
        <v>#DIV/0!</v>
      </c>
      <c r="BK67" s="169" t="e">
        <f>IF('wgl tot'!W67/'wgl tot'!H67&lt;tabellen!$E$7,0,(+'wgl tot'!W67-tabellen!$E$7*'wgl tot'!H67)/12*tabellen!$D$7)</f>
        <v>#DIV/0!</v>
      </c>
      <c r="BL67" s="169">
        <f>'wgl tot'!W67/12*tabellen!$D$8</f>
        <v>0</v>
      </c>
      <c r="BM67" s="170" t="e">
        <f t="shared" si="31"/>
        <v>#DIV/0!</v>
      </c>
      <c r="BN67" s="171" t="e">
        <f>+Y67/12-'wgl tot'!BM67</f>
        <v>#DIV/0!</v>
      </c>
      <c r="BO67" s="171" t="e">
        <f>ROUND(IF('wgl tot'!BN67&gt;tabellen!$H$11,tabellen!$H$11,'wgl tot'!BN67)*tabellen!$C$11,2)</f>
        <v>#DIV/0!</v>
      </c>
      <c r="BP67" s="171" t="e">
        <f>+'wgl tot'!BN67+'wgl tot'!BO67</f>
        <v>#DIV/0!</v>
      </c>
      <c r="BQ67" s="172">
        <f t="shared" si="26"/>
        <v>1900</v>
      </c>
      <c r="BR67" s="172">
        <f t="shared" si="27"/>
        <v>1</v>
      </c>
      <c r="BS67" s="165">
        <f t="shared" si="28"/>
        <v>0</v>
      </c>
      <c r="BT67" s="148">
        <f t="shared" si="32"/>
        <v>22462</v>
      </c>
      <c r="BU67" s="148">
        <f t="shared" ca="1" si="16"/>
        <v>43722.739781944445</v>
      </c>
      <c r="BV67" s="130"/>
      <c r="BW67" s="148"/>
      <c r="BX67" s="130"/>
      <c r="BY67" s="168"/>
      <c r="BZ67" s="168"/>
      <c r="CA67" s="168"/>
      <c r="CB67" s="168"/>
      <c r="CC67" s="168"/>
      <c r="CD67" s="168"/>
      <c r="CE67" s="121"/>
      <c r="CF67" s="121"/>
    </row>
    <row r="68" spans="1:84" s="132" customFormat="1" ht="12" customHeight="1" x14ac:dyDescent="0.2">
      <c r="A68" s="121"/>
      <c r="B68" s="122"/>
      <c r="C68" s="151"/>
      <c r="D68" s="157"/>
      <c r="E68" s="158"/>
      <c r="F68" s="159"/>
      <c r="G68" s="159"/>
      <c r="H68" s="160"/>
      <c r="I68" s="159"/>
      <c r="J68" s="161"/>
      <c r="K68" s="181">
        <f>IF(F68="",0,(VLOOKUP('wgl tot'!F68,saltab2019,'wgl tot'!G68+1,FALSE)))</f>
        <v>0</v>
      </c>
      <c r="L68" s="163">
        <f t="shared" si="29"/>
        <v>0</v>
      </c>
      <c r="M68" s="151"/>
      <c r="N68" s="181">
        <f>ROUND(IF(('wgl tot'!L68+'wgl tot'!P68)*BF68&lt;'wgl tot'!H68*tabellen!$D$50,'wgl tot'!H68*tabellen!$D$50,('wgl tot'!L68+'wgl tot'!P68)*BF68),2)</f>
        <v>0</v>
      </c>
      <c r="O68" s="181">
        <f>ROUND(+('wgl tot'!L68+'wgl tot'!P68)*BG68,2)</f>
        <v>0</v>
      </c>
      <c r="P68" s="181">
        <f>ROUND(IF(I68="j",VLOOKUP(BD68,uitlooptoeslag,2,FALSE))*IF('wgl tot'!H68&gt;1,1,'wgl tot'!H68),2)</f>
        <v>0</v>
      </c>
      <c r="Q68" s="181">
        <f>ROUND(IF(BI68="j",tabellen!$D$59*IF('wgl tot'!H68&gt;1,1,'wgl tot'!H68),0),2)</f>
        <v>0</v>
      </c>
      <c r="R68" s="181">
        <f>IF(AND(F68&gt;0,F68&lt;17),tabellen!$C$41*'wgl tot'!H68,0)</f>
        <v>0</v>
      </c>
      <c r="S68" s="181">
        <f>VLOOKUP(BH68,eindejaarsuitkering_OOP,2,TRUE)*'wgl tot'!H68/12</f>
        <v>0</v>
      </c>
      <c r="T68" s="181">
        <f>ROUND(H68*tabellen!$D$57,2)</f>
        <v>0</v>
      </c>
      <c r="U68" s="181">
        <f>ROUND(H68*tabellen!C$45,2)</f>
        <v>0</v>
      </c>
      <c r="V68" s="181">
        <f>H68*(IF(F68="L10",42%*VLOOKUP(tabellen!L$45,saltab2018sept,G68+1,FALSE),IF(F68="L11",42%*VLOOKUP(tabellen!L$46,saltab2018sept,G68+1,FALSE),IF(F68="L12",42%*VLOOKUP(tabellen!L$47,saltab2018sept,G68+1,FALSE),IF(F68="L13",42%*VLOOKUP(tabellen!L$48,saltab2018sept,G68+1,FALSE),0)))))</f>
        <v>0</v>
      </c>
      <c r="W68" s="182">
        <f t="shared" si="9"/>
        <v>0</v>
      </c>
      <c r="X68" s="181">
        <f>('wgl tot'!L68+'wgl tot'!P68)*tabellen!$C$43*12</f>
        <v>0</v>
      </c>
      <c r="Y68" s="163">
        <f t="shared" si="10"/>
        <v>0</v>
      </c>
      <c r="Z68" s="151"/>
      <c r="AA68" s="182">
        <f t="shared" si="18"/>
        <v>0</v>
      </c>
      <c r="AB68" s="217">
        <f>+'wgl tot'!X68/12</f>
        <v>0</v>
      </c>
      <c r="AC68" s="151"/>
      <c r="AD68" s="181">
        <f>IF(F68="",0,(IF('wgl tot'!W68/'wgl tot'!H68&lt;tabellen!$E$6,0,('wgl tot'!W68-tabellen!$E$6*'wgl tot'!H68)/12)*tabellen!$C$6))</f>
        <v>0</v>
      </c>
      <c r="AE68" s="181">
        <f>IF(F68="",0,(IF('wgl tot'!W68/'wgl tot'!H68&lt;tabellen!$E$7,0,(+'wgl tot'!W68-tabellen!$E$7*'wgl tot'!H68)/12)*tabellen!$C$7))</f>
        <v>0</v>
      </c>
      <c r="AF68" s="181">
        <f>'wgl tot'!W68/12*tabellen!$C$8</f>
        <v>0</v>
      </c>
      <c r="AG68" s="181">
        <f>IF(H68=0,0,IF(BN68&gt;tabellen!$G$9/12,tabellen!$G$9/12,BN68)*(tabellen!$C$9+tabellen!$C$10))</f>
        <v>0</v>
      </c>
      <c r="AH68" s="181">
        <f>IF(F68="",0,('wgl tot'!BO68))</f>
        <v>0</v>
      </c>
      <c r="AI68" s="183">
        <f>IF(F68="",0,(IF('wgl tot'!BN68&gt;tabellen!$G$12*'wgl tot'!H68/12,tabellen!$G$12*'wgl tot'!H68/12,'wgl tot'!BN68)*tabellen!$C$12))</f>
        <v>0</v>
      </c>
      <c r="AJ68" s="151"/>
      <c r="AK68" s="183">
        <f>IF(F68="",0,('wgl tot'!BN68*IF(J68=1,tabellen!$C$13,IF(J68=2,tabellen!$C$14,IF(J68=3,tabellen!$C$15,IF(J68=5,tabellen!$C$17,IF(J68=6,tabellen!$C$18,IF(J68=7,tabellen!$C$19,IF(J68=8,tabellen!$C$20,tabellen!$C$16)))))))))</f>
        <v>0</v>
      </c>
      <c r="AL68" s="183">
        <f>IF(F68="",0,('wgl tot'!BN68*tabellen!$C$21))</f>
        <v>0</v>
      </c>
      <c r="AM68" s="237">
        <v>0</v>
      </c>
      <c r="AN68" s="151"/>
      <c r="AO68" s="237">
        <v>0</v>
      </c>
      <c r="AP68" s="151"/>
      <c r="AQ68" s="163">
        <f t="shared" si="19"/>
        <v>0</v>
      </c>
      <c r="AR68" s="163">
        <f t="shared" si="30"/>
        <v>0</v>
      </c>
      <c r="AS68" s="151"/>
      <c r="AT68" s="187" t="str">
        <f t="shared" si="23"/>
        <v/>
      </c>
      <c r="AU68" s="187" t="str">
        <f t="shared" si="24"/>
        <v/>
      </c>
      <c r="AV68" s="151"/>
      <c r="AW68" s="129"/>
      <c r="AX68" s="121"/>
      <c r="AY68" s="121"/>
      <c r="AZ68" s="165">
        <f ca="1">YEAR('wgl tot'!$AZ$9)-YEAR('wgl tot'!E68)</f>
        <v>119</v>
      </c>
      <c r="BA68" s="165">
        <f ca="1">MONTH('wgl tot'!$AZ$9)-MONTH('wgl tot'!E68)</f>
        <v>8</v>
      </c>
      <c r="BB68" s="165">
        <f ca="1">DAY('wgl tot'!$AZ$9)-DAY('wgl tot'!E68)</f>
        <v>14</v>
      </c>
      <c r="BC68" s="130">
        <f>IF(AND('wgl tot'!F68&gt;0,'wgl tot'!F68&lt;17),0,100)</f>
        <v>100</v>
      </c>
      <c r="BD68" s="130">
        <f t="shared" si="25"/>
        <v>0</v>
      </c>
      <c r="BE68" s="148">
        <v>42583</v>
      </c>
      <c r="BF68" s="166">
        <f t="shared" si="17"/>
        <v>0.08</v>
      </c>
      <c r="BG68" s="167">
        <f>+tabellen!$D$51</f>
        <v>6.3E-2</v>
      </c>
      <c r="BH68" s="165">
        <f>IF('wgl tot'!BC68=100,0,'wgl tot'!F68)</f>
        <v>0</v>
      </c>
      <c r="BI68" s="167" t="str">
        <f>IF(OR('wgl tot'!F68="DA",'wgl tot'!F68="DB",'wgl tot'!F68="DBuit",'wgl tot'!F68="DC",'wgl tot'!F68="DCuit",MID('wgl tot'!F68,1,5)="meerh"),"j","n")</f>
        <v>n</v>
      </c>
      <c r="BJ68" s="169" t="e">
        <f>IF('wgl tot'!W68/'wgl tot'!H68&lt;tabellen!$E$6,0,(+'wgl tot'!W68-tabellen!$E$6*'wgl tot'!H68)/12*tabellen!$D$6)</f>
        <v>#DIV/0!</v>
      </c>
      <c r="BK68" s="169" t="e">
        <f>IF('wgl tot'!W68/'wgl tot'!H68&lt;tabellen!$E$7,0,(+'wgl tot'!W68-tabellen!$E$7*'wgl tot'!H68)/12*tabellen!$D$7)</f>
        <v>#DIV/0!</v>
      </c>
      <c r="BL68" s="169">
        <f>'wgl tot'!W68/12*tabellen!$D$8</f>
        <v>0</v>
      </c>
      <c r="BM68" s="170" t="e">
        <f t="shared" si="31"/>
        <v>#DIV/0!</v>
      </c>
      <c r="BN68" s="171" t="e">
        <f>+Y68/12-'wgl tot'!BM68</f>
        <v>#DIV/0!</v>
      </c>
      <c r="BO68" s="171" t="e">
        <f>ROUND(IF('wgl tot'!BN68&gt;tabellen!$H$11,tabellen!$H$11,'wgl tot'!BN68)*tabellen!$C$11,2)</f>
        <v>#DIV/0!</v>
      </c>
      <c r="BP68" s="171" t="e">
        <f>+'wgl tot'!BN68+'wgl tot'!BO68</f>
        <v>#DIV/0!</v>
      </c>
      <c r="BQ68" s="172">
        <f t="shared" si="26"/>
        <v>1900</v>
      </c>
      <c r="BR68" s="172">
        <f t="shared" si="27"/>
        <v>1</v>
      </c>
      <c r="BS68" s="165">
        <f t="shared" si="28"/>
        <v>0</v>
      </c>
      <c r="BT68" s="148">
        <f t="shared" si="32"/>
        <v>22462</v>
      </c>
      <c r="BU68" s="148">
        <f t="shared" ca="1" si="16"/>
        <v>43722.739781944445</v>
      </c>
      <c r="BV68" s="130"/>
      <c r="BW68" s="148"/>
      <c r="BX68" s="130"/>
      <c r="BY68" s="168"/>
      <c r="BZ68" s="168"/>
      <c r="CA68" s="168"/>
      <c r="CB68" s="168"/>
      <c r="CC68" s="168"/>
      <c r="CD68" s="168"/>
      <c r="CE68" s="121"/>
      <c r="CF68" s="121"/>
    </row>
    <row r="69" spans="1:84" s="132" customFormat="1" ht="12" customHeight="1" x14ac:dyDescent="0.2">
      <c r="A69" s="121"/>
      <c r="B69" s="122"/>
      <c r="C69" s="151"/>
      <c r="D69" s="157"/>
      <c r="E69" s="158"/>
      <c r="F69" s="159"/>
      <c r="G69" s="159"/>
      <c r="H69" s="160"/>
      <c r="I69" s="159"/>
      <c r="J69" s="161"/>
      <c r="K69" s="181">
        <f>IF(F69="",0,(VLOOKUP('wgl tot'!F69,saltab2019,'wgl tot'!G69+1,FALSE)))</f>
        <v>0</v>
      </c>
      <c r="L69" s="163">
        <f t="shared" si="29"/>
        <v>0</v>
      </c>
      <c r="M69" s="151"/>
      <c r="N69" s="181">
        <f>ROUND(IF(('wgl tot'!L69+'wgl tot'!P69)*BF69&lt;'wgl tot'!H69*tabellen!$D$50,'wgl tot'!H69*tabellen!$D$50,('wgl tot'!L69+'wgl tot'!P69)*BF69),2)</f>
        <v>0</v>
      </c>
      <c r="O69" s="181">
        <f>ROUND(+('wgl tot'!L69+'wgl tot'!P69)*BG69,2)</f>
        <v>0</v>
      </c>
      <c r="P69" s="181">
        <f>ROUND(IF(I69="j",VLOOKUP(BD69,uitlooptoeslag,2,FALSE))*IF('wgl tot'!H69&gt;1,1,'wgl tot'!H69),2)</f>
        <v>0</v>
      </c>
      <c r="Q69" s="181">
        <f>ROUND(IF(BI69="j",tabellen!$D$59*IF('wgl tot'!H69&gt;1,1,'wgl tot'!H69),0),2)</f>
        <v>0</v>
      </c>
      <c r="R69" s="181">
        <f>IF(AND(F69&gt;0,F69&lt;17),tabellen!$C$41*'wgl tot'!H69,0)</f>
        <v>0</v>
      </c>
      <c r="S69" s="181">
        <f>VLOOKUP(BH69,eindejaarsuitkering_OOP,2,TRUE)*'wgl tot'!H69/12</f>
        <v>0</v>
      </c>
      <c r="T69" s="181">
        <f>ROUND(H69*tabellen!$D$57,2)</f>
        <v>0</v>
      </c>
      <c r="U69" s="181">
        <f>ROUND(H69*tabellen!C$45,2)</f>
        <v>0</v>
      </c>
      <c r="V69" s="181">
        <f>H69*(IF(F69="L10",42%*VLOOKUP(tabellen!L$45,saltab2018sept,G69+1,FALSE),IF(F69="L11",42%*VLOOKUP(tabellen!L$46,saltab2018sept,G69+1,FALSE),IF(F69="L12",42%*VLOOKUP(tabellen!L$47,saltab2018sept,G69+1,FALSE),IF(F69="L13",42%*VLOOKUP(tabellen!L$48,saltab2018sept,G69+1,FALSE),0)))))</f>
        <v>0</v>
      </c>
      <c r="W69" s="182">
        <f t="shared" si="9"/>
        <v>0</v>
      </c>
      <c r="X69" s="181">
        <f>('wgl tot'!L69+'wgl tot'!P69)*tabellen!$C$43*12</f>
        <v>0</v>
      </c>
      <c r="Y69" s="163">
        <f t="shared" si="10"/>
        <v>0</v>
      </c>
      <c r="Z69" s="151"/>
      <c r="AA69" s="182">
        <f t="shared" si="18"/>
        <v>0</v>
      </c>
      <c r="AB69" s="217">
        <f>+'wgl tot'!X69/12</f>
        <v>0</v>
      </c>
      <c r="AC69" s="151"/>
      <c r="AD69" s="181">
        <f>IF(F69="",0,(IF('wgl tot'!W69/'wgl tot'!H69&lt;tabellen!$E$6,0,('wgl tot'!W69-tabellen!$E$6*'wgl tot'!H69)/12)*tabellen!$C$6))</f>
        <v>0</v>
      </c>
      <c r="AE69" s="181">
        <f>IF(F69="",0,(IF('wgl tot'!W69/'wgl tot'!H69&lt;tabellen!$E$7,0,(+'wgl tot'!W69-tabellen!$E$7*'wgl tot'!H69)/12)*tabellen!$C$7))</f>
        <v>0</v>
      </c>
      <c r="AF69" s="181">
        <f>'wgl tot'!W69/12*tabellen!$C$8</f>
        <v>0</v>
      </c>
      <c r="AG69" s="181">
        <f>IF(H69=0,0,IF(BN69&gt;tabellen!$G$9/12,tabellen!$G$9/12,BN69)*(tabellen!$C$9+tabellen!$C$10))</f>
        <v>0</v>
      </c>
      <c r="AH69" s="181">
        <f>IF(F69="",0,('wgl tot'!BO69))</f>
        <v>0</v>
      </c>
      <c r="AI69" s="183">
        <f>IF(F69="",0,(IF('wgl tot'!BN69&gt;tabellen!$G$12*'wgl tot'!H69/12,tabellen!$G$12*'wgl tot'!H69/12,'wgl tot'!BN69)*tabellen!$C$12))</f>
        <v>0</v>
      </c>
      <c r="AJ69" s="151"/>
      <c r="AK69" s="183">
        <f>IF(F69="",0,('wgl tot'!BN69*IF(J69=1,tabellen!$C$13,IF(J69=2,tabellen!$C$14,IF(J69=3,tabellen!$C$15,IF(J69=5,tabellen!$C$17,IF(J69=6,tabellen!$C$18,IF(J69=7,tabellen!$C$19,IF(J69=8,tabellen!$C$20,tabellen!$C$16)))))))))</f>
        <v>0</v>
      </c>
      <c r="AL69" s="183">
        <f>IF(F69="",0,('wgl tot'!BN69*tabellen!$C$21))</f>
        <v>0</v>
      </c>
      <c r="AM69" s="237">
        <v>0</v>
      </c>
      <c r="AN69" s="151"/>
      <c r="AO69" s="237">
        <v>0</v>
      </c>
      <c r="AP69" s="151"/>
      <c r="AQ69" s="163">
        <f t="shared" si="19"/>
        <v>0</v>
      </c>
      <c r="AR69" s="163">
        <f t="shared" si="30"/>
        <v>0</v>
      </c>
      <c r="AS69" s="151"/>
      <c r="AT69" s="187" t="str">
        <f t="shared" si="23"/>
        <v/>
      </c>
      <c r="AU69" s="187" t="str">
        <f t="shared" si="24"/>
        <v/>
      </c>
      <c r="AV69" s="151"/>
      <c r="AW69" s="129"/>
      <c r="AX69" s="121"/>
      <c r="AY69" s="121"/>
      <c r="AZ69" s="165">
        <f ca="1">YEAR('wgl tot'!$AZ$9)-YEAR('wgl tot'!E69)</f>
        <v>119</v>
      </c>
      <c r="BA69" s="165">
        <f ca="1">MONTH('wgl tot'!$AZ$9)-MONTH('wgl tot'!E69)</f>
        <v>8</v>
      </c>
      <c r="BB69" s="165">
        <f ca="1">DAY('wgl tot'!$AZ$9)-DAY('wgl tot'!E69)</f>
        <v>14</v>
      </c>
      <c r="BC69" s="130">
        <f>IF(AND('wgl tot'!F69&gt;0,'wgl tot'!F69&lt;17),0,100)</f>
        <v>100</v>
      </c>
      <c r="BD69" s="130">
        <f t="shared" si="25"/>
        <v>0</v>
      </c>
      <c r="BE69" s="148">
        <v>42583</v>
      </c>
      <c r="BF69" s="166">
        <f t="shared" si="17"/>
        <v>0.08</v>
      </c>
      <c r="BG69" s="167">
        <f>+tabellen!$D$51</f>
        <v>6.3E-2</v>
      </c>
      <c r="BH69" s="165">
        <f>IF('wgl tot'!BC69=100,0,'wgl tot'!F69)</f>
        <v>0</v>
      </c>
      <c r="BI69" s="167" t="str">
        <f>IF(OR('wgl tot'!F69="DA",'wgl tot'!F69="DB",'wgl tot'!F69="DBuit",'wgl tot'!F69="DC",'wgl tot'!F69="DCuit",MID('wgl tot'!F69,1,5)="meerh"),"j","n")</f>
        <v>n</v>
      </c>
      <c r="BJ69" s="169" t="e">
        <f>IF('wgl tot'!W69/'wgl tot'!H69&lt;tabellen!$E$6,0,(+'wgl tot'!W69-tabellen!$E$6*'wgl tot'!H69)/12*tabellen!$D$6)</f>
        <v>#DIV/0!</v>
      </c>
      <c r="BK69" s="169" t="e">
        <f>IF('wgl tot'!W69/'wgl tot'!H69&lt;tabellen!$E$7,0,(+'wgl tot'!W69-tabellen!$E$7*'wgl tot'!H69)/12*tabellen!$D$7)</f>
        <v>#DIV/0!</v>
      </c>
      <c r="BL69" s="169">
        <f>'wgl tot'!W69/12*tabellen!$D$8</f>
        <v>0</v>
      </c>
      <c r="BM69" s="170" t="e">
        <f t="shared" si="31"/>
        <v>#DIV/0!</v>
      </c>
      <c r="BN69" s="171" t="e">
        <f>+Y69/12-'wgl tot'!BM69</f>
        <v>#DIV/0!</v>
      </c>
      <c r="BO69" s="171" t="e">
        <f>ROUND(IF('wgl tot'!BN69&gt;tabellen!$H$11,tabellen!$H$11,'wgl tot'!BN69)*tabellen!$C$11,2)</f>
        <v>#DIV/0!</v>
      </c>
      <c r="BP69" s="171" t="e">
        <f>+'wgl tot'!BN69+'wgl tot'!BO69</f>
        <v>#DIV/0!</v>
      </c>
      <c r="BQ69" s="172">
        <f t="shared" si="26"/>
        <v>1900</v>
      </c>
      <c r="BR69" s="172">
        <f t="shared" si="27"/>
        <v>1</v>
      </c>
      <c r="BS69" s="165">
        <f t="shared" si="28"/>
        <v>0</v>
      </c>
      <c r="BT69" s="148">
        <f t="shared" si="32"/>
        <v>22462</v>
      </c>
      <c r="BU69" s="148">
        <f t="shared" ca="1" si="16"/>
        <v>43722.739781944445</v>
      </c>
      <c r="BV69" s="130"/>
      <c r="BW69" s="148"/>
      <c r="BX69" s="130"/>
      <c r="BY69" s="168"/>
      <c r="BZ69" s="168"/>
      <c r="CA69" s="168"/>
      <c r="CB69" s="168"/>
      <c r="CC69" s="168"/>
      <c r="CD69" s="168"/>
      <c r="CE69" s="121"/>
      <c r="CF69" s="121"/>
    </row>
    <row r="70" spans="1:84" s="132" customFormat="1" ht="12" customHeight="1" x14ac:dyDescent="0.2">
      <c r="A70" s="121"/>
      <c r="B70" s="122"/>
      <c r="C70" s="151"/>
      <c r="D70" s="157"/>
      <c r="E70" s="158"/>
      <c r="F70" s="159"/>
      <c r="G70" s="159"/>
      <c r="H70" s="160"/>
      <c r="I70" s="159"/>
      <c r="J70" s="161"/>
      <c r="K70" s="181">
        <f>IF(F70="",0,(VLOOKUP('wgl tot'!F70,saltab2019,'wgl tot'!G70+1,FALSE)))</f>
        <v>0</v>
      </c>
      <c r="L70" s="163">
        <f t="shared" si="29"/>
        <v>0</v>
      </c>
      <c r="M70" s="151"/>
      <c r="N70" s="181">
        <f>ROUND(IF(('wgl tot'!L70+'wgl tot'!P70)*BF70&lt;'wgl tot'!H70*tabellen!$D$50,'wgl tot'!H70*tabellen!$D$50,('wgl tot'!L70+'wgl tot'!P70)*BF70),2)</f>
        <v>0</v>
      </c>
      <c r="O70" s="181">
        <f>ROUND(+('wgl tot'!L70+'wgl tot'!P70)*BG70,2)</f>
        <v>0</v>
      </c>
      <c r="P70" s="181">
        <f>ROUND(IF(I70="j",VLOOKUP(BD70,uitlooptoeslag,2,FALSE))*IF('wgl tot'!H70&gt;1,1,'wgl tot'!H70),2)</f>
        <v>0</v>
      </c>
      <c r="Q70" s="181">
        <f>ROUND(IF(BI70="j",tabellen!$D$59*IF('wgl tot'!H70&gt;1,1,'wgl tot'!H70),0),2)</f>
        <v>0</v>
      </c>
      <c r="R70" s="181">
        <f>IF(AND(F70&gt;0,F70&lt;17),tabellen!$C$41*'wgl tot'!H70,0)</f>
        <v>0</v>
      </c>
      <c r="S70" s="181">
        <f>VLOOKUP(BH70,eindejaarsuitkering_OOP,2,TRUE)*'wgl tot'!H70/12</f>
        <v>0</v>
      </c>
      <c r="T70" s="181">
        <f>ROUND(H70*tabellen!$D$57,2)</f>
        <v>0</v>
      </c>
      <c r="U70" s="181">
        <f>ROUND(H70*tabellen!C$45,2)</f>
        <v>0</v>
      </c>
      <c r="V70" s="181">
        <f>H70*(IF(F70="L10",42%*VLOOKUP(tabellen!L$45,saltab2018sept,G70+1,FALSE),IF(F70="L11",42%*VLOOKUP(tabellen!L$46,saltab2018sept,G70+1,FALSE),IF(F70="L12",42%*VLOOKUP(tabellen!L$47,saltab2018sept,G70+1,FALSE),IF(F70="L13",42%*VLOOKUP(tabellen!L$48,saltab2018sept,G70+1,FALSE),0)))))</f>
        <v>0</v>
      </c>
      <c r="W70" s="182">
        <f t="shared" si="9"/>
        <v>0</v>
      </c>
      <c r="X70" s="181">
        <f>('wgl tot'!L70+'wgl tot'!P70)*tabellen!$C$43*12</f>
        <v>0</v>
      </c>
      <c r="Y70" s="163">
        <f t="shared" si="10"/>
        <v>0</v>
      </c>
      <c r="Z70" s="151"/>
      <c r="AA70" s="182">
        <f t="shared" si="18"/>
        <v>0</v>
      </c>
      <c r="AB70" s="217">
        <f>+'wgl tot'!X70/12</f>
        <v>0</v>
      </c>
      <c r="AC70" s="151"/>
      <c r="AD70" s="181">
        <f>IF(F70="",0,(IF('wgl tot'!W70/'wgl tot'!H70&lt;tabellen!$E$6,0,('wgl tot'!W70-tabellen!$E$6*'wgl tot'!H70)/12)*tabellen!$C$6))</f>
        <v>0</v>
      </c>
      <c r="AE70" s="181">
        <f>IF(F70="",0,(IF('wgl tot'!W70/'wgl tot'!H70&lt;tabellen!$E$7,0,(+'wgl tot'!W70-tabellen!$E$7*'wgl tot'!H70)/12)*tabellen!$C$7))</f>
        <v>0</v>
      </c>
      <c r="AF70" s="181">
        <f>'wgl tot'!W70/12*tabellen!$C$8</f>
        <v>0</v>
      </c>
      <c r="AG70" s="181">
        <f>IF(H70=0,0,IF(BN70&gt;tabellen!$G$9/12,tabellen!$G$9/12,BN70)*(tabellen!$C$9+tabellen!$C$10))</f>
        <v>0</v>
      </c>
      <c r="AH70" s="181">
        <f>IF(F70="",0,('wgl tot'!BO70))</f>
        <v>0</v>
      </c>
      <c r="AI70" s="183">
        <f>IF(F70="",0,(IF('wgl tot'!BN70&gt;tabellen!$G$12*'wgl tot'!H70/12,tabellen!$G$12*'wgl tot'!H70/12,'wgl tot'!BN70)*tabellen!$C$12))</f>
        <v>0</v>
      </c>
      <c r="AJ70" s="151"/>
      <c r="AK70" s="183">
        <f>IF(F70="",0,('wgl tot'!BN70*IF(J70=1,tabellen!$C$13,IF(J70=2,tabellen!$C$14,IF(J70=3,tabellen!$C$15,IF(J70=5,tabellen!$C$17,IF(J70=6,tabellen!$C$18,IF(J70=7,tabellen!$C$19,IF(J70=8,tabellen!$C$20,tabellen!$C$16)))))))))</f>
        <v>0</v>
      </c>
      <c r="AL70" s="183">
        <f>IF(F70="",0,('wgl tot'!BN70*tabellen!$C$21))</f>
        <v>0</v>
      </c>
      <c r="AM70" s="237">
        <v>0</v>
      </c>
      <c r="AN70" s="151"/>
      <c r="AO70" s="237">
        <v>0</v>
      </c>
      <c r="AP70" s="151"/>
      <c r="AQ70" s="163">
        <f t="shared" si="19"/>
        <v>0</v>
      </c>
      <c r="AR70" s="163">
        <f t="shared" si="30"/>
        <v>0</v>
      </c>
      <c r="AS70" s="151"/>
      <c r="AT70" s="187" t="str">
        <f t="shared" si="23"/>
        <v/>
      </c>
      <c r="AU70" s="187" t="str">
        <f t="shared" si="24"/>
        <v/>
      </c>
      <c r="AV70" s="151"/>
      <c r="AW70" s="129"/>
      <c r="AX70" s="121"/>
      <c r="AY70" s="121"/>
      <c r="AZ70" s="165">
        <f ca="1">YEAR('wgl tot'!$AZ$9)-YEAR('wgl tot'!E70)</f>
        <v>119</v>
      </c>
      <c r="BA70" s="165">
        <f ca="1">MONTH('wgl tot'!$AZ$9)-MONTH('wgl tot'!E70)</f>
        <v>8</v>
      </c>
      <c r="BB70" s="165">
        <f ca="1">DAY('wgl tot'!$AZ$9)-DAY('wgl tot'!E70)</f>
        <v>14</v>
      </c>
      <c r="BC70" s="130">
        <f>IF(AND('wgl tot'!F70&gt;0,'wgl tot'!F70&lt;17),0,100)</f>
        <v>100</v>
      </c>
      <c r="BD70" s="130">
        <f t="shared" si="25"/>
        <v>0</v>
      </c>
      <c r="BE70" s="148">
        <v>42583</v>
      </c>
      <c r="BF70" s="166">
        <f t="shared" si="17"/>
        <v>0.08</v>
      </c>
      <c r="BG70" s="167">
        <f>+tabellen!$D$51</f>
        <v>6.3E-2</v>
      </c>
      <c r="BH70" s="165">
        <f>IF('wgl tot'!BC70=100,0,'wgl tot'!F70)</f>
        <v>0</v>
      </c>
      <c r="BI70" s="167" t="str">
        <f>IF(OR('wgl tot'!F70="DA",'wgl tot'!F70="DB",'wgl tot'!F70="DBuit",'wgl tot'!F70="DC",'wgl tot'!F70="DCuit",MID('wgl tot'!F70,1,5)="meerh"),"j","n")</f>
        <v>n</v>
      </c>
      <c r="BJ70" s="169" t="e">
        <f>IF('wgl tot'!W70/'wgl tot'!H70&lt;tabellen!$E$6,0,(+'wgl tot'!W70-tabellen!$E$6*'wgl tot'!H70)/12*tabellen!$D$6)</f>
        <v>#DIV/0!</v>
      </c>
      <c r="BK70" s="169" t="e">
        <f>IF('wgl tot'!W70/'wgl tot'!H70&lt;tabellen!$E$7,0,(+'wgl tot'!W70-tabellen!$E$7*'wgl tot'!H70)/12*tabellen!$D$7)</f>
        <v>#DIV/0!</v>
      </c>
      <c r="BL70" s="169">
        <f>'wgl tot'!W70/12*tabellen!$D$8</f>
        <v>0</v>
      </c>
      <c r="BM70" s="170" t="e">
        <f t="shared" si="31"/>
        <v>#DIV/0!</v>
      </c>
      <c r="BN70" s="171" t="e">
        <f>+Y70/12-'wgl tot'!BM70</f>
        <v>#DIV/0!</v>
      </c>
      <c r="BO70" s="171" t="e">
        <f>ROUND(IF('wgl tot'!BN70&gt;tabellen!$H$11,tabellen!$H$11,'wgl tot'!BN70)*tabellen!$C$11,2)</f>
        <v>#DIV/0!</v>
      </c>
      <c r="BP70" s="171" t="e">
        <f>+'wgl tot'!BN70+'wgl tot'!BO70</f>
        <v>#DIV/0!</v>
      </c>
      <c r="BQ70" s="172">
        <f t="shared" si="26"/>
        <v>1900</v>
      </c>
      <c r="BR70" s="172">
        <f t="shared" si="27"/>
        <v>1</v>
      </c>
      <c r="BS70" s="165">
        <f t="shared" si="28"/>
        <v>0</v>
      </c>
      <c r="BT70" s="148">
        <f t="shared" si="32"/>
        <v>22462</v>
      </c>
      <c r="BU70" s="148">
        <f t="shared" ca="1" si="16"/>
        <v>43722.739781944445</v>
      </c>
      <c r="BV70" s="130"/>
      <c r="BW70" s="148"/>
      <c r="BX70" s="130"/>
      <c r="BY70" s="168"/>
      <c r="BZ70" s="168"/>
      <c r="CA70" s="168"/>
      <c r="CB70" s="168"/>
      <c r="CC70" s="168"/>
      <c r="CD70" s="168"/>
      <c r="CE70" s="121"/>
      <c r="CF70" s="121"/>
    </row>
    <row r="71" spans="1:84" s="132" customFormat="1" ht="12" customHeight="1" x14ac:dyDescent="0.2">
      <c r="A71" s="121"/>
      <c r="B71" s="122"/>
      <c r="C71" s="151"/>
      <c r="D71" s="157"/>
      <c r="E71" s="158"/>
      <c r="F71" s="159"/>
      <c r="G71" s="159"/>
      <c r="H71" s="160"/>
      <c r="I71" s="159"/>
      <c r="J71" s="161"/>
      <c r="K71" s="181">
        <f>IF(F71="",0,(VLOOKUP('wgl tot'!F71,saltab2019,'wgl tot'!G71+1,FALSE)))</f>
        <v>0</v>
      </c>
      <c r="L71" s="163">
        <f t="shared" ref="L71:L86" si="33">K71*H71</f>
        <v>0</v>
      </c>
      <c r="M71" s="151"/>
      <c r="N71" s="181">
        <f>ROUND(IF(('wgl tot'!L71+'wgl tot'!P71)*BF71&lt;'wgl tot'!H71*tabellen!$D$50,'wgl tot'!H71*tabellen!$D$50,('wgl tot'!L71+'wgl tot'!P71)*BF71),2)</f>
        <v>0</v>
      </c>
      <c r="O71" s="181">
        <f>ROUND(+('wgl tot'!L71+'wgl tot'!P71)*BG71,2)</f>
        <v>0</v>
      </c>
      <c r="P71" s="181">
        <f>ROUND(IF(I71="j",VLOOKUP(BD71,uitlooptoeslag,2,FALSE))*IF('wgl tot'!H71&gt;1,1,'wgl tot'!H71),2)</f>
        <v>0</v>
      </c>
      <c r="Q71" s="181">
        <f>ROUND(IF(BI71="j",tabellen!$D$59*IF('wgl tot'!H71&gt;1,1,'wgl tot'!H71),0),2)</f>
        <v>0</v>
      </c>
      <c r="R71" s="181">
        <f>IF(AND(F71&gt;0,F71&lt;17),tabellen!$C$41*'wgl tot'!H71,0)</f>
        <v>0</v>
      </c>
      <c r="S71" s="181">
        <f>VLOOKUP(BH71,eindejaarsuitkering_OOP,2,TRUE)*'wgl tot'!H71/12</f>
        <v>0</v>
      </c>
      <c r="T71" s="181">
        <f>ROUND(H71*tabellen!$D$57,2)</f>
        <v>0</v>
      </c>
      <c r="U71" s="181">
        <f>ROUND(H71*tabellen!C$45,2)</f>
        <v>0</v>
      </c>
      <c r="V71" s="181">
        <f>H71*(IF(F71="L10",42%*VLOOKUP(tabellen!L$45,saltab2018sept,G71+1,FALSE),IF(F71="L11",42%*VLOOKUP(tabellen!L$46,saltab2018sept,G71+1,FALSE),IF(F71="L12",42%*VLOOKUP(tabellen!L$47,saltab2018sept,G71+1,FALSE),IF(F71="L13",42%*VLOOKUP(tabellen!L$48,saltab2018sept,G71+1,FALSE),0)))))</f>
        <v>0</v>
      </c>
      <c r="W71" s="182">
        <f t="shared" si="9"/>
        <v>0</v>
      </c>
      <c r="X71" s="181">
        <f>('wgl tot'!L71+'wgl tot'!P71)*tabellen!$C$43*12</f>
        <v>0</v>
      </c>
      <c r="Y71" s="163">
        <f t="shared" si="10"/>
        <v>0</v>
      </c>
      <c r="Z71" s="151"/>
      <c r="AA71" s="182">
        <f t="shared" si="18"/>
        <v>0</v>
      </c>
      <c r="AB71" s="217">
        <f>+'wgl tot'!X71/12</f>
        <v>0</v>
      </c>
      <c r="AC71" s="151"/>
      <c r="AD71" s="181">
        <f>IF(F71="",0,(IF('wgl tot'!W71/'wgl tot'!H71&lt;tabellen!$E$6,0,('wgl tot'!W71-tabellen!$E$6*'wgl tot'!H71)/12)*tabellen!$C$6))</f>
        <v>0</v>
      </c>
      <c r="AE71" s="181">
        <f>IF(F71="",0,(IF('wgl tot'!W71/'wgl tot'!H71&lt;tabellen!$E$7,0,(+'wgl tot'!W71-tabellen!$E$7*'wgl tot'!H71)/12)*tabellen!$C$7))</f>
        <v>0</v>
      </c>
      <c r="AF71" s="181">
        <f>'wgl tot'!W71/12*tabellen!$C$8</f>
        <v>0</v>
      </c>
      <c r="AG71" s="181">
        <f>IF(H71=0,0,IF(BN71&gt;tabellen!$G$9/12,tabellen!$G$9/12,BN71)*(tabellen!$C$9+tabellen!$C$10))</f>
        <v>0</v>
      </c>
      <c r="AH71" s="181">
        <f>IF(F71="",0,('wgl tot'!BO71))</f>
        <v>0</v>
      </c>
      <c r="AI71" s="183">
        <f>IF(F71="",0,(IF('wgl tot'!BN71&gt;tabellen!$G$12*'wgl tot'!H71/12,tabellen!$G$12*'wgl tot'!H71/12,'wgl tot'!BN71)*tabellen!$C$12))</f>
        <v>0</v>
      </c>
      <c r="AJ71" s="151"/>
      <c r="AK71" s="183">
        <f>IF(F71="",0,('wgl tot'!BN71*IF(J71=1,tabellen!$C$13,IF(J71=2,tabellen!$C$14,IF(J71=3,tabellen!$C$15,IF(J71=5,tabellen!$C$17,IF(J71=6,tabellen!$C$18,IF(J71=7,tabellen!$C$19,IF(J71=8,tabellen!$C$20,tabellen!$C$16)))))))))</f>
        <v>0</v>
      </c>
      <c r="AL71" s="183">
        <f>IF(F71="",0,('wgl tot'!BN71*tabellen!$C$21))</f>
        <v>0</v>
      </c>
      <c r="AM71" s="237">
        <v>0</v>
      </c>
      <c r="AN71" s="151"/>
      <c r="AO71" s="237">
        <v>0</v>
      </c>
      <c r="AP71" s="151"/>
      <c r="AQ71" s="163">
        <f t="shared" si="19"/>
        <v>0</v>
      </c>
      <c r="AR71" s="163">
        <f t="shared" si="20"/>
        <v>0</v>
      </c>
      <c r="AS71" s="151"/>
      <c r="AT71" s="187" t="str">
        <f t="shared" si="23"/>
        <v/>
      </c>
      <c r="AU71" s="187" t="str">
        <f t="shared" si="24"/>
        <v/>
      </c>
      <c r="AV71" s="151"/>
      <c r="AW71" s="129"/>
      <c r="AX71" s="121"/>
      <c r="AY71" s="121"/>
      <c r="AZ71" s="165">
        <f ca="1">YEAR('wgl tot'!$AZ$9)-YEAR('wgl tot'!E71)</f>
        <v>119</v>
      </c>
      <c r="BA71" s="165">
        <f ca="1">MONTH('wgl tot'!$AZ$9)-MONTH('wgl tot'!E71)</f>
        <v>8</v>
      </c>
      <c r="BB71" s="165">
        <f ca="1">DAY('wgl tot'!$AZ$9)-DAY('wgl tot'!E71)</f>
        <v>14</v>
      </c>
      <c r="BC71" s="130">
        <f>IF(AND('wgl tot'!F71&gt;0,'wgl tot'!F71&lt;17),0,100)</f>
        <v>100</v>
      </c>
      <c r="BD71" s="130">
        <f t="shared" si="25"/>
        <v>0</v>
      </c>
      <c r="BE71" s="148">
        <v>42583</v>
      </c>
      <c r="BF71" s="166">
        <f t="shared" si="17"/>
        <v>0.08</v>
      </c>
      <c r="BG71" s="167">
        <f>+tabellen!$D$51</f>
        <v>6.3E-2</v>
      </c>
      <c r="BH71" s="165">
        <f>IF('wgl tot'!BC71=100,0,'wgl tot'!F71)</f>
        <v>0</v>
      </c>
      <c r="BI71" s="167" t="str">
        <f>IF(OR('wgl tot'!F71="DA",'wgl tot'!F71="DB",'wgl tot'!F71="DBuit",'wgl tot'!F71="DC",'wgl tot'!F71="DCuit",MID('wgl tot'!F71,1,5)="meerh"),"j","n")</f>
        <v>n</v>
      </c>
      <c r="BJ71" s="169" t="e">
        <f>IF('wgl tot'!W71/'wgl tot'!H71&lt;tabellen!$E$6,0,(+'wgl tot'!W71-tabellen!$E$6*'wgl tot'!H71)/12*tabellen!$D$6)</f>
        <v>#DIV/0!</v>
      </c>
      <c r="BK71" s="169" t="e">
        <f>IF('wgl tot'!W71/'wgl tot'!H71&lt;tabellen!$E$7,0,(+'wgl tot'!W71-tabellen!$E$7*'wgl tot'!H71)/12*tabellen!$D$7)</f>
        <v>#DIV/0!</v>
      </c>
      <c r="BL71" s="169">
        <f>'wgl tot'!W71/12*tabellen!$D$8</f>
        <v>0</v>
      </c>
      <c r="BM71" s="170" t="e">
        <f t="shared" si="22"/>
        <v>#DIV/0!</v>
      </c>
      <c r="BN71" s="171" t="e">
        <f>+Y71/12-'wgl tot'!BM71</f>
        <v>#DIV/0!</v>
      </c>
      <c r="BO71" s="171" t="e">
        <f>ROUND(IF('wgl tot'!BN71&gt;tabellen!$H$11,tabellen!$H$11,'wgl tot'!BN71)*tabellen!$C$11,2)</f>
        <v>#DIV/0!</v>
      </c>
      <c r="BP71" s="171" t="e">
        <f>+'wgl tot'!BN71+'wgl tot'!BO71</f>
        <v>#DIV/0!</v>
      </c>
      <c r="BQ71" s="172">
        <f t="shared" si="26"/>
        <v>1900</v>
      </c>
      <c r="BR71" s="172">
        <f t="shared" si="27"/>
        <v>1</v>
      </c>
      <c r="BS71" s="165">
        <f t="shared" si="28"/>
        <v>0</v>
      </c>
      <c r="BT71" s="148">
        <f t="shared" si="15"/>
        <v>22462</v>
      </c>
      <c r="BU71" s="148">
        <f t="shared" ca="1" si="16"/>
        <v>43722.739781944445</v>
      </c>
      <c r="BV71" s="130"/>
      <c r="BW71" s="148"/>
      <c r="BX71" s="130"/>
      <c r="BY71" s="168"/>
      <c r="BZ71" s="168"/>
      <c r="CA71" s="168"/>
      <c r="CB71" s="168"/>
      <c r="CC71" s="168"/>
      <c r="CD71" s="168"/>
      <c r="CE71" s="121"/>
      <c r="CF71" s="121"/>
    </row>
    <row r="72" spans="1:84" s="132" customFormat="1" ht="12" customHeight="1" x14ac:dyDescent="0.2">
      <c r="A72" s="121"/>
      <c r="B72" s="122"/>
      <c r="C72" s="151"/>
      <c r="D72" s="157"/>
      <c r="E72" s="158"/>
      <c r="F72" s="159"/>
      <c r="G72" s="159"/>
      <c r="H72" s="160"/>
      <c r="I72" s="159"/>
      <c r="J72" s="161"/>
      <c r="K72" s="181">
        <f>IF(F72="",0,(VLOOKUP('wgl tot'!F72,saltab2019,'wgl tot'!G72+1,FALSE)))</f>
        <v>0</v>
      </c>
      <c r="L72" s="163">
        <f t="shared" si="33"/>
        <v>0</v>
      </c>
      <c r="M72" s="151"/>
      <c r="N72" s="181">
        <f>ROUND(IF(('wgl tot'!L72+'wgl tot'!P72)*BF72&lt;'wgl tot'!H72*tabellen!$D$50,'wgl tot'!H72*tabellen!$D$50,('wgl tot'!L72+'wgl tot'!P72)*BF72),2)</f>
        <v>0</v>
      </c>
      <c r="O72" s="181">
        <f>ROUND(+('wgl tot'!L72+'wgl tot'!P72)*BG72,2)</f>
        <v>0</v>
      </c>
      <c r="P72" s="181">
        <f>ROUND(IF(I72="j",VLOOKUP(BD72,uitlooptoeslag,2,FALSE))*IF('wgl tot'!H72&gt;1,1,'wgl tot'!H72),2)</f>
        <v>0</v>
      </c>
      <c r="Q72" s="181">
        <f>ROUND(IF(BI72="j",tabellen!$D$59*IF('wgl tot'!H72&gt;1,1,'wgl tot'!H72),0),2)</f>
        <v>0</v>
      </c>
      <c r="R72" s="181">
        <f>IF(AND(F72&gt;0,F72&lt;17),tabellen!$C$41*'wgl tot'!H72,0)</f>
        <v>0</v>
      </c>
      <c r="S72" s="181">
        <f>VLOOKUP(BH72,eindejaarsuitkering_OOP,2,TRUE)*'wgl tot'!H72/12</f>
        <v>0</v>
      </c>
      <c r="T72" s="181">
        <f>ROUND(H72*tabellen!$D$57,2)</f>
        <v>0</v>
      </c>
      <c r="U72" s="181">
        <f>ROUND(H72*tabellen!C$45,2)</f>
        <v>0</v>
      </c>
      <c r="V72" s="181">
        <f>H72*(IF(F72="L10",42%*VLOOKUP(tabellen!L$45,saltab2018sept,G72+1,FALSE),IF(F72="L11",42%*VLOOKUP(tabellen!L$46,saltab2018sept,G72+1,FALSE),IF(F72="L12",42%*VLOOKUP(tabellen!L$47,saltab2018sept,G72+1,FALSE),IF(F72="L13",42%*VLOOKUP(tabellen!L$48,saltab2018sept,G72+1,FALSE),0)))))</f>
        <v>0</v>
      </c>
      <c r="W72" s="182">
        <f t="shared" si="9"/>
        <v>0</v>
      </c>
      <c r="X72" s="181">
        <f>('wgl tot'!L72+'wgl tot'!P72)*tabellen!$C$43*12</f>
        <v>0</v>
      </c>
      <c r="Y72" s="163">
        <f t="shared" si="10"/>
        <v>0</v>
      </c>
      <c r="Z72" s="151"/>
      <c r="AA72" s="182">
        <f t="shared" si="18"/>
        <v>0</v>
      </c>
      <c r="AB72" s="217">
        <f>+'wgl tot'!X72/12</f>
        <v>0</v>
      </c>
      <c r="AC72" s="151"/>
      <c r="AD72" s="181">
        <f>IF(F72="",0,(IF('wgl tot'!W72/'wgl tot'!H72&lt;tabellen!$E$6,0,('wgl tot'!W72-tabellen!$E$6*'wgl tot'!H72)/12)*tabellen!$C$6))</f>
        <v>0</v>
      </c>
      <c r="AE72" s="181">
        <f>IF(F72="",0,(IF('wgl tot'!W72/'wgl tot'!H72&lt;tabellen!$E$7,0,(+'wgl tot'!W72-tabellen!$E$7*'wgl tot'!H72)/12)*tabellen!$C$7))</f>
        <v>0</v>
      </c>
      <c r="AF72" s="181">
        <f>'wgl tot'!W72/12*tabellen!$C$8</f>
        <v>0</v>
      </c>
      <c r="AG72" s="181">
        <f>IF(H72=0,0,IF(BN72&gt;tabellen!$G$9/12,tabellen!$G$9/12,BN72)*(tabellen!$C$9+tabellen!$C$10))</f>
        <v>0</v>
      </c>
      <c r="AH72" s="181">
        <f>IF(F72="",0,('wgl tot'!BO72))</f>
        <v>0</v>
      </c>
      <c r="AI72" s="183">
        <f>IF(F72="",0,(IF('wgl tot'!BN72&gt;tabellen!$G$12*'wgl tot'!H72/12,tabellen!$G$12*'wgl tot'!H72/12,'wgl tot'!BN72)*tabellen!$C$12))</f>
        <v>0</v>
      </c>
      <c r="AJ72" s="151"/>
      <c r="AK72" s="183">
        <f>IF(F72="",0,('wgl tot'!BN72*IF(J72=1,tabellen!$C$13,IF(J72=2,tabellen!$C$14,IF(J72=3,tabellen!$C$15,IF(J72=5,tabellen!$C$17,IF(J72=6,tabellen!$C$18,IF(J72=7,tabellen!$C$19,IF(J72=8,tabellen!$C$20,tabellen!$C$16)))))))))</f>
        <v>0</v>
      </c>
      <c r="AL72" s="183">
        <f>IF(F72="",0,('wgl tot'!BN72*tabellen!$C$21))</f>
        <v>0</v>
      </c>
      <c r="AM72" s="237">
        <v>0</v>
      </c>
      <c r="AN72" s="151"/>
      <c r="AO72" s="237">
        <v>0</v>
      </c>
      <c r="AP72" s="151"/>
      <c r="AQ72" s="163">
        <f t="shared" si="19"/>
        <v>0</v>
      </c>
      <c r="AR72" s="163">
        <f t="shared" si="20"/>
        <v>0</v>
      </c>
      <c r="AS72" s="151"/>
      <c r="AT72" s="187" t="str">
        <f t="shared" si="23"/>
        <v/>
      </c>
      <c r="AU72" s="187" t="str">
        <f t="shared" si="24"/>
        <v/>
      </c>
      <c r="AV72" s="151"/>
      <c r="AW72" s="129"/>
      <c r="AX72" s="121"/>
      <c r="AY72" s="121"/>
      <c r="AZ72" s="165">
        <f ca="1">YEAR('wgl tot'!$AZ$9)-YEAR('wgl tot'!E72)</f>
        <v>119</v>
      </c>
      <c r="BA72" s="165">
        <f ca="1">MONTH('wgl tot'!$AZ$9)-MONTH('wgl tot'!E72)</f>
        <v>8</v>
      </c>
      <c r="BB72" s="165">
        <f ca="1">DAY('wgl tot'!$AZ$9)-DAY('wgl tot'!E72)</f>
        <v>14</v>
      </c>
      <c r="BC72" s="130">
        <f>IF(AND('wgl tot'!F72&gt;0,'wgl tot'!F72&lt;17),0,100)</f>
        <v>100</v>
      </c>
      <c r="BD72" s="130">
        <f t="shared" si="25"/>
        <v>0</v>
      </c>
      <c r="BE72" s="148">
        <v>42583</v>
      </c>
      <c r="BF72" s="166">
        <f t="shared" si="17"/>
        <v>0.08</v>
      </c>
      <c r="BG72" s="167">
        <f>+tabellen!$D$51</f>
        <v>6.3E-2</v>
      </c>
      <c r="BH72" s="165">
        <f>IF('wgl tot'!BC72=100,0,'wgl tot'!F72)</f>
        <v>0</v>
      </c>
      <c r="BI72" s="167" t="str">
        <f>IF(OR('wgl tot'!F72="DA",'wgl tot'!F72="DB",'wgl tot'!F72="DBuit",'wgl tot'!F72="DC",'wgl tot'!F72="DCuit",MID('wgl tot'!F72,1,5)="meerh"),"j","n")</f>
        <v>n</v>
      </c>
      <c r="BJ72" s="169" t="e">
        <f>IF('wgl tot'!W72/'wgl tot'!H72&lt;tabellen!$E$6,0,(+'wgl tot'!W72-tabellen!$E$6*'wgl tot'!H72)/12*tabellen!$D$6)</f>
        <v>#DIV/0!</v>
      </c>
      <c r="BK72" s="169" t="e">
        <f>IF('wgl tot'!W72/'wgl tot'!H72&lt;tabellen!$E$7,0,(+'wgl tot'!W72-tabellen!$E$7*'wgl tot'!H72)/12*tabellen!$D$7)</f>
        <v>#DIV/0!</v>
      </c>
      <c r="BL72" s="169">
        <f>'wgl tot'!W72/12*tabellen!$D$8</f>
        <v>0</v>
      </c>
      <c r="BM72" s="170" t="e">
        <f t="shared" si="22"/>
        <v>#DIV/0!</v>
      </c>
      <c r="BN72" s="171" t="e">
        <f>+Y72/12-'wgl tot'!BM72</f>
        <v>#DIV/0!</v>
      </c>
      <c r="BO72" s="171" t="e">
        <f>ROUND(IF('wgl tot'!BN72&gt;tabellen!$H$11,tabellen!$H$11,'wgl tot'!BN72)*tabellen!$C$11,2)</f>
        <v>#DIV/0!</v>
      </c>
      <c r="BP72" s="171" t="e">
        <f>+'wgl tot'!BN72+'wgl tot'!BO72</f>
        <v>#DIV/0!</v>
      </c>
      <c r="BQ72" s="172">
        <f t="shared" si="26"/>
        <v>1900</v>
      </c>
      <c r="BR72" s="172">
        <f t="shared" si="27"/>
        <v>1</v>
      </c>
      <c r="BS72" s="165">
        <f t="shared" si="28"/>
        <v>0</v>
      </c>
      <c r="BT72" s="148">
        <f t="shared" si="15"/>
        <v>22462</v>
      </c>
      <c r="BU72" s="148">
        <f t="shared" ca="1" si="16"/>
        <v>43722.739781944445</v>
      </c>
      <c r="BV72" s="130"/>
      <c r="BW72" s="148"/>
      <c r="BX72" s="130"/>
      <c r="BY72" s="168"/>
      <c r="BZ72" s="168"/>
      <c r="CA72" s="168"/>
      <c r="CB72" s="168"/>
      <c r="CC72" s="168"/>
      <c r="CD72" s="168"/>
      <c r="CE72" s="121"/>
      <c r="CF72" s="121"/>
    </row>
    <row r="73" spans="1:84" s="132" customFormat="1" ht="12" customHeight="1" x14ac:dyDescent="0.2">
      <c r="A73" s="121"/>
      <c r="B73" s="122"/>
      <c r="C73" s="151"/>
      <c r="D73" s="157"/>
      <c r="E73" s="158"/>
      <c r="F73" s="159"/>
      <c r="G73" s="159"/>
      <c r="H73" s="160"/>
      <c r="I73" s="159"/>
      <c r="J73" s="161"/>
      <c r="K73" s="181">
        <f>IF(F73="",0,(VLOOKUP('wgl tot'!F73,saltab2019,'wgl tot'!G73+1,FALSE)))</f>
        <v>0</v>
      </c>
      <c r="L73" s="163">
        <f t="shared" si="33"/>
        <v>0</v>
      </c>
      <c r="M73" s="151"/>
      <c r="N73" s="181">
        <f>ROUND(IF(('wgl tot'!L73+'wgl tot'!P73)*BF73&lt;'wgl tot'!H73*tabellen!$D$50,'wgl tot'!H73*tabellen!$D$50,('wgl tot'!L73+'wgl tot'!P73)*BF73),2)</f>
        <v>0</v>
      </c>
      <c r="O73" s="181">
        <f>ROUND(+('wgl tot'!L73+'wgl tot'!P73)*BG73,2)</f>
        <v>0</v>
      </c>
      <c r="P73" s="181">
        <f>ROUND(IF(I73="j",VLOOKUP(BD73,uitlooptoeslag,2,FALSE))*IF('wgl tot'!H73&gt;1,1,'wgl tot'!H73),2)</f>
        <v>0</v>
      </c>
      <c r="Q73" s="181">
        <f>ROUND(IF(BI73="j",tabellen!$D$59*IF('wgl tot'!H73&gt;1,1,'wgl tot'!H73),0),2)</f>
        <v>0</v>
      </c>
      <c r="R73" s="181">
        <f>IF(AND(F73&gt;0,F73&lt;17),tabellen!$C$41*'wgl tot'!H73,0)</f>
        <v>0</v>
      </c>
      <c r="S73" s="181">
        <f>VLOOKUP(BH73,eindejaarsuitkering_OOP,2,TRUE)*'wgl tot'!H73/12</f>
        <v>0</v>
      </c>
      <c r="T73" s="181">
        <f>ROUND(H73*tabellen!$D$57,2)</f>
        <v>0</v>
      </c>
      <c r="U73" s="181">
        <f>ROUND(H73*tabellen!C$45,2)</f>
        <v>0</v>
      </c>
      <c r="V73" s="181">
        <f>H73*(IF(F73="L10",42%*VLOOKUP(tabellen!L$45,saltab2018sept,G73+1,FALSE),IF(F73="L11",42%*VLOOKUP(tabellen!L$46,saltab2018sept,G73+1,FALSE),IF(F73="L12",42%*VLOOKUP(tabellen!L$47,saltab2018sept,G73+1,FALSE),IF(F73="L13",42%*VLOOKUP(tabellen!L$48,saltab2018sept,G73+1,FALSE),0)))))</f>
        <v>0</v>
      </c>
      <c r="W73" s="182">
        <f t="shared" si="9"/>
        <v>0</v>
      </c>
      <c r="X73" s="181">
        <f>('wgl tot'!L73+'wgl tot'!P73)*tabellen!$C$43*12</f>
        <v>0</v>
      </c>
      <c r="Y73" s="163">
        <f t="shared" si="10"/>
        <v>0</v>
      </c>
      <c r="Z73" s="151"/>
      <c r="AA73" s="182">
        <f t="shared" si="18"/>
        <v>0</v>
      </c>
      <c r="AB73" s="217">
        <f>+'wgl tot'!X73/12</f>
        <v>0</v>
      </c>
      <c r="AC73" s="151"/>
      <c r="AD73" s="181">
        <f>IF(F73="",0,(IF('wgl tot'!W73/'wgl tot'!H73&lt;tabellen!$E$6,0,('wgl tot'!W73-tabellen!$E$6*'wgl tot'!H73)/12)*tabellen!$C$6))</f>
        <v>0</v>
      </c>
      <c r="AE73" s="181">
        <f>IF(F73="",0,(IF('wgl tot'!W73/'wgl tot'!H73&lt;tabellen!$E$7,0,(+'wgl tot'!W73-tabellen!$E$7*'wgl tot'!H73)/12)*tabellen!$C$7))</f>
        <v>0</v>
      </c>
      <c r="AF73" s="181">
        <f>'wgl tot'!W73/12*tabellen!$C$8</f>
        <v>0</v>
      </c>
      <c r="AG73" s="181">
        <f>IF(H73=0,0,IF(BN73&gt;tabellen!$G$9/12,tabellen!$G$9/12,BN73)*(tabellen!$C$9+tabellen!$C$10))</f>
        <v>0</v>
      </c>
      <c r="AH73" s="181">
        <f>IF(F73="",0,('wgl tot'!BO73))</f>
        <v>0</v>
      </c>
      <c r="AI73" s="183">
        <f>IF(F73="",0,(IF('wgl tot'!BN73&gt;tabellen!$G$12*'wgl tot'!H73/12,tabellen!$G$12*'wgl tot'!H73/12,'wgl tot'!BN73)*tabellen!$C$12))</f>
        <v>0</v>
      </c>
      <c r="AJ73" s="151"/>
      <c r="AK73" s="183">
        <f>IF(F73="",0,('wgl tot'!BN73*IF(J73=1,tabellen!$C$13,IF(J73=2,tabellen!$C$14,IF(J73=3,tabellen!$C$15,IF(J73=5,tabellen!$C$17,IF(J73=6,tabellen!$C$18,IF(J73=7,tabellen!$C$19,IF(J73=8,tabellen!$C$20,tabellen!$C$16)))))))))</f>
        <v>0</v>
      </c>
      <c r="AL73" s="183">
        <f>IF(F73="",0,('wgl tot'!BN73*tabellen!$C$21))</f>
        <v>0</v>
      </c>
      <c r="AM73" s="237">
        <v>0</v>
      </c>
      <c r="AN73" s="151"/>
      <c r="AO73" s="237">
        <v>0</v>
      </c>
      <c r="AP73" s="151"/>
      <c r="AQ73" s="163">
        <f t="shared" si="19"/>
        <v>0</v>
      </c>
      <c r="AR73" s="163">
        <f t="shared" si="20"/>
        <v>0</v>
      </c>
      <c r="AS73" s="151"/>
      <c r="AT73" s="187" t="str">
        <f t="shared" si="23"/>
        <v/>
      </c>
      <c r="AU73" s="187" t="str">
        <f t="shared" si="24"/>
        <v/>
      </c>
      <c r="AV73" s="151"/>
      <c r="AW73" s="129"/>
      <c r="AX73" s="121"/>
      <c r="AY73" s="121"/>
      <c r="AZ73" s="165">
        <f ca="1">YEAR('wgl tot'!$AZ$9)-YEAR('wgl tot'!E73)</f>
        <v>119</v>
      </c>
      <c r="BA73" s="165">
        <f ca="1">MONTH('wgl tot'!$AZ$9)-MONTH('wgl tot'!E73)</f>
        <v>8</v>
      </c>
      <c r="BB73" s="165">
        <f ca="1">DAY('wgl tot'!$AZ$9)-DAY('wgl tot'!E73)</f>
        <v>14</v>
      </c>
      <c r="BC73" s="130">
        <f>IF(AND('wgl tot'!F73&gt;0,'wgl tot'!F73&lt;17),0,100)</f>
        <v>100</v>
      </c>
      <c r="BD73" s="130">
        <f t="shared" si="25"/>
        <v>0</v>
      </c>
      <c r="BE73" s="148">
        <v>42583</v>
      </c>
      <c r="BF73" s="166">
        <f t="shared" si="17"/>
        <v>0.08</v>
      </c>
      <c r="BG73" s="167">
        <f>+tabellen!$D$51</f>
        <v>6.3E-2</v>
      </c>
      <c r="BH73" s="165">
        <f>IF('wgl tot'!BC73=100,0,'wgl tot'!F73)</f>
        <v>0</v>
      </c>
      <c r="BI73" s="167" t="str">
        <f>IF(OR('wgl tot'!F73="DA",'wgl tot'!F73="DB",'wgl tot'!F73="DBuit",'wgl tot'!F73="DC",'wgl tot'!F73="DCuit",MID('wgl tot'!F73,1,5)="meerh"),"j","n")</f>
        <v>n</v>
      </c>
      <c r="BJ73" s="169" t="e">
        <f>IF('wgl tot'!W73/'wgl tot'!H73&lt;tabellen!$E$6,0,(+'wgl tot'!W73-tabellen!$E$6*'wgl tot'!H73)/12*tabellen!$D$6)</f>
        <v>#DIV/0!</v>
      </c>
      <c r="BK73" s="169" t="e">
        <f>IF('wgl tot'!W73/'wgl tot'!H73&lt;tabellen!$E$7,0,(+'wgl tot'!W73-tabellen!$E$7*'wgl tot'!H73)/12*tabellen!$D$7)</f>
        <v>#DIV/0!</v>
      </c>
      <c r="BL73" s="169">
        <f>'wgl tot'!W73/12*tabellen!$D$8</f>
        <v>0</v>
      </c>
      <c r="BM73" s="170" t="e">
        <f t="shared" si="22"/>
        <v>#DIV/0!</v>
      </c>
      <c r="BN73" s="171" t="e">
        <f>+Y73/12-'wgl tot'!BM73</f>
        <v>#DIV/0!</v>
      </c>
      <c r="BO73" s="171" t="e">
        <f>ROUND(IF('wgl tot'!BN73&gt;tabellen!$H$11,tabellen!$H$11,'wgl tot'!BN73)*tabellen!$C$11,2)</f>
        <v>#DIV/0!</v>
      </c>
      <c r="BP73" s="171" t="e">
        <f>+'wgl tot'!BN73+'wgl tot'!BO73</f>
        <v>#DIV/0!</v>
      </c>
      <c r="BQ73" s="172">
        <f t="shared" si="26"/>
        <v>1900</v>
      </c>
      <c r="BR73" s="172">
        <f t="shared" si="27"/>
        <v>1</v>
      </c>
      <c r="BS73" s="165">
        <f t="shared" si="28"/>
        <v>0</v>
      </c>
      <c r="BT73" s="148">
        <f t="shared" si="15"/>
        <v>22462</v>
      </c>
      <c r="BU73" s="148">
        <f t="shared" ca="1" si="16"/>
        <v>43722.739781944445</v>
      </c>
      <c r="BV73" s="130"/>
      <c r="BW73" s="148"/>
      <c r="BX73" s="130"/>
      <c r="BY73" s="168"/>
      <c r="BZ73" s="168"/>
      <c r="CA73" s="168"/>
      <c r="CB73" s="168"/>
      <c r="CC73" s="168"/>
      <c r="CD73" s="168"/>
      <c r="CE73" s="121"/>
      <c r="CF73" s="121"/>
    </row>
    <row r="74" spans="1:84" s="132" customFormat="1" ht="12" customHeight="1" x14ac:dyDescent="0.2">
      <c r="A74" s="121"/>
      <c r="B74" s="122"/>
      <c r="C74" s="151"/>
      <c r="D74" s="157"/>
      <c r="E74" s="158"/>
      <c r="F74" s="159"/>
      <c r="G74" s="159"/>
      <c r="H74" s="160"/>
      <c r="I74" s="159"/>
      <c r="J74" s="161"/>
      <c r="K74" s="181">
        <f>IF(F74="",0,(VLOOKUP('wgl tot'!F74,saltab2019,'wgl tot'!G74+1,FALSE)))</f>
        <v>0</v>
      </c>
      <c r="L74" s="163">
        <f t="shared" si="33"/>
        <v>0</v>
      </c>
      <c r="M74" s="151"/>
      <c r="N74" s="181">
        <f>ROUND(IF(('wgl tot'!L74+'wgl tot'!P74)*BF74&lt;'wgl tot'!H74*tabellen!$D$50,'wgl tot'!H74*tabellen!$D$50,('wgl tot'!L74+'wgl tot'!P74)*BF74),2)</f>
        <v>0</v>
      </c>
      <c r="O74" s="181">
        <f>ROUND(+('wgl tot'!L74+'wgl tot'!P74)*BG74,2)</f>
        <v>0</v>
      </c>
      <c r="P74" s="181">
        <f>ROUND(IF(I74="j",VLOOKUP(BD74,uitlooptoeslag,2,FALSE))*IF('wgl tot'!H74&gt;1,1,'wgl tot'!H74),2)</f>
        <v>0</v>
      </c>
      <c r="Q74" s="181">
        <f>ROUND(IF(BI74="j",tabellen!$D$59*IF('wgl tot'!H74&gt;1,1,'wgl tot'!H74),0),2)</f>
        <v>0</v>
      </c>
      <c r="R74" s="181">
        <f>IF(AND(F74&gt;0,F74&lt;17),tabellen!$C$41*'wgl tot'!H74,0)</f>
        <v>0</v>
      </c>
      <c r="S74" s="181">
        <f>VLOOKUP(BH74,eindejaarsuitkering_OOP,2,TRUE)*'wgl tot'!H74/12</f>
        <v>0</v>
      </c>
      <c r="T74" s="181">
        <f>ROUND(H74*tabellen!$D$57,2)</f>
        <v>0</v>
      </c>
      <c r="U74" s="181">
        <f>ROUND(H74*tabellen!C$45,2)</f>
        <v>0</v>
      </c>
      <c r="V74" s="181">
        <f>H74*(IF(F74="L10",42%*VLOOKUP(tabellen!L$45,saltab2018sept,G74+1,FALSE),IF(F74="L11",42%*VLOOKUP(tabellen!L$46,saltab2018sept,G74+1,FALSE),IF(F74="L12",42%*VLOOKUP(tabellen!L$47,saltab2018sept,G74+1,FALSE),IF(F74="L13",42%*VLOOKUP(tabellen!L$48,saltab2018sept,G74+1,FALSE),0)))))</f>
        <v>0</v>
      </c>
      <c r="W74" s="182">
        <f t="shared" si="9"/>
        <v>0</v>
      </c>
      <c r="X74" s="181">
        <f>('wgl tot'!L74+'wgl tot'!P74)*tabellen!$C$43*12</f>
        <v>0</v>
      </c>
      <c r="Y74" s="163">
        <f t="shared" si="10"/>
        <v>0</v>
      </c>
      <c r="Z74" s="151"/>
      <c r="AA74" s="182">
        <f t="shared" si="18"/>
        <v>0</v>
      </c>
      <c r="AB74" s="217">
        <f>+'wgl tot'!X74/12</f>
        <v>0</v>
      </c>
      <c r="AC74" s="151"/>
      <c r="AD74" s="181">
        <f>IF(F74="",0,(IF('wgl tot'!W74/'wgl tot'!H74&lt;tabellen!$E$6,0,('wgl tot'!W74-tabellen!$E$6*'wgl tot'!H74)/12)*tabellen!$C$6))</f>
        <v>0</v>
      </c>
      <c r="AE74" s="181">
        <f>IF(F74="",0,(IF('wgl tot'!W74/'wgl tot'!H74&lt;tabellen!$E$7,0,(+'wgl tot'!W74-tabellen!$E$7*'wgl tot'!H74)/12)*tabellen!$C$7))</f>
        <v>0</v>
      </c>
      <c r="AF74" s="181">
        <f>'wgl tot'!W74/12*tabellen!$C$8</f>
        <v>0</v>
      </c>
      <c r="AG74" s="181">
        <f>IF(H74=0,0,IF(BN74&gt;tabellen!$G$9/12,tabellen!$G$9/12,BN74)*(tabellen!$C$9+tabellen!$C$10))</f>
        <v>0</v>
      </c>
      <c r="AH74" s="181">
        <f>IF(F74="",0,('wgl tot'!BO74))</f>
        <v>0</v>
      </c>
      <c r="AI74" s="183">
        <f>IF(F74="",0,(IF('wgl tot'!BN74&gt;tabellen!$G$12*'wgl tot'!H74/12,tabellen!$G$12*'wgl tot'!H74/12,'wgl tot'!BN74)*tabellen!$C$12))</f>
        <v>0</v>
      </c>
      <c r="AJ74" s="151"/>
      <c r="AK74" s="183">
        <f>IF(F74="",0,('wgl tot'!BN74*IF(J74=1,tabellen!$C$13,IF(J74=2,tabellen!$C$14,IF(J74=3,tabellen!$C$15,IF(J74=5,tabellen!$C$17,IF(J74=6,tabellen!$C$18,IF(J74=7,tabellen!$C$19,IF(J74=8,tabellen!$C$20,tabellen!$C$16)))))))))</f>
        <v>0</v>
      </c>
      <c r="AL74" s="183">
        <f>IF(F74="",0,('wgl tot'!BN74*tabellen!$C$21))</f>
        <v>0</v>
      </c>
      <c r="AM74" s="237">
        <v>0</v>
      </c>
      <c r="AN74" s="151"/>
      <c r="AO74" s="237">
        <v>0</v>
      </c>
      <c r="AP74" s="151"/>
      <c r="AQ74" s="163">
        <f t="shared" si="19"/>
        <v>0</v>
      </c>
      <c r="AR74" s="163">
        <f t="shared" si="20"/>
        <v>0</v>
      </c>
      <c r="AS74" s="151"/>
      <c r="AT74" s="187" t="str">
        <f t="shared" si="23"/>
        <v/>
      </c>
      <c r="AU74" s="187" t="str">
        <f t="shared" si="24"/>
        <v/>
      </c>
      <c r="AV74" s="151"/>
      <c r="AW74" s="129"/>
      <c r="AX74" s="121"/>
      <c r="AY74" s="121"/>
      <c r="AZ74" s="165">
        <f ca="1">YEAR('wgl tot'!$AZ$9)-YEAR('wgl tot'!E74)</f>
        <v>119</v>
      </c>
      <c r="BA74" s="165">
        <f ca="1">MONTH('wgl tot'!$AZ$9)-MONTH('wgl tot'!E74)</f>
        <v>8</v>
      </c>
      <c r="BB74" s="165">
        <f ca="1">DAY('wgl tot'!$AZ$9)-DAY('wgl tot'!E74)</f>
        <v>14</v>
      </c>
      <c r="BC74" s="130">
        <f>IF(AND('wgl tot'!F74&gt;0,'wgl tot'!F74&lt;17),0,100)</f>
        <v>100</v>
      </c>
      <c r="BD74" s="130">
        <f t="shared" si="25"/>
        <v>0</v>
      </c>
      <c r="BE74" s="148">
        <v>42583</v>
      </c>
      <c r="BF74" s="166">
        <f t="shared" si="17"/>
        <v>0.08</v>
      </c>
      <c r="BG74" s="167">
        <f>+tabellen!$D$51</f>
        <v>6.3E-2</v>
      </c>
      <c r="BH74" s="165">
        <f>IF('wgl tot'!BC74=100,0,'wgl tot'!F74)</f>
        <v>0</v>
      </c>
      <c r="BI74" s="167" t="str">
        <f>IF(OR('wgl tot'!F74="DA",'wgl tot'!F74="DB",'wgl tot'!F74="DBuit",'wgl tot'!F74="DC",'wgl tot'!F74="DCuit",MID('wgl tot'!F74,1,5)="meerh"),"j","n")</f>
        <v>n</v>
      </c>
      <c r="BJ74" s="169" t="e">
        <f>IF('wgl tot'!W74/'wgl tot'!H74&lt;tabellen!$E$6,0,(+'wgl tot'!W74-tabellen!$E$6*'wgl tot'!H74)/12*tabellen!$D$6)</f>
        <v>#DIV/0!</v>
      </c>
      <c r="BK74" s="169" t="e">
        <f>IF('wgl tot'!W74/'wgl tot'!H74&lt;tabellen!$E$7,0,(+'wgl tot'!W74-tabellen!$E$7*'wgl tot'!H74)/12*tabellen!$D$7)</f>
        <v>#DIV/0!</v>
      </c>
      <c r="BL74" s="169">
        <f>'wgl tot'!W74/12*tabellen!$D$8</f>
        <v>0</v>
      </c>
      <c r="BM74" s="170" t="e">
        <f t="shared" si="22"/>
        <v>#DIV/0!</v>
      </c>
      <c r="BN74" s="171" t="e">
        <f>+Y74/12-'wgl tot'!BM74</f>
        <v>#DIV/0!</v>
      </c>
      <c r="BO74" s="171" t="e">
        <f>ROUND(IF('wgl tot'!BN74&gt;tabellen!$H$11,tabellen!$H$11,'wgl tot'!BN74)*tabellen!$C$11,2)</f>
        <v>#DIV/0!</v>
      </c>
      <c r="BP74" s="171" t="e">
        <f>+'wgl tot'!BN74+'wgl tot'!BO74</f>
        <v>#DIV/0!</v>
      </c>
      <c r="BQ74" s="172">
        <f t="shared" si="26"/>
        <v>1900</v>
      </c>
      <c r="BR74" s="172">
        <f t="shared" si="27"/>
        <v>1</v>
      </c>
      <c r="BS74" s="165">
        <f t="shared" si="28"/>
        <v>0</v>
      </c>
      <c r="BT74" s="148">
        <f t="shared" si="15"/>
        <v>22462</v>
      </c>
      <c r="BU74" s="148">
        <f t="shared" ca="1" si="16"/>
        <v>43722.739781944445</v>
      </c>
      <c r="BV74" s="130"/>
      <c r="BW74" s="148"/>
      <c r="BX74" s="130"/>
      <c r="BY74" s="168"/>
      <c r="BZ74" s="168"/>
      <c r="CA74" s="168"/>
      <c r="CB74" s="168"/>
      <c r="CC74" s="168"/>
      <c r="CD74" s="168"/>
      <c r="CE74" s="121"/>
      <c r="CF74" s="121"/>
    </row>
    <row r="75" spans="1:84" s="132" customFormat="1" ht="12" customHeight="1" x14ac:dyDescent="0.2">
      <c r="A75" s="121"/>
      <c r="B75" s="122"/>
      <c r="C75" s="151"/>
      <c r="D75" s="157"/>
      <c r="E75" s="158"/>
      <c r="F75" s="159"/>
      <c r="G75" s="159"/>
      <c r="H75" s="160"/>
      <c r="I75" s="159"/>
      <c r="J75" s="161"/>
      <c r="K75" s="181">
        <f>IF(F75="",0,(VLOOKUP('wgl tot'!F75,saltab2019,'wgl tot'!G75+1,FALSE)))</f>
        <v>0</v>
      </c>
      <c r="L75" s="163">
        <f t="shared" si="33"/>
        <v>0</v>
      </c>
      <c r="M75" s="151"/>
      <c r="N75" s="181">
        <f>ROUND(IF(('wgl tot'!L75+'wgl tot'!P75)*BF75&lt;'wgl tot'!H75*tabellen!$D$50,'wgl tot'!H75*tabellen!$D$50,('wgl tot'!L75+'wgl tot'!P75)*BF75),2)</f>
        <v>0</v>
      </c>
      <c r="O75" s="181">
        <f>ROUND(+('wgl tot'!L75+'wgl tot'!P75)*BG75,2)</f>
        <v>0</v>
      </c>
      <c r="P75" s="181">
        <f>ROUND(IF(I75="j",VLOOKUP(BD75,uitlooptoeslag,2,FALSE))*IF('wgl tot'!H75&gt;1,1,'wgl tot'!H75),2)</f>
        <v>0</v>
      </c>
      <c r="Q75" s="181">
        <f>ROUND(IF(BI75="j",tabellen!$D$59*IF('wgl tot'!H75&gt;1,1,'wgl tot'!H75),0),2)</f>
        <v>0</v>
      </c>
      <c r="R75" s="181">
        <f>IF(AND(F75&gt;0,F75&lt;17),tabellen!$C$41*'wgl tot'!H75,0)</f>
        <v>0</v>
      </c>
      <c r="S75" s="181">
        <f>VLOOKUP(BH75,eindejaarsuitkering_OOP,2,TRUE)*'wgl tot'!H75/12</f>
        <v>0</v>
      </c>
      <c r="T75" s="181">
        <f>ROUND(H75*tabellen!$D$57,2)</f>
        <v>0</v>
      </c>
      <c r="U75" s="181">
        <f>ROUND(H75*tabellen!C$45,2)</f>
        <v>0</v>
      </c>
      <c r="V75" s="181">
        <f>H75*(IF(F75="L10",42%*VLOOKUP(tabellen!L$45,saltab2018sept,G75+1,FALSE),IF(F75="L11",42%*VLOOKUP(tabellen!L$46,saltab2018sept,G75+1,FALSE),IF(F75="L12",42%*VLOOKUP(tabellen!L$47,saltab2018sept,G75+1,FALSE),IF(F75="L13",42%*VLOOKUP(tabellen!L$48,saltab2018sept,G75+1,FALSE),0)))))</f>
        <v>0</v>
      </c>
      <c r="W75" s="182">
        <f t="shared" si="9"/>
        <v>0</v>
      </c>
      <c r="X75" s="181">
        <f>('wgl tot'!L75+'wgl tot'!P75)*tabellen!$C$43*12</f>
        <v>0</v>
      </c>
      <c r="Y75" s="163">
        <f t="shared" si="10"/>
        <v>0</v>
      </c>
      <c r="Z75" s="151"/>
      <c r="AA75" s="182">
        <f t="shared" si="18"/>
        <v>0</v>
      </c>
      <c r="AB75" s="217">
        <f>+'wgl tot'!X75/12</f>
        <v>0</v>
      </c>
      <c r="AC75" s="151"/>
      <c r="AD75" s="181">
        <f>IF(F75="",0,(IF('wgl tot'!W75/'wgl tot'!H75&lt;tabellen!$E$6,0,('wgl tot'!W75-tabellen!$E$6*'wgl tot'!H75)/12)*tabellen!$C$6))</f>
        <v>0</v>
      </c>
      <c r="AE75" s="181">
        <f>IF(F75="",0,(IF('wgl tot'!W75/'wgl tot'!H75&lt;tabellen!$E$7,0,(+'wgl tot'!W75-tabellen!$E$7*'wgl tot'!H75)/12)*tabellen!$C$7))</f>
        <v>0</v>
      </c>
      <c r="AF75" s="181">
        <f>'wgl tot'!W75/12*tabellen!$C$8</f>
        <v>0</v>
      </c>
      <c r="AG75" s="181">
        <f>IF(H75=0,0,IF(BN75&gt;tabellen!$G$9/12,tabellen!$G$9/12,BN75)*(tabellen!$C$9+tabellen!$C$10))</f>
        <v>0</v>
      </c>
      <c r="AH75" s="181">
        <f>IF(F75="",0,('wgl tot'!BO75))</f>
        <v>0</v>
      </c>
      <c r="AI75" s="183">
        <f>IF(F75="",0,(IF('wgl tot'!BN75&gt;tabellen!$G$12*'wgl tot'!H75/12,tabellen!$G$12*'wgl tot'!H75/12,'wgl tot'!BN75)*tabellen!$C$12))</f>
        <v>0</v>
      </c>
      <c r="AJ75" s="151"/>
      <c r="AK75" s="183">
        <f>IF(F75="",0,('wgl tot'!BN75*IF(J75=1,tabellen!$C$13,IF(J75=2,tabellen!$C$14,IF(J75=3,tabellen!$C$15,IF(J75=5,tabellen!$C$17,IF(J75=6,tabellen!$C$18,IF(J75=7,tabellen!$C$19,IF(J75=8,tabellen!$C$20,tabellen!$C$16)))))))))</f>
        <v>0</v>
      </c>
      <c r="AL75" s="183">
        <f>IF(F75="",0,('wgl tot'!BN75*tabellen!$C$21))</f>
        <v>0</v>
      </c>
      <c r="AM75" s="237">
        <v>0</v>
      </c>
      <c r="AN75" s="151"/>
      <c r="AO75" s="237">
        <v>0</v>
      </c>
      <c r="AP75" s="151"/>
      <c r="AQ75" s="163">
        <f t="shared" si="19"/>
        <v>0</v>
      </c>
      <c r="AR75" s="163">
        <f t="shared" si="20"/>
        <v>0</v>
      </c>
      <c r="AS75" s="151"/>
      <c r="AT75" s="187" t="str">
        <f t="shared" si="23"/>
        <v/>
      </c>
      <c r="AU75" s="187" t="str">
        <f t="shared" si="24"/>
        <v/>
      </c>
      <c r="AV75" s="151"/>
      <c r="AW75" s="129"/>
      <c r="AX75" s="121"/>
      <c r="AY75" s="121"/>
      <c r="AZ75" s="165">
        <f ca="1">YEAR('wgl tot'!$AZ$9)-YEAR('wgl tot'!E75)</f>
        <v>119</v>
      </c>
      <c r="BA75" s="165">
        <f ca="1">MONTH('wgl tot'!$AZ$9)-MONTH('wgl tot'!E75)</f>
        <v>8</v>
      </c>
      <c r="BB75" s="165">
        <f ca="1">DAY('wgl tot'!$AZ$9)-DAY('wgl tot'!E75)</f>
        <v>14</v>
      </c>
      <c r="BC75" s="130">
        <f>IF(AND('wgl tot'!F75&gt;0,'wgl tot'!F75&lt;17),0,100)</f>
        <v>100</v>
      </c>
      <c r="BD75" s="130">
        <f t="shared" si="25"/>
        <v>0</v>
      </c>
      <c r="BE75" s="148">
        <v>42583</v>
      </c>
      <c r="BF75" s="166">
        <f t="shared" si="17"/>
        <v>0.08</v>
      </c>
      <c r="BG75" s="167">
        <f>+tabellen!$D$51</f>
        <v>6.3E-2</v>
      </c>
      <c r="BH75" s="165">
        <f>IF('wgl tot'!BC75=100,0,'wgl tot'!F75)</f>
        <v>0</v>
      </c>
      <c r="BI75" s="167" t="str">
        <f>IF(OR('wgl tot'!F75="DA",'wgl tot'!F75="DB",'wgl tot'!F75="DBuit",'wgl tot'!F75="DC",'wgl tot'!F75="DCuit",MID('wgl tot'!F75,1,5)="meerh"),"j","n")</f>
        <v>n</v>
      </c>
      <c r="BJ75" s="169" t="e">
        <f>IF('wgl tot'!W75/'wgl tot'!H75&lt;tabellen!$E$6,0,(+'wgl tot'!W75-tabellen!$E$6*'wgl tot'!H75)/12*tabellen!$D$6)</f>
        <v>#DIV/0!</v>
      </c>
      <c r="BK75" s="169" t="e">
        <f>IF('wgl tot'!W75/'wgl tot'!H75&lt;tabellen!$E$7,0,(+'wgl tot'!W75-tabellen!$E$7*'wgl tot'!H75)/12*tabellen!$D$7)</f>
        <v>#DIV/0!</v>
      </c>
      <c r="BL75" s="169">
        <f>'wgl tot'!W75/12*tabellen!$D$8</f>
        <v>0</v>
      </c>
      <c r="BM75" s="170" t="e">
        <f t="shared" si="22"/>
        <v>#DIV/0!</v>
      </c>
      <c r="BN75" s="171" t="e">
        <f>+Y75/12-'wgl tot'!BM75</f>
        <v>#DIV/0!</v>
      </c>
      <c r="BO75" s="171" t="e">
        <f>ROUND(IF('wgl tot'!BN75&gt;tabellen!$H$11,tabellen!$H$11,'wgl tot'!BN75)*tabellen!$C$11,2)</f>
        <v>#DIV/0!</v>
      </c>
      <c r="BP75" s="171" t="e">
        <f>+'wgl tot'!BN75+'wgl tot'!BO75</f>
        <v>#DIV/0!</v>
      </c>
      <c r="BQ75" s="172">
        <f t="shared" si="26"/>
        <v>1900</v>
      </c>
      <c r="BR75" s="172">
        <f t="shared" si="27"/>
        <v>1</v>
      </c>
      <c r="BS75" s="165">
        <f t="shared" si="28"/>
        <v>0</v>
      </c>
      <c r="BT75" s="148">
        <f t="shared" si="15"/>
        <v>22462</v>
      </c>
      <c r="BU75" s="148">
        <f t="shared" ca="1" si="16"/>
        <v>43722.739781944445</v>
      </c>
      <c r="BV75" s="130"/>
      <c r="BW75" s="148"/>
      <c r="BX75" s="130"/>
      <c r="BY75" s="168"/>
      <c r="BZ75" s="168"/>
      <c r="CA75" s="168"/>
      <c r="CB75" s="168"/>
      <c r="CC75" s="168"/>
      <c r="CD75" s="168"/>
      <c r="CE75" s="121"/>
      <c r="CF75" s="121"/>
    </row>
    <row r="76" spans="1:84" s="132" customFormat="1" ht="12" customHeight="1" x14ac:dyDescent="0.2">
      <c r="A76" s="121"/>
      <c r="B76" s="122"/>
      <c r="C76" s="151"/>
      <c r="D76" s="157"/>
      <c r="E76" s="158"/>
      <c r="F76" s="159"/>
      <c r="G76" s="159"/>
      <c r="H76" s="160"/>
      <c r="I76" s="159"/>
      <c r="J76" s="161"/>
      <c r="K76" s="181">
        <f>IF(F76="",0,(VLOOKUP('wgl tot'!F76,saltab2019,'wgl tot'!G76+1,FALSE)))</f>
        <v>0</v>
      </c>
      <c r="L76" s="163">
        <f t="shared" si="33"/>
        <v>0</v>
      </c>
      <c r="M76" s="151"/>
      <c r="N76" s="181">
        <f>ROUND(IF(('wgl tot'!L76+'wgl tot'!P76)*BF76&lt;'wgl tot'!H76*tabellen!$D$50,'wgl tot'!H76*tabellen!$D$50,('wgl tot'!L76+'wgl tot'!P76)*BF76),2)</f>
        <v>0</v>
      </c>
      <c r="O76" s="181">
        <f>ROUND(+('wgl tot'!L76+'wgl tot'!P76)*BG76,2)</f>
        <v>0</v>
      </c>
      <c r="P76" s="181">
        <f>ROUND(IF(I76="j",VLOOKUP(BD76,uitlooptoeslag,2,FALSE))*IF('wgl tot'!H76&gt;1,1,'wgl tot'!H76),2)</f>
        <v>0</v>
      </c>
      <c r="Q76" s="181">
        <f>ROUND(IF(BI76="j",tabellen!$D$59*IF('wgl tot'!H76&gt;1,1,'wgl tot'!H76),0),2)</f>
        <v>0</v>
      </c>
      <c r="R76" s="181">
        <f>IF(AND(F76&gt;0,F76&lt;17),tabellen!$C$41*'wgl tot'!H76,0)</f>
        <v>0</v>
      </c>
      <c r="S76" s="181">
        <f>VLOOKUP(BH76,eindejaarsuitkering_OOP,2,TRUE)*'wgl tot'!H76/12</f>
        <v>0</v>
      </c>
      <c r="T76" s="181">
        <f>ROUND(H76*tabellen!$D$57,2)</f>
        <v>0</v>
      </c>
      <c r="U76" s="181">
        <f>ROUND(H76*tabellen!C$45,2)</f>
        <v>0</v>
      </c>
      <c r="V76" s="181">
        <f>H76*(IF(F76="L10",42%*VLOOKUP(tabellen!L$45,saltab2018sept,G76+1,FALSE),IF(F76="L11",42%*VLOOKUP(tabellen!L$46,saltab2018sept,G76+1,FALSE),IF(F76="L12",42%*VLOOKUP(tabellen!L$47,saltab2018sept,G76+1,FALSE),IF(F76="L13",42%*VLOOKUP(tabellen!L$48,saltab2018sept,G76+1,FALSE),0)))))</f>
        <v>0</v>
      </c>
      <c r="W76" s="182">
        <f t="shared" si="9"/>
        <v>0</v>
      </c>
      <c r="X76" s="181">
        <f>('wgl tot'!L76+'wgl tot'!P76)*tabellen!$C$43*12</f>
        <v>0</v>
      </c>
      <c r="Y76" s="163">
        <f t="shared" si="10"/>
        <v>0</v>
      </c>
      <c r="Z76" s="151"/>
      <c r="AA76" s="182">
        <f t="shared" si="18"/>
        <v>0</v>
      </c>
      <c r="AB76" s="217">
        <f>+'wgl tot'!X76/12</f>
        <v>0</v>
      </c>
      <c r="AC76" s="151"/>
      <c r="AD76" s="181">
        <f>IF(F76="",0,(IF('wgl tot'!W76/'wgl tot'!H76&lt;tabellen!$E$6,0,('wgl tot'!W76-tabellen!$E$6*'wgl tot'!H76)/12)*tabellen!$C$6))</f>
        <v>0</v>
      </c>
      <c r="AE76" s="181">
        <f>IF(F76="",0,(IF('wgl tot'!W76/'wgl tot'!H76&lt;tabellen!$E$7,0,(+'wgl tot'!W76-tabellen!$E$7*'wgl tot'!H76)/12)*tabellen!$C$7))</f>
        <v>0</v>
      </c>
      <c r="AF76" s="181">
        <f>'wgl tot'!W76/12*tabellen!$C$8</f>
        <v>0</v>
      </c>
      <c r="AG76" s="181">
        <f>IF(H76=0,0,IF(BN76&gt;tabellen!$G$9/12,tabellen!$G$9/12,BN76)*(tabellen!$C$9+tabellen!$C$10))</f>
        <v>0</v>
      </c>
      <c r="AH76" s="181">
        <f>IF(F76="",0,('wgl tot'!BO76))</f>
        <v>0</v>
      </c>
      <c r="AI76" s="183">
        <f>IF(F76="",0,(IF('wgl tot'!BN76&gt;tabellen!$G$12*'wgl tot'!H76/12,tabellen!$G$12*'wgl tot'!H76/12,'wgl tot'!BN76)*tabellen!$C$12))</f>
        <v>0</v>
      </c>
      <c r="AJ76" s="151"/>
      <c r="AK76" s="183">
        <f>IF(F76="",0,('wgl tot'!BN76*IF(J76=1,tabellen!$C$13,IF(J76=2,tabellen!$C$14,IF(J76=3,tabellen!$C$15,IF(J76=5,tabellen!$C$17,IF(J76=6,tabellen!$C$18,IF(J76=7,tabellen!$C$19,IF(J76=8,tabellen!$C$20,tabellen!$C$16)))))))))</f>
        <v>0</v>
      </c>
      <c r="AL76" s="183">
        <f>IF(F76="",0,('wgl tot'!BN76*tabellen!$C$21))</f>
        <v>0</v>
      </c>
      <c r="AM76" s="237">
        <v>0</v>
      </c>
      <c r="AN76" s="151"/>
      <c r="AO76" s="237">
        <v>0</v>
      </c>
      <c r="AP76" s="151"/>
      <c r="AQ76" s="163">
        <f t="shared" si="19"/>
        <v>0</v>
      </c>
      <c r="AR76" s="163">
        <f t="shared" si="20"/>
        <v>0</v>
      </c>
      <c r="AS76" s="151"/>
      <c r="AT76" s="187" t="str">
        <f t="shared" ref="AT76:AT86" si="34">IF(AQ76=0,"",(AQ76/L76-1))</f>
        <v/>
      </c>
      <c r="AU76" s="187" t="str">
        <f t="shared" ref="AU76:AU86" si="35">IF(AQ76=0,"",(AQ76/(Y76/12))-1)</f>
        <v/>
      </c>
      <c r="AV76" s="151"/>
      <c r="AW76" s="129"/>
      <c r="AX76" s="121"/>
      <c r="AY76" s="121"/>
      <c r="AZ76" s="165">
        <f ca="1">YEAR('wgl tot'!$AZ$9)-YEAR('wgl tot'!E76)</f>
        <v>119</v>
      </c>
      <c r="BA76" s="165">
        <f ca="1">MONTH('wgl tot'!$AZ$9)-MONTH('wgl tot'!E76)</f>
        <v>8</v>
      </c>
      <c r="BB76" s="165">
        <f ca="1">DAY('wgl tot'!$AZ$9)-DAY('wgl tot'!E76)</f>
        <v>14</v>
      </c>
      <c r="BC76" s="130">
        <f>IF(AND('wgl tot'!F76&gt;0,'wgl tot'!F76&lt;17),0,100)</f>
        <v>100</v>
      </c>
      <c r="BD76" s="130">
        <f t="shared" ref="BD76:BD86" si="36">F76</f>
        <v>0</v>
      </c>
      <c r="BE76" s="148">
        <v>42583</v>
      </c>
      <c r="BF76" s="166">
        <f t="shared" si="17"/>
        <v>0.08</v>
      </c>
      <c r="BG76" s="167">
        <f>+tabellen!$D$51</f>
        <v>6.3E-2</v>
      </c>
      <c r="BH76" s="165">
        <f>IF('wgl tot'!BC76=100,0,'wgl tot'!F76)</f>
        <v>0</v>
      </c>
      <c r="BI76" s="167" t="str">
        <f>IF(OR('wgl tot'!F76="DA",'wgl tot'!F76="DB",'wgl tot'!F76="DBuit",'wgl tot'!F76="DC",'wgl tot'!F76="DCuit",MID('wgl tot'!F76,1,5)="meerh"),"j","n")</f>
        <v>n</v>
      </c>
      <c r="BJ76" s="169" t="e">
        <f>IF('wgl tot'!W76/'wgl tot'!H76&lt;tabellen!$E$6,0,(+'wgl tot'!W76-tabellen!$E$6*'wgl tot'!H76)/12*tabellen!$D$6)</f>
        <v>#DIV/0!</v>
      </c>
      <c r="BK76" s="169" t="e">
        <f>IF('wgl tot'!W76/'wgl tot'!H76&lt;tabellen!$E$7,0,(+'wgl tot'!W76-tabellen!$E$7*'wgl tot'!H76)/12*tabellen!$D$7)</f>
        <v>#DIV/0!</v>
      </c>
      <c r="BL76" s="169">
        <f>'wgl tot'!W76/12*tabellen!$D$8</f>
        <v>0</v>
      </c>
      <c r="BM76" s="170" t="e">
        <f>SUM(BJ76:BL76)</f>
        <v>#DIV/0!</v>
      </c>
      <c r="BN76" s="171" t="e">
        <f>+Y76/12-'wgl tot'!BM76</f>
        <v>#DIV/0!</v>
      </c>
      <c r="BO76" s="171" t="e">
        <f>ROUND(IF('wgl tot'!BN76&gt;tabellen!$H$11,tabellen!$H$11,'wgl tot'!BN76)*tabellen!$C$11,2)</f>
        <v>#DIV/0!</v>
      </c>
      <c r="BP76" s="171" t="e">
        <f>+'wgl tot'!BN76+'wgl tot'!BO76</f>
        <v>#DIV/0!</v>
      </c>
      <c r="BQ76" s="172">
        <f t="shared" ref="BQ76:BQ86" si="37">YEAR(E76)</f>
        <v>1900</v>
      </c>
      <c r="BR76" s="172">
        <f t="shared" ref="BR76:BR86" si="38">MONTH(E76)</f>
        <v>1</v>
      </c>
      <c r="BS76" s="165">
        <f t="shared" ref="BS76:BS86" si="39">DAY(E76)</f>
        <v>0</v>
      </c>
      <c r="BT76" s="148">
        <f t="shared" si="15"/>
        <v>22462</v>
      </c>
      <c r="BU76" s="148">
        <f t="shared" ca="1" si="16"/>
        <v>43722.739781944445</v>
      </c>
      <c r="BV76" s="130"/>
      <c r="BW76" s="148"/>
      <c r="BX76" s="130"/>
      <c r="BY76" s="168"/>
      <c r="BZ76" s="168"/>
      <c r="CA76" s="168"/>
      <c r="CB76" s="168"/>
      <c r="CC76" s="168"/>
      <c r="CD76" s="168"/>
      <c r="CE76" s="121"/>
      <c r="CF76" s="121"/>
    </row>
    <row r="77" spans="1:84" s="132" customFormat="1" ht="12" customHeight="1" x14ac:dyDescent="0.2">
      <c r="A77" s="121"/>
      <c r="B77" s="122"/>
      <c r="C77" s="151"/>
      <c r="D77" s="157"/>
      <c r="E77" s="158"/>
      <c r="F77" s="159"/>
      <c r="G77" s="159"/>
      <c r="H77" s="160"/>
      <c r="I77" s="159"/>
      <c r="J77" s="161"/>
      <c r="K77" s="181">
        <f>IF(F77="",0,(VLOOKUP('wgl tot'!F77,saltab2019,'wgl tot'!G77+1,FALSE)))</f>
        <v>0</v>
      </c>
      <c r="L77" s="163">
        <f t="shared" si="33"/>
        <v>0</v>
      </c>
      <c r="M77" s="151"/>
      <c r="N77" s="181">
        <f>ROUND(IF(('wgl tot'!L77+'wgl tot'!P77)*BF77&lt;'wgl tot'!H77*tabellen!$D$50,'wgl tot'!H77*tabellen!$D$50,('wgl tot'!L77+'wgl tot'!P77)*BF77),2)</f>
        <v>0</v>
      </c>
      <c r="O77" s="181">
        <f>ROUND(+('wgl tot'!L77+'wgl tot'!P77)*BG77,2)</f>
        <v>0</v>
      </c>
      <c r="P77" s="181">
        <f>ROUND(IF(I77="j",VLOOKUP(BD77,uitlooptoeslag,2,FALSE))*IF('wgl tot'!H77&gt;1,1,'wgl tot'!H77),2)</f>
        <v>0</v>
      </c>
      <c r="Q77" s="181">
        <f>ROUND(IF(BI77="j",tabellen!$D$59*IF('wgl tot'!H77&gt;1,1,'wgl tot'!H77),0),2)</f>
        <v>0</v>
      </c>
      <c r="R77" s="181">
        <f>IF(AND(F77&gt;0,F77&lt;17),tabellen!$C$41*'wgl tot'!H77,0)</f>
        <v>0</v>
      </c>
      <c r="S77" s="181">
        <f>VLOOKUP(BH77,eindejaarsuitkering_OOP,2,TRUE)*'wgl tot'!H77/12</f>
        <v>0</v>
      </c>
      <c r="T77" s="181">
        <f>ROUND(H77*tabellen!$D$57,2)</f>
        <v>0</v>
      </c>
      <c r="U77" s="181">
        <f>ROUND(H77*tabellen!C$45,2)</f>
        <v>0</v>
      </c>
      <c r="V77" s="181">
        <f>H77*(IF(F77="L10",42%*VLOOKUP(tabellen!L$45,saltab2018sept,G77+1,FALSE),IF(F77="L11",42%*VLOOKUP(tabellen!L$46,saltab2018sept,G77+1,FALSE),IF(F77="L12",42%*VLOOKUP(tabellen!L$47,saltab2018sept,G77+1,FALSE),IF(F77="L13",42%*VLOOKUP(tabellen!L$48,saltab2018sept,G77+1,FALSE),0)))))</f>
        <v>0</v>
      </c>
      <c r="W77" s="182">
        <f t="shared" ref="W77:W86" si="40">ROUND(((SUM(L77:S77)*12)+T77+U77+V77),0)</f>
        <v>0</v>
      </c>
      <c r="X77" s="181">
        <f>('wgl tot'!L77+'wgl tot'!P77)*tabellen!$C$43*12</f>
        <v>0</v>
      </c>
      <c r="Y77" s="163">
        <f t="shared" ref="Y77:Y86" si="41">ROUND((SUM(L77:S77)*12+T77+X77),0)</f>
        <v>0</v>
      </c>
      <c r="Z77" s="151"/>
      <c r="AA77" s="182">
        <f t="shared" ref="AA77:AA86" si="42">Y77/12</f>
        <v>0</v>
      </c>
      <c r="AB77" s="217">
        <f>+'wgl tot'!X77/12</f>
        <v>0</v>
      </c>
      <c r="AC77" s="151"/>
      <c r="AD77" s="181">
        <f>IF(F77="",0,(IF('wgl tot'!W77/'wgl tot'!H77&lt;tabellen!$E$6,0,('wgl tot'!W77-tabellen!$E$6*'wgl tot'!H77)/12)*tabellen!$C$6))</f>
        <v>0</v>
      </c>
      <c r="AE77" s="181">
        <f>IF(F77="",0,(IF('wgl tot'!W77/'wgl tot'!H77&lt;tabellen!$E$7,0,(+'wgl tot'!W77-tabellen!$E$7*'wgl tot'!H77)/12)*tabellen!$C$7))</f>
        <v>0</v>
      </c>
      <c r="AF77" s="181">
        <f>'wgl tot'!W77/12*tabellen!$C$8</f>
        <v>0</v>
      </c>
      <c r="AG77" s="181">
        <f>IF(H77=0,0,IF(BN77&gt;tabellen!$G$9/12,tabellen!$G$9/12,BN77)*(tabellen!$C$9+tabellen!$C$10))</f>
        <v>0</v>
      </c>
      <c r="AH77" s="181">
        <f>IF(F77="",0,('wgl tot'!BO77))</f>
        <v>0</v>
      </c>
      <c r="AI77" s="183">
        <f>IF(F77="",0,(IF('wgl tot'!BN77&gt;tabellen!$G$12*'wgl tot'!H77/12,tabellen!$G$12*'wgl tot'!H77/12,'wgl tot'!BN77)*tabellen!$C$12))</f>
        <v>0</v>
      </c>
      <c r="AJ77" s="151"/>
      <c r="AK77" s="183">
        <f>IF(F77="",0,('wgl tot'!BN77*IF(J77=1,tabellen!$C$13,IF(J77=2,tabellen!$C$14,IF(J77=3,tabellen!$C$15,IF(J77=5,tabellen!$C$17,IF(J77=6,tabellen!$C$18,IF(J77=7,tabellen!$C$19,IF(J77=8,tabellen!$C$20,tabellen!$C$16)))))))))</f>
        <v>0</v>
      </c>
      <c r="AL77" s="183">
        <f>IF(F77="",0,('wgl tot'!BN77*tabellen!$C$21))</f>
        <v>0</v>
      </c>
      <c r="AM77" s="237">
        <v>0</v>
      </c>
      <c r="AN77" s="151"/>
      <c r="AO77" s="237">
        <v>0</v>
      </c>
      <c r="AP77" s="151"/>
      <c r="AQ77" s="163">
        <f t="shared" si="19"/>
        <v>0</v>
      </c>
      <c r="AR77" s="163">
        <f t="shared" si="20"/>
        <v>0</v>
      </c>
      <c r="AS77" s="151"/>
      <c r="AT77" s="187" t="str">
        <f t="shared" si="34"/>
        <v/>
      </c>
      <c r="AU77" s="187" t="str">
        <f t="shared" si="35"/>
        <v/>
      </c>
      <c r="AV77" s="151"/>
      <c r="AW77" s="129"/>
      <c r="AX77" s="121"/>
      <c r="AY77" s="121"/>
      <c r="AZ77" s="165">
        <f ca="1">YEAR('wgl tot'!$AZ$9)-YEAR('wgl tot'!E77)</f>
        <v>119</v>
      </c>
      <c r="BA77" s="165">
        <f ca="1">MONTH('wgl tot'!$AZ$9)-MONTH('wgl tot'!E77)</f>
        <v>8</v>
      </c>
      <c r="BB77" s="165">
        <f ca="1">DAY('wgl tot'!$AZ$9)-DAY('wgl tot'!E77)</f>
        <v>14</v>
      </c>
      <c r="BC77" s="130">
        <f>IF(AND('wgl tot'!F77&gt;0,'wgl tot'!F77&lt;17),0,100)</f>
        <v>100</v>
      </c>
      <c r="BD77" s="130">
        <f t="shared" si="36"/>
        <v>0</v>
      </c>
      <c r="BE77" s="148">
        <v>42583</v>
      </c>
      <c r="BF77" s="166">
        <f t="shared" si="17"/>
        <v>0.08</v>
      </c>
      <c r="BG77" s="167">
        <f>+tabellen!$D$51</f>
        <v>6.3E-2</v>
      </c>
      <c r="BH77" s="165">
        <f>IF('wgl tot'!BC77=100,0,'wgl tot'!F77)</f>
        <v>0</v>
      </c>
      <c r="BI77" s="167" t="str">
        <f>IF(OR('wgl tot'!F77="DA",'wgl tot'!F77="DB",'wgl tot'!F77="DBuit",'wgl tot'!F77="DC",'wgl tot'!F77="DCuit",MID('wgl tot'!F77,1,5)="meerh"),"j","n")</f>
        <v>n</v>
      </c>
      <c r="BJ77" s="169" t="e">
        <f>IF('wgl tot'!W77/'wgl tot'!H77&lt;tabellen!$E$6,0,(+'wgl tot'!W77-tabellen!$E$6*'wgl tot'!H77)/12*tabellen!$D$6)</f>
        <v>#DIV/0!</v>
      </c>
      <c r="BK77" s="169" t="e">
        <f>IF('wgl tot'!W77/'wgl tot'!H77&lt;tabellen!$E$7,0,(+'wgl tot'!W77-tabellen!$E$7*'wgl tot'!H77)/12*tabellen!$D$7)</f>
        <v>#DIV/0!</v>
      </c>
      <c r="BL77" s="169">
        <f>'wgl tot'!W77/12*tabellen!$D$8</f>
        <v>0</v>
      </c>
      <c r="BM77" s="170" t="e">
        <f>SUM(BJ77:BL77)</f>
        <v>#DIV/0!</v>
      </c>
      <c r="BN77" s="171" t="e">
        <f>+Y77/12-'wgl tot'!BM77</f>
        <v>#DIV/0!</v>
      </c>
      <c r="BO77" s="171" t="e">
        <f>ROUND(IF('wgl tot'!BN77&gt;tabellen!$H$11,tabellen!$H$11,'wgl tot'!BN77)*tabellen!$C$11,2)</f>
        <v>#DIV/0!</v>
      </c>
      <c r="BP77" s="171" t="e">
        <f>+'wgl tot'!BN77+'wgl tot'!BO77</f>
        <v>#DIV/0!</v>
      </c>
      <c r="BQ77" s="172">
        <f t="shared" si="37"/>
        <v>1900</v>
      </c>
      <c r="BR77" s="172">
        <f t="shared" si="38"/>
        <v>1</v>
      </c>
      <c r="BS77" s="165">
        <f t="shared" si="39"/>
        <v>0</v>
      </c>
      <c r="BT77" s="148">
        <f t="shared" si="15"/>
        <v>22462</v>
      </c>
      <c r="BU77" s="148">
        <f t="shared" ca="1" si="16"/>
        <v>43722.739781944445</v>
      </c>
      <c r="BV77" s="130"/>
      <c r="BW77" s="148"/>
      <c r="BX77" s="130"/>
      <c r="BY77" s="168"/>
      <c r="BZ77" s="168"/>
      <c r="CA77" s="168"/>
      <c r="CB77" s="168"/>
      <c r="CC77" s="168"/>
      <c r="CD77" s="168"/>
      <c r="CE77" s="121"/>
      <c r="CF77" s="121"/>
    </row>
    <row r="78" spans="1:84" s="132" customFormat="1" ht="12" customHeight="1" x14ac:dyDescent="0.2">
      <c r="A78" s="121"/>
      <c r="B78" s="122"/>
      <c r="C78" s="151"/>
      <c r="D78" s="157"/>
      <c r="E78" s="158"/>
      <c r="F78" s="159"/>
      <c r="G78" s="159"/>
      <c r="H78" s="160"/>
      <c r="I78" s="159"/>
      <c r="J78" s="161"/>
      <c r="K78" s="181">
        <f>IF(F78="",0,(VLOOKUP('wgl tot'!F78,saltab2019,'wgl tot'!G78+1,FALSE)))</f>
        <v>0</v>
      </c>
      <c r="L78" s="163">
        <f t="shared" si="33"/>
        <v>0</v>
      </c>
      <c r="M78" s="151"/>
      <c r="N78" s="181">
        <f>ROUND(IF(('wgl tot'!L78+'wgl tot'!P78)*BF78&lt;'wgl tot'!H78*tabellen!$D$50,'wgl tot'!H78*tabellen!$D$50,('wgl tot'!L78+'wgl tot'!P78)*BF78),2)</f>
        <v>0</v>
      </c>
      <c r="O78" s="181">
        <f>ROUND(+('wgl tot'!L78+'wgl tot'!P78)*BG78,2)</f>
        <v>0</v>
      </c>
      <c r="P78" s="181">
        <f>ROUND(IF(I78="j",VLOOKUP(BD78,uitlooptoeslag,2,FALSE))*IF('wgl tot'!H78&gt;1,1,'wgl tot'!H78),2)</f>
        <v>0</v>
      </c>
      <c r="Q78" s="181">
        <f>ROUND(IF(BI78="j",tabellen!$D$59*IF('wgl tot'!H78&gt;1,1,'wgl tot'!H78),0),2)</f>
        <v>0</v>
      </c>
      <c r="R78" s="181">
        <f>IF(AND(F78&gt;0,F78&lt;17),tabellen!$C$41*'wgl tot'!H78,0)</f>
        <v>0</v>
      </c>
      <c r="S78" s="181">
        <f>VLOOKUP(BH78,eindejaarsuitkering_OOP,2,TRUE)*'wgl tot'!H78/12</f>
        <v>0</v>
      </c>
      <c r="T78" s="181">
        <f>ROUND(H78*tabellen!$D$57,2)</f>
        <v>0</v>
      </c>
      <c r="U78" s="181">
        <f>ROUND(H78*tabellen!C$45,2)</f>
        <v>0</v>
      </c>
      <c r="V78" s="181">
        <f>H78*(IF(F78="L10",42%*VLOOKUP(tabellen!L$45,saltab2018sept,G78+1,FALSE),IF(F78="L11",42%*VLOOKUP(tabellen!L$46,saltab2018sept,G78+1,FALSE),IF(F78="L12",42%*VLOOKUP(tabellen!L$47,saltab2018sept,G78+1,FALSE),IF(F78="L13",42%*VLOOKUP(tabellen!L$48,saltab2018sept,G78+1,FALSE),0)))))</f>
        <v>0</v>
      </c>
      <c r="W78" s="182">
        <f t="shared" si="40"/>
        <v>0</v>
      </c>
      <c r="X78" s="181">
        <f>('wgl tot'!L78+'wgl tot'!P78)*tabellen!$C$43*12</f>
        <v>0</v>
      </c>
      <c r="Y78" s="163">
        <f t="shared" si="41"/>
        <v>0</v>
      </c>
      <c r="Z78" s="151"/>
      <c r="AA78" s="182">
        <f t="shared" si="42"/>
        <v>0</v>
      </c>
      <c r="AB78" s="217">
        <f>+'wgl tot'!X78/12</f>
        <v>0</v>
      </c>
      <c r="AC78" s="151"/>
      <c r="AD78" s="181">
        <f>IF(F78="",0,(IF('wgl tot'!W78/'wgl tot'!H78&lt;tabellen!$E$6,0,('wgl tot'!W78-tabellen!$E$6*'wgl tot'!H78)/12)*tabellen!$C$6))</f>
        <v>0</v>
      </c>
      <c r="AE78" s="181">
        <f>IF(F78="",0,(IF('wgl tot'!W78/'wgl tot'!H78&lt;tabellen!$E$7,0,(+'wgl tot'!W78-tabellen!$E$7*'wgl tot'!H78)/12)*tabellen!$C$7))</f>
        <v>0</v>
      </c>
      <c r="AF78" s="181">
        <f>'wgl tot'!W78/12*tabellen!$C$8</f>
        <v>0</v>
      </c>
      <c r="AG78" s="181">
        <f>IF(H78=0,0,IF(BN78&gt;tabellen!$G$9/12,tabellen!$G$9/12,BN78)*(tabellen!$C$9+tabellen!$C$10))</f>
        <v>0</v>
      </c>
      <c r="AH78" s="181">
        <f>IF(F78="",0,('wgl tot'!BO78))</f>
        <v>0</v>
      </c>
      <c r="AI78" s="183">
        <f>IF(F78="",0,(IF('wgl tot'!BN78&gt;tabellen!$G$12*'wgl tot'!H78/12,tabellen!$G$12*'wgl tot'!H78/12,'wgl tot'!BN78)*tabellen!$C$12))</f>
        <v>0</v>
      </c>
      <c r="AJ78" s="151"/>
      <c r="AK78" s="183">
        <f>IF(F78="",0,('wgl tot'!BN78*IF(J78=1,tabellen!$C$13,IF(J78=2,tabellen!$C$14,IF(J78=3,tabellen!$C$15,IF(J78=5,tabellen!$C$17,IF(J78=6,tabellen!$C$18,IF(J78=7,tabellen!$C$19,IF(J78=8,tabellen!$C$20,tabellen!$C$16)))))))))</f>
        <v>0</v>
      </c>
      <c r="AL78" s="183">
        <f>IF(F78="",0,('wgl tot'!BN78*tabellen!$C$21))</f>
        <v>0</v>
      </c>
      <c r="AM78" s="237">
        <v>0</v>
      </c>
      <c r="AN78" s="151"/>
      <c r="AO78" s="237">
        <v>0</v>
      </c>
      <c r="AP78" s="151"/>
      <c r="AQ78" s="163">
        <f t="shared" si="19"/>
        <v>0</v>
      </c>
      <c r="AR78" s="163">
        <f t="shared" si="20"/>
        <v>0</v>
      </c>
      <c r="AS78" s="151"/>
      <c r="AT78" s="187" t="str">
        <f t="shared" si="34"/>
        <v/>
      </c>
      <c r="AU78" s="187" t="str">
        <f t="shared" si="35"/>
        <v/>
      </c>
      <c r="AV78" s="151"/>
      <c r="AW78" s="129"/>
      <c r="AX78" s="121"/>
      <c r="AY78" s="121"/>
      <c r="AZ78" s="165">
        <f ca="1">YEAR('wgl tot'!$AZ$9)-YEAR('wgl tot'!E78)</f>
        <v>119</v>
      </c>
      <c r="BA78" s="165">
        <f ca="1">MONTH('wgl tot'!$AZ$9)-MONTH('wgl tot'!E78)</f>
        <v>8</v>
      </c>
      <c r="BB78" s="165">
        <f ca="1">DAY('wgl tot'!$AZ$9)-DAY('wgl tot'!E78)</f>
        <v>14</v>
      </c>
      <c r="BC78" s="130">
        <f>IF(AND('wgl tot'!F78&gt;0,'wgl tot'!F78&lt;17),0,100)</f>
        <v>100</v>
      </c>
      <c r="BD78" s="130">
        <f t="shared" si="36"/>
        <v>0</v>
      </c>
      <c r="BE78" s="148">
        <v>42583</v>
      </c>
      <c r="BF78" s="166">
        <f t="shared" si="17"/>
        <v>0.08</v>
      </c>
      <c r="BG78" s="167">
        <f>+tabellen!$D$51</f>
        <v>6.3E-2</v>
      </c>
      <c r="BH78" s="165">
        <f>IF('wgl tot'!BC78=100,0,'wgl tot'!F78)</f>
        <v>0</v>
      </c>
      <c r="BI78" s="167" t="str">
        <f>IF(OR('wgl tot'!F78="DA",'wgl tot'!F78="DB",'wgl tot'!F78="DBuit",'wgl tot'!F78="DC",'wgl tot'!F78="DCuit",MID('wgl tot'!F78,1,5)="meerh"),"j","n")</f>
        <v>n</v>
      </c>
      <c r="BJ78" s="169" t="e">
        <f>IF('wgl tot'!W78/'wgl tot'!H78&lt;tabellen!$E$6,0,(+'wgl tot'!W78-tabellen!$E$6*'wgl tot'!H78)/12*tabellen!$D$6)</f>
        <v>#DIV/0!</v>
      </c>
      <c r="BK78" s="169" t="e">
        <f>IF('wgl tot'!W78/'wgl tot'!H78&lt;tabellen!$E$7,0,(+'wgl tot'!W78-tabellen!$E$7*'wgl tot'!H78)/12*tabellen!$D$7)</f>
        <v>#DIV/0!</v>
      </c>
      <c r="BL78" s="169">
        <f>'wgl tot'!W78/12*tabellen!$D$8</f>
        <v>0</v>
      </c>
      <c r="BM78" s="170" t="e">
        <f>SUM(BJ78:BL78)</f>
        <v>#DIV/0!</v>
      </c>
      <c r="BN78" s="171" t="e">
        <f>+Y78/12-'wgl tot'!BM78</f>
        <v>#DIV/0!</v>
      </c>
      <c r="BO78" s="171" t="e">
        <f>ROUND(IF('wgl tot'!BN78&gt;tabellen!$H$11,tabellen!$H$11,'wgl tot'!BN78)*tabellen!$C$11,2)</f>
        <v>#DIV/0!</v>
      </c>
      <c r="BP78" s="171" t="e">
        <f>+'wgl tot'!BN78+'wgl tot'!BO78</f>
        <v>#DIV/0!</v>
      </c>
      <c r="BQ78" s="172">
        <f t="shared" si="37"/>
        <v>1900</v>
      </c>
      <c r="BR78" s="172">
        <f t="shared" si="38"/>
        <v>1</v>
      </c>
      <c r="BS78" s="165">
        <f t="shared" si="39"/>
        <v>0</v>
      </c>
      <c r="BT78" s="148">
        <f t="shared" si="15"/>
        <v>22462</v>
      </c>
      <c r="BU78" s="148">
        <f t="shared" ca="1" si="16"/>
        <v>43722.739781944445</v>
      </c>
      <c r="BV78" s="130"/>
      <c r="BW78" s="148"/>
      <c r="BX78" s="130"/>
      <c r="BY78" s="168"/>
      <c r="BZ78" s="168"/>
      <c r="CA78" s="168"/>
      <c r="CB78" s="168"/>
      <c r="CC78" s="168"/>
      <c r="CD78" s="168"/>
      <c r="CE78" s="121"/>
      <c r="CF78" s="121"/>
    </row>
    <row r="79" spans="1:84" s="132" customFormat="1" ht="12" customHeight="1" x14ac:dyDescent="0.2">
      <c r="A79" s="121"/>
      <c r="B79" s="122"/>
      <c r="C79" s="151"/>
      <c r="D79" s="157"/>
      <c r="E79" s="158"/>
      <c r="F79" s="159"/>
      <c r="G79" s="159"/>
      <c r="H79" s="160"/>
      <c r="I79" s="159"/>
      <c r="J79" s="161"/>
      <c r="K79" s="181">
        <f>IF(F79="",0,(VLOOKUP('wgl tot'!F79,saltab2019,'wgl tot'!G79+1,FALSE)))</f>
        <v>0</v>
      </c>
      <c r="L79" s="163">
        <f t="shared" si="33"/>
        <v>0</v>
      </c>
      <c r="M79" s="151"/>
      <c r="N79" s="181">
        <f>ROUND(IF(('wgl tot'!L79+'wgl tot'!P79)*BF79&lt;'wgl tot'!H79*tabellen!$D$50,'wgl tot'!H79*tabellen!$D$50,('wgl tot'!L79+'wgl tot'!P79)*BF79),2)</f>
        <v>0</v>
      </c>
      <c r="O79" s="181">
        <f>ROUND(+('wgl tot'!L79+'wgl tot'!P79)*BG79,2)</f>
        <v>0</v>
      </c>
      <c r="P79" s="181">
        <f>ROUND(IF(I79="j",VLOOKUP(BD79,uitlooptoeslag,2,FALSE))*IF('wgl tot'!H79&gt;1,1,'wgl tot'!H79),2)</f>
        <v>0</v>
      </c>
      <c r="Q79" s="181">
        <f>ROUND(IF(BI79="j",tabellen!$D$59*IF('wgl tot'!H79&gt;1,1,'wgl tot'!H79),0),2)</f>
        <v>0</v>
      </c>
      <c r="R79" s="181">
        <f>IF(AND(F79&gt;0,F79&lt;17),tabellen!$C$41*'wgl tot'!H79,0)</f>
        <v>0</v>
      </c>
      <c r="S79" s="181">
        <f>VLOOKUP(BH79,eindejaarsuitkering_OOP,2,TRUE)*'wgl tot'!H79/12</f>
        <v>0</v>
      </c>
      <c r="T79" s="181">
        <f>ROUND(H79*tabellen!$D$57,2)</f>
        <v>0</v>
      </c>
      <c r="U79" s="181">
        <f>ROUND(H79*tabellen!C$45,2)</f>
        <v>0</v>
      </c>
      <c r="V79" s="181">
        <f>H79*(IF(F79="L10",42%*VLOOKUP(tabellen!L$45,saltab2018sept,G79+1,FALSE),IF(F79="L11",42%*VLOOKUP(tabellen!L$46,saltab2018sept,G79+1,FALSE),IF(F79="L12",42%*VLOOKUP(tabellen!L$47,saltab2018sept,G79+1,FALSE),IF(F79="L13",42%*VLOOKUP(tabellen!L$48,saltab2018sept,G79+1,FALSE),0)))))</f>
        <v>0</v>
      </c>
      <c r="W79" s="182">
        <f t="shared" si="40"/>
        <v>0</v>
      </c>
      <c r="X79" s="181">
        <f>('wgl tot'!L79+'wgl tot'!P79)*tabellen!$C$43*12</f>
        <v>0</v>
      </c>
      <c r="Y79" s="163">
        <f t="shared" si="41"/>
        <v>0</v>
      </c>
      <c r="Z79" s="151"/>
      <c r="AA79" s="182">
        <f t="shared" si="42"/>
        <v>0</v>
      </c>
      <c r="AB79" s="217">
        <f>+'wgl tot'!X79/12</f>
        <v>0</v>
      </c>
      <c r="AC79" s="151"/>
      <c r="AD79" s="181">
        <f>IF(F79="",0,(IF('wgl tot'!W79/'wgl tot'!H79&lt;tabellen!$E$6,0,('wgl tot'!W79-tabellen!$E$6*'wgl tot'!H79)/12)*tabellen!$C$6))</f>
        <v>0</v>
      </c>
      <c r="AE79" s="181">
        <f>IF(F79="",0,(IF('wgl tot'!W79/'wgl tot'!H79&lt;tabellen!$E$7,0,(+'wgl tot'!W79-tabellen!$E$7*'wgl tot'!H79)/12)*tabellen!$C$7))</f>
        <v>0</v>
      </c>
      <c r="AF79" s="181">
        <f>'wgl tot'!W79/12*tabellen!$C$8</f>
        <v>0</v>
      </c>
      <c r="AG79" s="181">
        <f>IF(H79=0,0,IF(BN79&gt;tabellen!$G$9/12,tabellen!$G$9/12,BN79)*(tabellen!$C$9+tabellen!$C$10))</f>
        <v>0</v>
      </c>
      <c r="AH79" s="181">
        <f>IF(F79="",0,('wgl tot'!BO79))</f>
        <v>0</v>
      </c>
      <c r="AI79" s="183">
        <f>IF(F79="",0,(IF('wgl tot'!BN79&gt;tabellen!$G$12*'wgl tot'!H79/12,tabellen!$G$12*'wgl tot'!H79/12,'wgl tot'!BN79)*tabellen!$C$12))</f>
        <v>0</v>
      </c>
      <c r="AJ79" s="151"/>
      <c r="AK79" s="183">
        <f>IF(F79="",0,('wgl tot'!BN79*IF(J79=1,tabellen!$C$13,IF(J79=2,tabellen!$C$14,IF(J79=3,tabellen!$C$15,IF(J79=5,tabellen!$C$17,IF(J79=6,tabellen!$C$18,IF(J79=7,tabellen!$C$19,IF(J79=8,tabellen!$C$20,tabellen!$C$16)))))))))</f>
        <v>0</v>
      </c>
      <c r="AL79" s="183">
        <f>IF(F79="",0,('wgl tot'!BN79*tabellen!$C$21))</f>
        <v>0</v>
      </c>
      <c r="AM79" s="237">
        <v>0</v>
      </c>
      <c r="AN79" s="151"/>
      <c r="AO79" s="237">
        <v>0</v>
      </c>
      <c r="AP79" s="151"/>
      <c r="AQ79" s="163">
        <f t="shared" ref="AQ79:AQ86" si="43">SUM(AA79:AO79)-AB79</f>
        <v>0</v>
      </c>
      <c r="AR79" s="163">
        <f t="shared" si="20"/>
        <v>0</v>
      </c>
      <c r="AS79" s="151"/>
      <c r="AT79" s="187" t="str">
        <f t="shared" si="34"/>
        <v/>
      </c>
      <c r="AU79" s="187" t="str">
        <f t="shared" si="35"/>
        <v/>
      </c>
      <c r="AV79" s="151"/>
      <c r="AW79" s="129"/>
      <c r="AX79" s="121"/>
      <c r="AY79" s="121"/>
      <c r="AZ79" s="165">
        <f ca="1">YEAR('wgl tot'!$AZ$9)-YEAR('wgl tot'!E79)</f>
        <v>119</v>
      </c>
      <c r="BA79" s="165">
        <f ca="1">MONTH('wgl tot'!$AZ$9)-MONTH('wgl tot'!E79)</f>
        <v>8</v>
      </c>
      <c r="BB79" s="165">
        <f ca="1">DAY('wgl tot'!$AZ$9)-DAY('wgl tot'!E79)</f>
        <v>14</v>
      </c>
      <c r="BC79" s="130">
        <f>IF(AND('wgl tot'!F79&gt;0,'wgl tot'!F79&lt;17),0,100)</f>
        <v>100</v>
      </c>
      <c r="BD79" s="130">
        <f t="shared" si="36"/>
        <v>0</v>
      </c>
      <c r="BE79" s="148">
        <v>42583</v>
      </c>
      <c r="BF79" s="166">
        <f t="shared" si="17"/>
        <v>0.08</v>
      </c>
      <c r="BG79" s="167">
        <f>+tabellen!$D$51</f>
        <v>6.3E-2</v>
      </c>
      <c r="BH79" s="165">
        <f>IF('wgl tot'!BC79=100,0,'wgl tot'!F79)</f>
        <v>0</v>
      </c>
      <c r="BI79" s="167" t="str">
        <f>IF(OR('wgl tot'!F79="DA",'wgl tot'!F79="DB",'wgl tot'!F79="DBuit",'wgl tot'!F79="DC",'wgl tot'!F79="DCuit",MID('wgl tot'!F79,1,5)="meerh"),"j","n")</f>
        <v>n</v>
      </c>
      <c r="BJ79" s="169" t="e">
        <f>IF('wgl tot'!W79/'wgl tot'!H79&lt;tabellen!$E$6,0,(+'wgl tot'!W79-tabellen!$E$6*'wgl tot'!H79)/12*tabellen!$D$6)</f>
        <v>#DIV/0!</v>
      </c>
      <c r="BK79" s="169" t="e">
        <f>IF('wgl tot'!W79/'wgl tot'!H79&lt;tabellen!$E$7,0,(+'wgl tot'!W79-tabellen!$E$7*'wgl tot'!H79)/12*tabellen!$D$7)</f>
        <v>#DIV/0!</v>
      </c>
      <c r="BL79" s="169">
        <f>'wgl tot'!W79/12*tabellen!$D$8</f>
        <v>0</v>
      </c>
      <c r="BM79" s="170" t="e">
        <f>SUM(BJ79:BL79)</f>
        <v>#DIV/0!</v>
      </c>
      <c r="BN79" s="171" t="e">
        <f>+Y79/12-'wgl tot'!BM79</f>
        <v>#DIV/0!</v>
      </c>
      <c r="BO79" s="171" t="e">
        <f>ROUND(IF('wgl tot'!BN79&gt;tabellen!$H$11,tabellen!$H$11,'wgl tot'!BN79)*tabellen!$C$11,2)</f>
        <v>#DIV/0!</v>
      </c>
      <c r="BP79" s="171" t="e">
        <f>+'wgl tot'!BN79+'wgl tot'!BO79</f>
        <v>#DIV/0!</v>
      </c>
      <c r="BQ79" s="172">
        <f t="shared" si="37"/>
        <v>1900</v>
      </c>
      <c r="BR79" s="172">
        <f t="shared" si="38"/>
        <v>1</v>
      </c>
      <c r="BS79" s="165">
        <f t="shared" si="39"/>
        <v>0</v>
      </c>
      <c r="BT79" s="148">
        <f t="shared" si="15"/>
        <v>22462</v>
      </c>
      <c r="BU79" s="148">
        <f t="shared" ca="1" si="16"/>
        <v>43722.739781944445</v>
      </c>
      <c r="BV79" s="130"/>
      <c r="BW79" s="148"/>
      <c r="BX79" s="130"/>
      <c r="BY79" s="168"/>
      <c r="BZ79" s="168"/>
      <c r="CA79" s="168"/>
      <c r="CB79" s="168"/>
      <c r="CC79" s="168"/>
      <c r="CD79" s="168"/>
      <c r="CE79" s="121"/>
      <c r="CF79" s="121"/>
    </row>
    <row r="80" spans="1:84" s="132" customFormat="1" ht="12" customHeight="1" x14ac:dyDescent="0.2">
      <c r="A80" s="121"/>
      <c r="B80" s="122"/>
      <c r="C80" s="151"/>
      <c r="D80" s="157"/>
      <c r="E80" s="158"/>
      <c r="F80" s="159"/>
      <c r="G80" s="159"/>
      <c r="H80" s="160"/>
      <c r="I80" s="159"/>
      <c r="J80" s="161"/>
      <c r="K80" s="181">
        <f>IF(F80="",0,(VLOOKUP('wgl tot'!F80,saltab2019,'wgl tot'!G80+1,FALSE)))</f>
        <v>0</v>
      </c>
      <c r="L80" s="163">
        <f t="shared" si="33"/>
        <v>0</v>
      </c>
      <c r="M80" s="151"/>
      <c r="N80" s="181">
        <f>ROUND(IF(('wgl tot'!L80+'wgl tot'!P80)*BF80&lt;'wgl tot'!H80*tabellen!$D$50,'wgl tot'!H80*tabellen!$D$50,('wgl tot'!L80+'wgl tot'!P80)*BF80),2)</f>
        <v>0</v>
      </c>
      <c r="O80" s="181">
        <f>ROUND(+('wgl tot'!L80+'wgl tot'!P80)*BG80,2)</f>
        <v>0</v>
      </c>
      <c r="P80" s="181">
        <f>ROUND(IF(I80="j",VLOOKUP(BD80,uitlooptoeslag,2,FALSE))*IF('wgl tot'!H80&gt;1,1,'wgl tot'!H80),2)</f>
        <v>0</v>
      </c>
      <c r="Q80" s="181">
        <f>ROUND(IF(BI80="j",tabellen!$D$59*IF('wgl tot'!H80&gt;1,1,'wgl tot'!H80),0),2)</f>
        <v>0</v>
      </c>
      <c r="R80" s="181">
        <f>IF(AND(F80&gt;0,F80&lt;17),tabellen!$C$41*'wgl tot'!H80,0)</f>
        <v>0</v>
      </c>
      <c r="S80" s="181">
        <f>VLOOKUP(BH80,eindejaarsuitkering_OOP,2,TRUE)*'wgl tot'!H80/12</f>
        <v>0</v>
      </c>
      <c r="T80" s="181">
        <f>ROUND(H80*tabellen!$D$57,2)</f>
        <v>0</v>
      </c>
      <c r="U80" s="181">
        <f>ROUND(H80*tabellen!C$45,2)</f>
        <v>0</v>
      </c>
      <c r="V80" s="181">
        <f>H80*(IF(F80="L10",42%*VLOOKUP(tabellen!L$45,saltab2018sept,G80+1,FALSE),IF(F80="L11",42%*VLOOKUP(tabellen!L$46,saltab2018sept,G80+1,FALSE),IF(F80="L12",42%*VLOOKUP(tabellen!L$47,saltab2018sept,G80+1,FALSE),IF(F80="L13",42%*VLOOKUP(tabellen!L$48,saltab2018sept,G80+1,FALSE),0)))))</f>
        <v>0</v>
      </c>
      <c r="W80" s="182">
        <f t="shared" si="40"/>
        <v>0</v>
      </c>
      <c r="X80" s="181">
        <f>('wgl tot'!L80+'wgl tot'!P80)*tabellen!$C$43*12</f>
        <v>0</v>
      </c>
      <c r="Y80" s="163">
        <f t="shared" si="41"/>
        <v>0</v>
      </c>
      <c r="Z80" s="151"/>
      <c r="AA80" s="182">
        <f t="shared" si="42"/>
        <v>0</v>
      </c>
      <c r="AB80" s="217">
        <f>+'wgl tot'!X80/12</f>
        <v>0</v>
      </c>
      <c r="AC80" s="151"/>
      <c r="AD80" s="181">
        <f>IF(F80="",0,(IF('wgl tot'!W80/'wgl tot'!H80&lt;tabellen!$E$6,0,('wgl tot'!W80-tabellen!$E$6*'wgl tot'!H80)/12)*tabellen!$C$6))</f>
        <v>0</v>
      </c>
      <c r="AE80" s="181">
        <f>IF(F80="",0,(IF('wgl tot'!W80/'wgl tot'!H80&lt;tabellen!$E$7,0,(+'wgl tot'!W80-tabellen!$E$7*'wgl tot'!H80)/12)*tabellen!$C$7))</f>
        <v>0</v>
      </c>
      <c r="AF80" s="181">
        <f>'wgl tot'!W80/12*tabellen!$C$8</f>
        <v>0</v>
      </c>
      <c r="AG80" s="181">
        <f>IF(H80=0,0,IF(BN80&gt;tabellen!$G$9/12,tabellen!$G$9/12,BN80)*(tabellen!$C$9+tabellen!$C$10))</f>
        <v>0</v>
      </c>
      <c r="AH80" s="181">
        <f>IF(F80="",0,('wgl tot'!BO80))</f>
        <v>0</v>
      </c>
      <c r="AI80" s="183">
        <f>IF(F80="",0,(IF('wgl tot'!BN80&gt;tabellen!$G$12*'wgl tot'!H80/12,tabellen!$G$12*'wgl tot'!H80/12,'wgl tot'!BN80)*tabellen!$C$12))</f>
        <v>0</v>
      </c>
      <c r="AJ80" s="151"/>
      <c r="AK80" s="183">
        <f>IF(F80="",0,('wgl tot'!BN80*IF(J80=1,tabellen!$C$13,IF(J80=2,tabellen!$C$14,IF(J80=3,tabellen!$C$15,IF(J80=5,tabellen!$C$17,IF(J80=6,tabellen!$C$18,IF(J80=7,tabellen!$C$19,IF(J80=8,tabellen!$C$20,tabellen!$C$16)))))))))</f>
        <v>0</v>
      </c>
      <c r="AL80" s="183">
        <f>IF(F80="",0,('wgl tot'!BN80*tabellen!$C$21))</f>
        <v>0</v>
      </c>
      <c r="AM80" s="237">
        <v>0</v>
      </c>
      <c r="AN80" s="151"/>
      <c r="AO80" s="237">
        <v>0</v>
      </c>
      <c r="AP80" s="151"/>
      <c r="AQ80" s="163">
        <f t="shared" si="43"/>
        <v>0</v>
      </c>
      <c r="AR80" s="163">
        <f t="shared" si="20"/>
        <v>0</v>
      </c>
      <c r="AS80" s="151"/>
      <c r="AT80" s="187" t="str">
        <f t="shared" si="34"/>
        <v/>
      </c>
      <c r="AU80" s="187" t="str">
        <f t="shared" si="35"/>
        <v/>
      </c>
      <c r="AV80" s="151"/>
      <c r="AW80" s="129"/>
      <c r="AX80" s="121"/>
      <c r="AY80" s="121"/>
      <c r="AZ80" s="165">
        <f ca="1">YEAR('wgl tot'!$AZ$9)-YEAR('wgl tot'!E80)</f>
        <v>119</v>
      </c>
      <c r="BA80" s="165">
        <f ca="1">MONTH('wgl tot'!$AZ$9)-MONTH('wgl tot'!E80)</f>
        <v>8</v>
      </c>
      <c r="BB80" s="165">
        <f ca="1">DAY('wgl tot'!$AZ$9)-DAY('wgl tot'!E80)</f>
        <v>14</v>
      </c>
      <c r="BC80" s="130">
        <f>IF(AND('wgl tot'!F80&gt;0,'wgl tot'!F80&lt;17),0,100)</f>
        <v>100</v>
      </c>
      <c r="BD80" s="130">
        <f t="shared" si="36"/>
        <v>0</v>
      </c>
      <c r="BE80" s="148">
        <v>42583</v>
      </c>
      <c r="BF80" s="166">
        <f t="shared" si="17"/>
        <v>0.08</v>
      </c>
      <c r="BG80" s="167">
        <f>+tabellen!$D$51</f>
        <v>6.3E-2</v>
      </c>
      <c r="BH80" s="165">
        <f>IF('wgl tot'!BC80=100,0,'wgl tot'!F80)</f>
        <v>0</v>
      </c>
      <c r="BI80" s="167" t="str">
        <f>IF(OR('wgl tot'!F80="DA",'wgl tot'!F80="DB",'wgl tot'!F80="DBuit",'wgl tot'!F80="DC",'wgl tot'!F80="DCuit",MID('wgl tot'!F80,1,5)="meerh"),"j","n")</f>
        <v>n</v>
      </c>
      <c r="BJ80" s="169" t="e">
        <f>IF('wgl tot'!W80/'wgl tot'!H80&lt;tabellen!$E$6,0,(+'wgl tot'!W80-tabellen!$E$6*'wgl tot'!H80)/12*tabellen!$D$6)</f>
        <v>#DIV/0!</v>
      </c>
      <c r="BK80" s="169" t="e">
        <f>IF('wgl tot'!W80/'wgl tot'!H80&lt;tabellen!$E$7,0,(+'wgl tot'!W80-tabellen!$E$7*'wgl tot'!H80)/12*tabellen!$D$7)</f>
        <v>#DIV/0!</v>
      </c>
      <c r="BL80" s="169">
        <f>'wgl tot'!W80/12*tabellen!$D$8</f>
        <v>0</v>
      </c>
      <c r="BM80" s="170" t="e">
        <f>SUM(BJ80:BL80)</f>
        <v>#DIV/0!</v>
      </c>
      <c r="BN80" s="171" t="e">
        <f>+Y80/12-'wgl tot'!BM80</f>
        <v>#DIV/0!</v>
      </c>
      <c r="BO80" s="171" t="e">
        <f>ROUND(IF('wgl tot'!BN80&gt;tabellen!$H$11,tabellen!$H$11,'wgl tot'!BN80)*tabellen!$C$11,2)</f>
        <v>#DIV/0!</v>
      </c>
      <c r="BP80" s="171" t="e">
        <f>+'wgl tot'!BN80+'wgl tot'!BO80</f>
        <v>#DIV/0!</v>
      </c>
      <c r="BQ80" s="172">
        <f t="shared" si="37"/>
        <v>1900</v>
      </c>
      <c r="BR80" s="172">
        <f t="shared" si="38"/>
        <v>1</v>
      </c>
      <c r="BS80" s="165">
        <f t="shared" si="39"/>
        <v>0</v>
      </c>
      <c r="BT80" s="148">
        <f t="shared" si="15"/>
        <v>22462</v>
      </c>
      <c r="BU80" s="148">
        <f t="shared" ca="1" si="16"/>
        <v>43722.739781944445</v>
      </c>
      <c r="BV80" s="130"/>
      <c r="BW80" s="148"/>
      <c r="BX80" s="130"/>
      <c r="BY80" s="168"/>
      <c r="BZ80" s="168"/>
      <c r="CA80" s="168"/>
      <c r="CB80" s="168"/>
      <c r="CC80" s="168"/>
      <c r="CD80" s="168"/>
      <c r="CE80" s="121"/>
      <c r="CF80" s="121"/>
    </row>
    <row r="81" spans="1:84" s="132" customFormat="1" ht="12" customHeight="1" x14ac:dyDescent="0.2">
      <c r="A81" s="121"/>
      <c r="B81" s="122"/>
      <c r="C81" s="151"/>
      <c r="D81" s="157"/>
      <c r="E81" s="158"/>
      <c r="F81" s="159"/>
      <c r="G81" s="159"/>
      <c r="H81" s="160"/>
      <c r="I81" s="159"/>
      <c r="J81" s="161"/>
      <c r="K81" s="181">
        <f>IF(F81="",0,(VLOOKUP('wgl tot'!F81,saltab2019,'wgl tot'!G81+1,FALSE)))</f>
        <v>0</v>
      </c>
      <c r="L81" s="163">
        <f t="shared" si="33"/>
        <v>0</v>
      </c>
      <c r="M81" s="151"/>
      <c r="N81" s="181">
        <f>ROUND(IF(('wgl tot'!L81+'wgl tot'!P81)*BF81&lt;'wgl tot'!H81*tabellen!$D$50,'wgl tot'!H81*tabellen!$D$50,('wgl tot'!L81+'wgl tot'!P81)*BF81),2)</f>
        <v>0</v>
      </c>
      <c r="O81" s="181">
        <f>ROUND(+('wgl tot'!L81+'wgl tot'!P81)*BG81,2)</f>
        <v>0</v>
      </c>
      <c r="P81" s="181">
        <f>ROUND(IF(I81="j",VLOOKUP(BD81,uitlooptoeslag,2,FALSE))*IF('wgl tot'!H81&gt;1,1,'wgl tot'!H81),2)</f>
        <v>0</v>
      </c>
      <c r="Q81" s="181">
        <f>ROUND(IF(BI81="j",tabellen!$D$59*IF('wgl tot'!H81&gt;1,1,'wgl tot'!H81),0),2)</f>
        <v>0</v>
      </c>
      <c r="R81" s="181">
        <f>IF(AND(F81&gt;0,F81&lt;17),tabellen!$C$41*'wgl tot'!H81,0)</f>
        <v>0</v>
      </c>
      <c r="S81" s="181">
        <f>VLOOKUP(BH81,eindejaarsuitkering_OOP,2,TRUE)*'wgl tot'!H81/12</f>
        <v>0</v>
      </c>
      <c r="T81" s="181">
        <f>ROUND(H81*tabellen!$D$57,2)</f>
        <v>0</v>
      </c>
      <c r="U81" s="181">
        <f>ROUND(H81*tabellen!C$45,2)</f>
        <v>0</v>
      </c>
      <c r="V81" s="181">
        <f>H81*(IF(F81="L10",42%*VLOOKUP(tabellen!L$45,saltab2018sept,G81+1,FALSE),IF(F81="L11",42%*VLOOKUP(tabellen!L$46,saltab2018sept,G81+1,FALSE),IF(F81="L12",42%*VLOOKUP(tabellen!L$47,saltab2018sept,G81+1,FALSE),IF(F81="L13",42%*VLOOKUP(tabellen!L$48,saltab2018sept,G81+1,FALSE),0)))))</f>
        <v>0</v>
      </c>
      <c r="W81" s="182">
        <f t="shared" si="40"/>
        <v>0</v>
      </c>
      <c r="X81" s="181">
        <f>('wgl tot'!L81+'wgl tot'!P81)*tabellen!$C$43*12</f>
        <v>0</v>
      </c>
      <c r="Y81" s="163">
        <f t="shared" si="41"/>
        <v>0</v>
      </c>
      <c r="Z81" s="151"/>
      <c r="AA81" s="182">
        <f t="shared" si="42"/>
        <v>0</v>
      </c>
      <c r="AB81" s="217">
        <f>+'wgl tot'!X81/12</f>
        <v>0</v>
      </c>
      <c r="AC81" s="151"/>
      <c r="AD81" s="181">
        <f>IF(F81="",0,(IF('wgl tot'!W81/'wgl tot'!H81&lt;tabellen!$E$6,0,('wgl tot'!W81-tabellen!$E$6*'wgl tot'!H81)/12)*tabellen!$C$6))</f>
        <v>0</v>
      </c>
      <c r="AE81" s="181">
        <f>IF(F81="",0,(IF('wgl tot'!W81/'wgl tot'!H81&lt;tabellen!$E$7,0,(+'wgl tot'!W81-tabellen!$E$7*'wgl tot'!H81)/12)*tabellen!$C$7))</f>
        <v>0</v>
      </c>
      <c r="AF81" s="181">
        <f>'wgl tot'!W81/12*tabellen!$C$8</f>
        <v>0</v>
      </c>
      <c r="AG81" s="181">
        <f>IF(H81=0,0,IF(BN81&gt;tabellen!$G$9/12,tabellen!$G$9/12,BN81)*(tabellen!$C$9+tabellen!$C$10))</f>
        <v>0</v>
      </c>
      <c r="AH81" s="181">
        <f>IF(F81="",0,('wgl tot'!BO81))</f>
        <v>0</v>
      </c>
      <c r="AI81" s="183">
        <f>IF(F81="",0,(IF('wgl tot'!BN81&gt;tabellen!$G$12*'wgl tot'!H81/12,tabellen!$G$12*'wgl tot'!H81/12,'wgl tot'!BN81)*tabellen!$C$12))</f>
        <v>0</v>
      </c>
      <c r="AJ81" s="151"/>
      <c r="AK81" s="183">
        <f>IF(F81="",0,('wgl tot'!BN81*IF(J81=1,tabellen!$C$13,IF(J81=2,tabellen!$C$14,IF(J81=3,tabellen!$C$15,IF(J81=5,tabellen!$C$17,IF(J81=6,tabellen!$C$18,IF(J81=7,tabellen!$C$19,IF(J81=8,tabellen!$C$20,tabellen!$C$16)))))))))</f>
        <v>0</v>
      </c>
      <c r="AL81" s="183">
        <f>IF(F81="",0,('wgl tot'!BN81*tabellen!$C$21))</f>
        <v>0</v>
      </c>
      <c r="AM81" s="237">
        <v>0</v>
      </c>
      <c r="AN81" s="151"/>
      <c r="AO81" s="237">
        <v>0</v>
      </c>
      <c r="AP81" s="151"/>
      <c r="AQ81" s="163">
        <f t="shared" si="43"/>
        <v>0</v>
      </c>
      <c r="AR81" s="163">
        <f t="shared" si="20"/>
        <v>0</v>
      </c>
      <c r="AS81" s="151"/>
      <c r="AT81" s="187" t="str">
        <f t="shared" si="34"/>
        <v/>
      </c>
      <c r="AU81" s="187" t="str">
        <f t="shared" si="35"/>
        <v/>
      </c>
      <c r="AV81" s="151"/>
      <c r="AW81" s="129"/>
      <c r="AX81" s="121"/>
      <c r="AY81" s="121"/>
      <c r="AZ81" s="165">
        <f ca="1">YEAR('wgl tot'!$AZ$9)-YEAR('wgl tot'!E81)</f>
        <v>119</v>
      </c>
      <c r="BA81" s="165">
        <f ca="1">MONTH('wgl tot'!$AZ$9)-MONTH('wgl tot'!E81)</f>
        <v>8</v>
      </c>
      <c r="BB81" s="165">
        <f ca="1">DAY('wgl tot'!$AZ$9)-DAY('wgl tot'!E81)</f>
        <v>14</v>
      </c>
      <c r="BC81" s="130">
        <f>IF(AND('wgl tot'!F81&gt;0,'wgl tot'!F81&lt;17),0,100)</f>
        <v>100</v>
      </c>
      <c r="BD81" s="130">
        <f t="shared" si="36"/>
        <v>0</v>
      </c>
      <c r="BE81" s="148">
        <v>42583</v>
      </c>
      <c r="BF81" s="166">
        <f t="shared" si="17"/>
        <v>0.08</v>
      </c>
      <c r="BG81" s="167">
        <f>+tabellen!$D$51</f>
        <v>6.3E-2</v>
      </c>
      <c r="BH81" s="165">
        <f>IF('wgl tot'!BC81=100,0,'wgl tot'!F81)</f>
        <v>0</v>
      </c>
      <c r="BI81" s="167" t="str">
        <f>IF(OR('wgl tot'!F81="DA",'wgl tot'!F81="DB",'wgl tot'!F81="DBuit",'wgl tot'!F81="DC",'wgl tot'!F81="DCuit",MID('wgl tot'!F81,1,5)="meerh"),"j","n")</f>
        <v>n</v>
      </c>
      <c r="BJ81" s="169" t="e">
        <f>IF('wgl tot'!W81/'wgl tot'!H81&lt;tabellen!$E$6,0,(+'wgl tot'!W81-tabellen!$E$6*'wgl tot'!H81)/12*tabellen!$D$6)</f>
        <v>#DIV/0!</v>
      </c>
      <c r="BK81" s="169" t="e">
        <f>IF('wgl tot'!W81/'wgl tot'!H81&lt;tabellen!$E$7,0,(+'wgl tot'!W81-tabellen!$E$7*'wgl tot'!H81)/12*tabellen!$D$7)</f>
        <v>#DIV/0!</v>
      </c>
      <c r="BL81" s="169">
        <f>'wgl tot'!W81/12*tabellen!$D$8</f>
        <v>0</v>
      </c>
      <c r="BM81" s="170" t="e">
        <f t="shared" si="22"/>
        <v>#DIV/0!</v>
      </c>
      <c r="BN81" s="171" t="e">
        <f>+Y81/12-'wgl tot'!BM81</f>
        <v>#DIV/0!</v>
      </c>
      <c r="BO81" s="171" t="e">
        <f>ROUND(IF('wgl tot'!BN81&gt;tabellen!$H$11,tabellen!$H$11,'wgl tot'!BN81)*tabellen!$C$11,2)</f>
        <v>#DIV/0!</v>
      </c>
      <c r="BP81" s="171" t="e">
        <f>+'wgl tot'!BN81+'wgl tot'!BO81</f>
        <v>#DIV/0!</v>
      </c>
      <c r="BQ81" s="172">
        <f t="shared" si="37"/>
        <v>1900</v>
      </c>
      <c r="BR81" s="172">
        <f t="shared" si="38"/>
        <v>1</v>
      </c>
      <c r="BS81" s="165">
        <f t="shared" si="39"/>
        <v>0</v>
      </c>
      <c r="BT81" s="148">
        <f t="shared" si="15"/>
        <v>22462</v>
      </c>
      <c r="BU81" s="148">
        <f t="shared" ca="1" si="16"/>
        <v>43722.739781944445</v>
      </c>
      <c r="BV81" s="130"/>
      <c r="BW81" s="148"/>
      <c r="BX81" s="130"/>
      <c r="BY81" s="168"/>
      <c r="BZ81" s="168"/>
      <c r="CA81" s="168"/>
      <c r="CB81" s="168"/>
      <c r="CC81" s="168"/>
      <c r="CD81" s="168"/>
      <c r="CE81" s="121"/>
      <c r="CF81" s="121"/>
    </row>
    <row r="82" spans="1:84" s="132" customFormat="1" ht="12" customHeight="1" x14ac:dyDescent="0.2">
      <c r="A82" s="121"/>
      <c r="B82" s="122"/>
      <c r="C82" s="151"/>
      <c r="D82" s="157"/>
      <c r="E82" s="158"/>
      <c r="F82" s="159"/>
      <c r="G82" s="159"/>
      <c r="H82" s="160"/>
      <c r="I82" s="159"/>
      <c r="J82" s="161"/>
      <c r="K82" s="181">
        <f>IF(F82="",0,(VLOOKUP('wgl tot'!F82,saltab2019,'wgl tot'!G82+1,FALSE)))</f>
        <v>0</v>
      </c>
      <c r="L82" s="163">
        <f t="shared" si="33"/>
        <v>0</v>
      </c>
      <c r="M82" s="151"/>
      <c r="N82" s="181">
        <f>ROUND(IF(('wgl tot'!L82+'wgl tot'!P82)*BF82&lt;'wgl tot'!H82*tabellen!$D$50,'wgl tot'!H82*tabellen!$D$50,('wgl tot'!L82+'wgl tot'!P82)*BF82),2)</f>
        <v>0</v>
      </c>
      <c r="O82" s="181">
        <f>ROUND(+('wgl tot'!L82+'wgl tot'!P82)*BG82,2)</f>
        <v>0</v>
      </c>
      <c r="P82" s="181">
        <f>ROUND(IF(I82="j",VLOOKUP(BD82,uitlooptoeslag,2,FALSE))*IF('wgl tot'!H82&gt;1,1,'wgl tot'!H82),2)</f>
        <v>0</v>
      </c>
      <c r="Q82" s="181">
        <f>ROUND(IF(BI82="j",tabellen!$D$59*IF('wgl tot'!H82&gt;1,1,'wgl tot'!H82),0),2)</f>
        <v>0</v>
      </c>
      <c r="R82" s="181">
        <f>IF(AND(F82&gt;0,F82&lt;17),tabellen!$C$41*'wgl tot'!H82,0)</f>
        <v>0</v>
      </c>
      <c r="S82" s="181">
        <f>VLOOKUP(BH82,eindejaarsuitkering_OOP,2,TRUE)*'wgl tot'!H82/12</f>
        <v>0</v>
      </c>
      <c r="T82" s="181">
        <f>ROUND(H82*tabellen!$D$57,2)</f>
        <v>0</v>
      </c>
      <c r="U82" s="181">
        <f>ROUND(H82*tabellen!C$45,2)</f>
        <v>0</v>
      </c>
      <c r="V82" s="181">
        <f>H82*(IF(F82="L10",42%*VLOOKUP(tabellen!L$45,saltab2018sept,G82+1,FALSE),IF(F82="L11",42%*VLOOKUP(tabellen!L$46,saltab2018sept,G82+1,FALSE),IF(F82="L12",42%*VLOOKUP(tabellen!L$47,saltab2018sept,G82+1,FALSE),IF(F82="L13",42%*VLOOKUP(tabellen!L$48,saltab2018sept,G82+1,FALSE),0)))))</f>
        <v>0</v>
      </c>
      <c r="W82" s="182">
        <f t="shared" si="40"/>
        <v>0</v>
      </c>
      <c r="X82" s="181">
        <f>('wgl tot'!L82+'wgl tot'!P82)*tabellen!$C$43*12</f>
        <v>0</v>
      </c>
      <c r="Y82" s="163">
        <f t="shared" si="41"/>
        <v>0</v>
      </c>
      <c r="Z82" s="151"/>
      <c r="AA82" s="182">
        <f t="shared" si="42"/>
        <v>0</v>
      </c>
      <c r="AB82" s="217">
        <f>+'wgl tot'!X82/12</f>
        <v>0</v>
      </c>
      <c r="AC82" s="151"/>
      <c r="AD82" s="181">
        <f>IF(F82="",0,(IF('wgl tot'!W82/'wgl tot'!H82&lt;tabellen!$E$6,0,('wgl tot'!W82-tabellen!$E$6*'wgl tot'!H82)/12)*tabellen!$C$6))</f>
        <v>0</v>
      </c>
      <c r="AE82" s="181">
        <f>IF(F82="",0,(IF('wgl tot'!W82/'wgl tot'!H82&lt;tabellen!$E$7,0,(+'wgl tot'!W82-tabellen!$E$7*'wgl tot'!H82)/12)*tabellen!$C$7))</f>
        <v>0</v>
      </c>
      <c r="AF82" s="181">
        <f>'wgl tot'!W82/12*tabellen!$C$8</f>
        <v>0</v>
      </c>
      <c r="AG82" s="181">
        <f>IF(H82=0,0,IF(BN82&gt;tabellen!$G$9/12,tabellen!$G$9/12,BN82)*(tabellen!$C$9+tabellen!$C$10))</f>
        <v>0</v>
      </c>
      <c r="AH82" s="181">
        <f>IF(F82="",0,('wgl tot'!BO82))</f>
        <v>0</v>
      </c>
      <c r="AI82" s="183">
        <f>IF(F82="",0,(IF('wgl tot'!BN82&gt;tabellen!$G$12*'wgl tot'!H82/12,tabellen!$G$12*'wgl tot'!H82/12,'wgl tot'!BN82)*tabellen!$C$12))</f>
        <v>0</v>
      </c>
      <c r="AJ82" s="151"/>
      <c r="AK82" s="183">
        <f>IF(F82="",0,('wgl tot'!BN82*IF(J82=1,tabellen!$C$13,IF(J82=2,tabellen!$C$14,IF(J82=3,tabellen!$C$15,IF(J82=5,tabellen!$C$17,IF(J82=6,tabellen!$C$18,IF(J82=7,tabellen!$C$19,IF(J82=8,tabellen!$C$20,tabellen!$C$16)))))))))</f>
        <v>0</v>
      </c>
      <c r="AL82" s="183">
        <f>IF(F82="",0,('wgl tot'!BN82*tabellen!$C$21))</f>
        <v>0</v>
      </c>
      <c r="AM82" s="237">
        <v>0</v>
      </c>
      <c r="AN82" s="151"/>
      <c r="AO82" s="237">
        <v>0</v>
      </c>
      <c r="AP82" s="151"/>
      <c r="AQ82" s="163">
        <f t="shared" si="43"/>
        <v>0</v>
      </c>
      <c r="AR82" s="163">
        <f t="shared" si="20"/>
        <v>0</v>
      </c>
      <c r="AS82" s="151"/>
      <c r="AT82" s="187" t="str">
        <f t="shared" si="34"/>
        <v/>
      </c>
      <c r="AU82" s="187" t="str">
        <f t="shared" si="35"/>
        <v/>
      </c>
      <c r="AV82" s="151"/>
      <c r="AW82" s="129"/>
      <c r="AX82" s="121"/>
      <c r="AY82" s="121"/>
      <c r="AZ82" s="165">
        <f ca="1">YEAR('wgl tot'!$AZ$9)-YEAR('wgl tot'!E82)</f>
        <v>119</v>
      </c>
      <c r="BA82" s="165">
        <f ca="1">MONTH('wgl tot'!$AZ$9)-MONTH('wgl tot'!E82)</f>
        <v>8</v>
      </c>
      <c r="BB82" s="165">
        <f ca="1">DAY('wgl tot'!$AZ$9)-DAY('wgl tot'!E82)</f>
        <v>14</v>
      </c>
      <c r="BC82" s="130">
        <f>IF(AND('wgl tot'!F82&gt;0,'wgl tot'!F82&lt;17),0,100)</f>
        <v>100</v>
      </c>
      <c r="BD82" s="130">
        <f t="shared" si="36"/>
        <v>0</v>
      </c>
      <c r="BE82" s="148">
        <v>42583</v>
      </c>
      <c r="BF82" s="166">
        <f t="shared" si="17"/>
        <v>0.08</v>
      </c>
      <c r="BG82" s="167">
        <f>+tabellen!$D$51</f>
        <v>6.3E-2</v>
      </c>
      <c r="BH82" s="165">
        <f>IF('wgl tot'!BC82=100,0,'wgl tot'!F82)</f>
        <v>0</v>
      </c>
      <c r="BI82" s="167" t="str">
        <f>IF(OR('wgl tot'!F82="DA",'wgl tot'!F82="DB",'wgl tot'!F82="DBuit",'wgl tot'!F82="DC",'wgl tot'!F82="DCuit",MID('wgl tot'!F82,1,5)="meerh"),"j","n")</f>
        <v>n</v>
      </c>
      <c r="BJ82" s="169" t="e">
        <f>IF('wgl tot'!W82/'wgl tot'!H82&lt;tabellen!$E$6,0,(+'wgl tot'!W82-tabellen!$E$6*'wgl tot'!H82)/12*tabellen!$D$6)</f>
        <v>#DIV/0!</v>
      </c>
      <c r="BK82" s="169" t="e">
        <f>IF('wgl tot'!W82/'wgl tot'!H82&lt;tabellen!$E$7,0,(+'wgl tot'!W82-tabellen!$E$7*'wgl tot'!H82)/12*tabellen!$D$7)</f>
        <v>#DIV/0!</v>
      </c>
      <c r="BL82" s="169">
        <f>'wgl tot'!W82/12*tabellen!$D$8</f>
        <v>0</v>
      </c>
      <c r="BM82" s="170" t="e">
        <f t="shared" si="22"/>
        <v>#DIV/0!</v>
      </c>
      <c r="BN82" s="171" t="e">
        <f>+Y82/12-'wgl tot'!BM82</f>
        <v>#DIV/0!</v>
      </c>
      <c r="BO82" s="171" t="e">
        <f>ROUND(IF('wgl tot'!BN82&gt;tabellen!$H$11,tabellen!$H$11,'wgl tot'!BN82)*tabellen!$C$11,2)</f>
        <v>#DIV/0!</v>
      </c>
      <c r="BP82" s="171" t="e">
        <f>+'wgl tot'!BN82+'wgl tot'!BO82</f>
        <v>#DIV/0!</v>
      </c>
      <c r="BQ82" s="172">
        <f t="shared" si="37"/>
        <v>1900</v>
      </c>
      <c r="BR82" s="172">
        <f t="shared" si="38"/>
        <v>1</v>
      </c>
      <c r="BS82" s="165">
        <f t="shared" si="39"/>
        <v>0</v>
      </c>
      <c r="BT82" s="148">
        <f t="shared" si="15"/>
        <v>22462</v>
      </c>
      <c r="BU82" s="148">
        <f t="shared" ca="1" si="16"/>
        <v>43722.739781944445</v>
      </c>
      <c r="BV82" s="130"/>
      <c r="BW82" s="148"/>
      <c r="BX82" s="130"/>
      <c r="BY82" s="168"/>
      <c r="BZ82" s="168"/>
      <c r="CA82" s="168"/>
      <c r="CB82" s="168"/>
      <c r="CC82" s="168"/>
      <c r="CD82" s="168"/>
      <c r="CE82" s="121"/>
      <c r="CF82" s="121"/>
    </row>
    <row r="83" spans="1:84" s="132" customFormat="1" ht="12" customHeight="1" x14ac:dyDescent="0.2">
      <c r="A83" s="121"/>
      <c r="B83" s="122"/>
      <c r="C83" s="151"/>
      <c r="D83" s="157"/>
      <c r="E83" s="158"/>
      <c r="F83" s="159"/>
      <c r="G83" s="159"/>
      <c r="H83" s="160"/>
      <c r="I83" s="159"/>
      <c r="J83" s="161"/>
      <c r="K83" s="181">
        <f>IF(F83="",0,(VLOOKUP('wgl tot'!F83,saltab2019,'wgl tot'!G83+1,FALSE)))</f>
        <v>0</v>
      </c>
      <c r="L83" s="163">
        <f t="shared" si="33"/>
        <v>0</v>
      </c>
      <c r="M83" s="151"/>
      <c r="N83" s="181">
        <f>ROUND(IF(('wgl tot'!L83+'wgl tot'!P83)*BF83&lt;'wgl tot'!H83*tabellen!$D$50,'wgl tot'!H83*tabellen!$D$50,('wgl tot'!L83+'wgl tot'!P83)*BF83),2)</f>
        <v>0</v>
      </c>
      <c r="O83" s="181">
        <f>ROUND(+('wgl tot'!L83+'wgl tot'!P83)*BG83,2)</f>
        <v>0</v>
      </c>
      <c r="P83" s="181">
        <f>ROUND(IF(I83="j",VLOOKUP(BD83,uitlooptoeslag,2,FALSE))*IF('wgl tot'!H83&gt;1,1,'wgl tot'!H83),2)</f>
        <v>0</v>
      </c>
      <c r="Q83" s="181">
        <f>ROUND(IF(BI83="j",tabellen!$D$59*IF('wgl tot'!H83&gt;1,1,'wgl tot'!H83),0),2)</f>
        <v>0</v>
      </c>
      <c r="R83" s="181">
        <f>IF(AND(F83&gt;0,F83&lt;17),tabellen!$C$41*'wgl tot'!H83,0)</f>
        <v>0</v>
      </c>
      <c r="S83" s="181">
        <f>VLOOKUP(BH83,eindejaarsuitkering_OOP,2,TRUE)*'wgl tot'!H83/12</f>
        <v>0</v>
      </c>
      <c r="T83" s="181">
        <f>ROUND(H83*tabellen!$D$57,2)</f>
        <v>0</v>
      </c>
      <c r="U83" s="181">
        <f>ROUND(H83*tabellen!C$45,2)</f>
        <v>0</v>
      </c>
      <c r="V83" s="181">
        <f>H83*(IF(F83="L10",42%*VLOOKUP(tabellen!L$45,saltab2018sept,G83+1,FALSE),IF(F83="L11",42%*VLOOKUP(tabellen!L$46,saltab2018sept,G83+1,FALSE),IF(F83="L12",42%*VLOOKUP(tabellen!L$47,saltab2018sept,G83+1,FALSE),IF(F83="L13",42%*VLOOKUP(tabellen!L$48,saltab2018sept,G83+1,FALSE),0)))))</f>
        <v>0</v>
      </c>
      <c r="W83" s="182">
        <f t="shared" si="40"/>
        <v>0</v>
      </c>
      <c r="X83" s="181">
        <f>('wgl tot'!L83+'wgl tot'!P83)*tabellen!$C$43*12</f>
        <v>0</v>
      </c>
      <c r="Y83" s="163">
        <f t="shared" si="41"/>
        <v>0</v>
      </c>
      <c r="Z83" s="151"/>
      <c r="AA83" s="182">
        <f t="shared" si="42"/>
        <v>0</v>
      </c>
      <c r="AB83" s="217">
        <f>+'wgl tot'!X83/12</f>
        <v>0</v>
      </c>
      <c r="AC83" s="151"/>
      <c r="AD83" s="181">
        <f>IF(F83="",0,(IF('wgl tot'!W83/'wgl tot'!H83&lt;tabellen!$E$6,0,('wgl tot'!W83-tabellen!$E$6*'wgl tot'!H83)/12)*tabellen!$C$6))</f>
        <v>0</v>
      </c>
      <c r="AE83" s="181">
        <f>IF(F83="",0,(IF('wgl tot'!W83/'wgl tot'!H83&lt;tabellen!$E$7,0,(+'wgl tot'!W83-tabellen!$E$7*'wgl tot'!H83)/12)*tabellen!$C$7))</f>
        <v>0</v>
      </c>
      <c r="AF83" s="181">
        <f>'wgl tot'!W83/12*tabellen!$C$8</f>
        <v>0</v>
      </c>
      <c r="AG83" s="181">
        <f>IF(H83=0,0,IF(BN83&gt;tabellen!$G$9/12,tabellen!$G$9/12,BN83)*(tabellen!$C$9+tabellen!$C$10))</f>
        <v>0</v>
      </c>
      <c r="AH83" s="181">
        <f>IF(F83="",0,('wgl tot'!BO83))</f>
        <v>0</v>
      </c>
      <c r="AI83" s="183">
        <f>IF(F83="",0,(IF('wgl tot'!BN83&gt;tabellen!$G$12*'wgl tot'!H83/12,tabellen!$G$12*'wgl tot'!H83/12,'wgl tot'!BN83)*tabellen!$C$12))</f>
        <v>0</v>
      </c>
      <c r="AJ83" s="151"/>
      <c r="AK83" s="183">
        <f>IF(F83="",0,('wgl tot'!BN83*IF(J83=1,tabellen!$C$13,IF(J83=2,tabellen!$C$14,IF(J83=3,tabellen!$C$15,IF(J83=5,tabellen!$C$17,IF(J83=6,tabellen!$C$18,IF(J83=7,tabellen!$C$19,IF(J83=8,tabellen!$C$20,tabellen!$C$16)))))))))</f>
        <v>0</v>
      </c>
      <c r="AL83" s="183">
        <f>IF(F83="",0,('wgl tot'!BN83*tabellen!$C$21))</f>
        <v>0</v>
      </c>
      <c r="AM83" s="237">
        <v>0</v>
      </c>
      <c r="AN83" s="151"/>
      <c r="AO83" s="237">
        <v>0</v>
      </c>
      <c r="AP83" s="151"/>
      <c r="AQ83" s="163">
        <f t="shared" si="43"/>
        <v>0</v>
      </c>
      <c r="AR83" s="163">
        <f t="shared" si="20"/>
        <v>0</v>
      </c>
      <c r="AS83" s="151"/>
      <c r="AT83" s="187" t="str">
        <f t="shared" si="34"/>
        <v/>
      </c>
      <c r="AU83" s="187" t="str">
        <f t="shared" si="35"/>
        <v/>
      </c>
      <c r="AV83" s="151"/>
      <c r="AW83" s="129"/>
      <c r="AX83" s="121"/>
      <c r="AY83" s="121"/>
      <c r="AZ83" s="165">
        <f ca="1">YEAR('wgl tot'!$AZ$9)-YEAR('wgl tot'!E83)</f>
        <v>119</v>
      </c>
      <c r="BA83" s="165">
        <f ca="1">MONTH('wgl tot'!$AZ$9)-MONTH('wgl tot'!E83)</f>
        <v>8</v>
      </c>
      <c r="BB83" s="165">
        <f ca="1">DAY('wgl tot'!$AZ$9)-DAY('wgl tot'!E83)</f>
        <v>14</v>
      </c>
      <c r="BC83" s="130">
        <f>IF(AND('wgl tot'!F83&gt;0,'wgl tot'!F83&lt;17),0,100)</f>
        <v>100</v>
      </c>
      <c r="BD83" s="130">
        <f t="shared" si="36"/>
        <v>0</v>
      </c>
      <c r="BE83" s="148">
        <v>42583</v>
      </c>
      <c r="BF83" s="166">
        <f t="shared" si="17"/>
        <v>0.08</v>
      </c>
      <c r="BG83" s="167">
        <f>+tabellen!$D$51</f>
        <v>6.3E-2</v>
      </c>
      <c r="BH83" s="165">
        <f>IF('wgl tot'!BC83=100,0,'wgl tot'!F83)</f>
        <v>0</v>
      </c>
      <c r="BI83" s="167" t="str">
        <f>IF(OR('wgl tot'!F83="DA",'wgl tot'!F83="DB",'wgl tot'!F83="DBuit",'wgl tot'!F83="DC",'wgl tot'!F83="DCuit",MID('wgl tot'!F83,1,5)="meerh"),"j","n")</f>
        <v>n</v>
      </c>
      <c r="BJ83" s="169" t="e">
        <f>IF('wgl tot'!W83/'wgl tot'!H83&lt;tabellen!$E$6,0,(+'wgl tot'!W83-tabellen!$E$6*'wgl tot'!H83)/12*tabellen!$D$6)</f>
        <v>#DIV/0!</v>
      </c>
      <c r="BK83" s="169" t="e">
        <f>IF('wgl tot'!W83/'wgl tot'!H83&lt;tabellen!$E$7,0,(+'wgl tot'!W83-tabellen!$E$7*'wgl tot'!H83)/12*tabellen!$D$7)</f>
        <v>#DIV/0!</v>
      </c>
      <c r="BL83" s="169">
        <f>'wgl tot'!W83/12*tabellen!$D$8</f>
        <v>0</v>
      </c>
      <c r="BM83" s="170" t="e">
        <f t="shared" si="22"/>
        <v>#DIV/0!</v>
      </c>
      <c r="BN83" s="171" t="e">
        <f>+Y83/12-'wgl tot'!BM83</f>
        <v>#DIV/0!</v>
      </c>
      <c r="BO83" s="171" t="e">
        <f>ROUND(IF('wgl tot'!BN83&gt;tabellen!$H$11,tabellen!$H$11,'wgl tot'!BN83)*tabellen!$C$11,2)</f>
        <v>#DIV/0!</v>
      </c>
      <c r="BP83" s="171" t="e">
        <f>+'wgl tot'!BN83+'wgl tot'!BO83</f>
        <v>#DIV/0!</v>
      </c>
      <c r="BQ83" s="172">
        <f t="shared" si="37"/>
        <v>1900</v>
      </c>
      <c r="BR83" s="172">
        <f t="shared" si="38"/>
        <v>1</v>
      </c>
      <c r="BS83" s="165">
        <f t="shared" si="39"/>
        <v>0</v>
      </c>
      <c r="BT83" s="148">
        <f t="shared" si="15"/>
        <v>22462</v>
      </c>
      <c r="BU83" s="148">
        <f t="shared" ca="1" si="16"/>
        <v>43722.739781944445</v>
      </c>
      <c r="BV83" s="130"/>
      <c r="BW83" s="148"/>
      <c r="BX83" s="130"/>
      <c r="BY83" s="168"/>
      <c r="BZ83" s="168"/>
      <c r="CA83" s="168"/>
      <c r="CB83" s="168"/>
      <c r="CC83" s="168"/>
      <c r="CD83" s="168"/>
      <c r="CE83" s="121"/>
      <c r="CF83" s="121"/>
    </row>
    <row r="84" spans="1:84" s="132" customFormat="1" ht="12" customHeight="1" x14ac:dyDescent="0.2">
      <c r="A84" s="121"/>
      <c r="B84" s="122"/>
      <c r="C84" s="151"/>
      <c r="D84" s="157"/>
      <c r="E84" s="158"/>
      <c r="F84" s="159"/>
      <c r="G84" s="159"/>
      <c r="H84" s="160"/>
      <c r="I84" s="159"/>
      <c r="J84" s="161"/>
      <c r="K84" s="181">
        <f>IF(F84="",0,(VLOOKUP('wgl tot'!F84,saltab2019,'wgl tot'!G84+1,FALSE)))</f>
        <v>0</v>
      </c>
      <c r="L84" s="163">
        <f t="shared" si="33"/>
        <v>0</v>
      </c>
      <c r="M84" s="151"/>
      <c r="N84" s="181">
        <f>ROUND(IF(('wgl tot'!L84+'wgl tot'!P84)*BF84&lt;'wgl tot'!H84*tabellen!$D$50,'wgl tot'!H84*tabellen!$D$50,('wgl tot'!L84+'wgl tot'!P84)*BF84),2)</f>
        <v>0</v>
      </c>
      <c r="O84" s="181">
        <f>ROUND(+('wgl tot'!L84+'wgl tot'!P84)*BG84,2)</f>
        <v>0</v>
      </c>
      <c r="P84" s="181">
        <f>ROUND(IF(I84="j",VLOOKUP(BD84,uitlooptoeslag,2,FALSE))*IF('wgl tot'!H84&gt;1,1,'wgl tot'!H84),2)</f>
        <v>0</v>
      </c>
      <c r="Q84" s="181">
        <f>ROUND(IF(BI84="j",tabellen!$D$59*IF('wgl tot'!H84&gt;1,1,'wgl tot'!H84),0),2)</f>
        <v>0</v>
      </c>
      <c r="R84" s="181">
        <f>IF(AND(F84&gt;0,F84&lt;17),tabellen!$C$41*'wgl tot'!H84,0)</f>
        <v>0</v>
      </c>
      <c r="S84" s="181">
        <f>VLOOKUP(BH84,eindejaarsuitkering_OOP,2,TRUE)*'wgl tot'!H84/12</f>
        <v>0</v>
      </c>
      <c r="T84" s="181">
        <f>ROUND(H84*tabellen!$D$57,2)</f>
        <v>0</v>
      </c>
      <c r="U84" s="181">
        <f>ROUND(H84*tabellen!C$45,2)</f>
        <v>0</v>
      </c>
      <c r="V84" s="181">
        <f>H84*(IF(F84="L10",42%*VLOOKUP(tabellen!L$45,saltab2018sept,G84+1,FALSE),IF(F84="L11",42%*VLOOKUP(tabellen!L$46,saltab2018sept,G84+1,FALSE),IF(F84="L12",42%*VLOOKUP(tabellen!L$47,saltab2018sept,G84+1,FALSE),IF(F84="L13",42%*VLOOKUP(tabellen!L$48,saltab2018sept,G84+1,FALSE),0)))))</f>
        <v>0</v>
      </c>
      <c r="W84" s="182">
        <f t="shared" si="40"/>
        <v>0</v>
      </c>
      <c r="X84" s="181">
        <f>('wgl tot'!L84+'wgl tot'!P84)*tabellen!$C$43*12</f>
        <v>0</v>
      </c>
      <c r="Y84" s="163">
        <f t="shared" si="41"/>
        <v>0</v>
      </c>
      <c r="Z84" s="151"/>
      <c r="AA84" s="182">
        <f t="shared" si="42"/>
        <v>0</v>
      </c>
      <c r="AB84" s="217">
        <f>+'wgl tot'!X84/12</f>
        <v>0</v>
      </c>
      <c r="AC84" s="151"/>
      <c r="AD84" s="181">
        <f>IF(F84="",0,(IF('wgl tot'!W84/'wgl tot'!H84&lt;tabellen!$E$6,0,('wgl tot'!W84-tabellen!$E$6*'wgl tot'!H84)/12)*tabellen!$C$6))</f>
        <v>0</v>
      </c>
      <c r="AE84" s="181">
        <f>IF(F84="",0,(IF('wgl tot'!W84/'wgl tot'!H84&lt;tabellen!$E$7,0,(+'wgl tot'!W84-tabellen!$E$7*'wgl tot'!H84)/12)*tabellen!$C$7))</f>
        <v>0</v>
      </c>
      <c r="AF84" s="181">
        <f>'wgl tot'!W84/12*tabellen!$C$8</f>
        <v>0</v>
      </c>
      <c r="AG84" s="181">
        <f>IF(H84=0,0,IF(BN84&gt;tabellen!$G$9/12,tabellen!$G$9/12,BN84)*(tabellen!$C$9+tabellen!$C$10))</f>
        <v>0</v>
      </c>
      <c r="AH84" s="181">
        <f>IF(F84="",0,('wgl tot'!BO84))</f>
        <v>0</v>
      </c>
      <c r="AI84" s="183">
        <f>IF(F84="",0,(IF('wgl tot'!BN84&gt;tabellen!$G$12*'wgl tot'!H84/12,tabellen!$G$12*'wgl tot'!H84/12,'wgl tot'!BN84)*tabellen!$C$12))</f>
        <v>0</v>
      </c>
      <c r="AJ84" s="151"/>
      <c r="AK84" s="183">
        <f>IF(F84="",0,('wgl tot'!BN84*IF(J84=1,tabellen!$C$13,IF(J84=2,tabellen!$C$14,IF(J84=3,tabellen!$C$15,IF(J84=5,tabellen!$C$17,IF(J84=6,tabellen!$C$18,IF(J84=7,tabellen!$C$19,IF(J84=8,tabellen!$C$20,tabellen!$C$16)))))))))</f>
        <v>0</v>
      </c>
      <c r="AL84" s="183">
        <f>IF(F84="",0,('wgl tot'!BN84*tabellen!$C$21))</f>
        <v>0</v>
      </c>
      <c r="AM84" s="237">
        <v>0</v>
      </c>
      <c r="AN84" s="151"/>
      <c r="AO84" s="237">
        <v>0</v>
      </c>
      <c r="AP84" s="151"/>
      <c r="AQ84" s="163">
        <f t="shared" si="43"/>
        <v>0</v>
      </c>
      <c r="AR84" s="163">
        <f t="shared" si="20"/>
        <v>0</v>
      </c>
      <c r="AS84" s="151"/>
      <c r="AT84" s="187" t="str">
        <f t="shared" si="34"/>
        <v/>
      </c>
      <c r="AU84" s="187" t="str">
        <f t="shared" si="35"/>
        <v/>
      </c>
      <c r="AV84" s="151"/>
      <c r="AW84" s="129"/>
      <c r="AX84" s="121"/>
      <c r="AY84" s="121"/>
      <c r="AZ84" s="165">
        <f ca="1">YEAR('wgl tot'!$AZ$9)-YEAR('wgl tot'!E84)</f>
        <v>119</v>
      </c>
      <c r="BA84" s="165">
        <f ca="1">MONTH('wgl tot'!$AZ$9)-MONTH('wgl tot'!E84)</f>
        <v>8</v>
      </c>
      <c r="BB84" s="165">
        <f ca="1">DAY('wgl tot'!$AZ$9)-DAY('wgl tot'!E84)</f>
        <v>14</v>
      </c>
      <c r="BC84" s="130">
        <f>IF(AND('wgl tot'!F84&gt;0,'wgl tot'!F84&lt;17),0,100)</f>
        <v>100</v>
      </c>
      <c r="BD84" s="130">
        <f t="shared" si="36"/>
        <v>0</v>
      </c>
      <c r="BE84" s="148">
        <v>42583</v>
      </c>
      <c r="BF84" s="166">
        <f t="shared" si="17"/>
        <v>0.08</v>
      </c>
      <c r="BG84" s="167">
        <f>+tabellen!$D$51</f>
        <v>6.3E-2</v>
      </c>
      <c r="BH84" s="165">
        <f>IF('wgl tot'!BC84=100,0,'wgl tot'!F84)</f>
        <v>0</v>
      </c>
      <c r="BI84" s="167" t="str">
        <f>IF(OR('wgl tot'!F84="DA",'wgl tot'!F84="DB",'wgl tot'!F84="DBuit",'wgl tot'!F84="DC",'wgl tot'!F84="DCuit",MID('wgl tot'!F84,1,5)="meerh"),"j","n")</f>
        <v>n</v>
      </c>
      <c r="BJ84" s="169" t="e">
        <f>IF('wgl tot'!W84/'wgl tot'!H84&lt;tabellen!$E$6,0,(+'wgl tot'!W84-tabellen!$E$6*'wgl tot'!H84)/12*tabellen!$D$6)</f>
        <v>#DIV/0!</v>
      </c>
      <c r="BK84" s="169" t="e">
        <f>IF('wgl tot'!W84/'wgl tot'!H84&lt;tabellen!$E$7,0,(+'wgl tot'!W84-tabellen!$E$7*'wgl tot'!H84)/12*tabellen!$D$7)</f>
        <v>#DIV/0!</v>
      </c>
      <c r="BL84" s="169">
        <f>'wgl tot'!W84/12*tabellen!$D$8</f>
        <v>0</v>
      </c>
      <c r="BM84" s="170" t="e">
        <f t="shared" si="22"/>
        <v>#DIV/0!</v>
      </c>
      <c r="BN84" s="171" t="e">
        <f>+Y84/12-'wgl tot'!BM84</f>
        <v>#DIV/0!</v>
      </c>
      <c r="BO84" s="171" t="e">
        <f>ROUND(IF('wgl tot'!BN84&gt;tabellen!$H$11,tabellen!$H$11,'wgl tot'!BN84)*tabellen!$C$11,2)</f>
        <v>#DIV/0!</v>
      </c>
      <c r="BP84" s="171" t="e">
        <f>+'wgl tot'!BN84+'wgl tot'!BO84</f>
        <v>#DIV/0!</v>
      </c>
      <c r="BQ84" s="172">
        <f t="shared" si="37"/>
        <v>1900</v>
      </c>
      <c r="BR84" s="172">
        <f t="shared" si="38"/>
        <v>1</v>
      </c>
      <c r="BS84" s="165">
        <f t="shared" si="39"/>
        <v>0</v>
      </c>
      <c r="BT84" s="148">
        <f t="shared" si="15"/>
        <v>22462</v>
      </c>
      <c r="BU84" s="148">
        <f t="shared" ca="1" si="16"/>
        <v>43722.739781944445</v>
      </c>
      <c r="BV84" s="130"/>
      <c r="BW84" s="148"/>
      <c r="BX84" s="130"/>
      <c r="BY84" s="168"/>
      <c r="BZ84" s="168"/>
      <c r="CA84" s="168"/>
      <c r="CB84" s="168"/>
      <c r="CC84" s="168"/>
      <c r="CD84" s="168"/>
      <c r="CE84" s="121"/>
      <c r="CF84" s="121"/>
    </row>
    <row r="85" spans="1:84" s="132" customFormat="1" ht="12" customHeight="1" x14ac:dyDescent="0.2">
      <c r="A85" s="121"/>
      <c r="B85" s="122"/>
      <c r="C85" s="151"/>
      <c r="D85" s="157"/>
      <c r="E85" s="158"/>
      <c r="F85" s="159"/>
      <c r="G85" s="159"/>
      <c r="H85" s="160"/>
      <c r="I85" s="159"/>
      <c r="J85" s="161"/>
      <c r="K85" s="181">
        <f>IF(F85="",0,(VLOOKUP('wgl tot'!F85,saltab2019,'wgl tot'!G85+1,FALSE)))</f>
        <v>0</v>
      </c>
      <c r="L85" s="163">
        <f t="shared" si="33"/>
        <v>0</v>
      </c>
      <c r="M85" s="151"/>
      <c r="N85" s="181">
        <f>ROUND(IF(('wgl tot'!L85+'wgl tot'!P85)*BF85&lt;'wgl tot'!H85*tabellen!$D$50,'wgl tot'!H85*tabellen!$D$50,('wgl tot'!L85+'wgl tot'!P85)*BF85),2)</f>
        <v>0</v>
      </c>
      <c r="O85" s="181">
        <f>ROUND(+('wgl tot'!L85+'wgl tot'!P85)*BG85,2)</f>
        <v>0</v>
      </c>
      <c r="P85" s="181">
        <f>ROUND(IF(I85="j",VLOOKUP(BD85,uitlooptoeslag,2,FALSE))*IF('wgl tot'!H85&gt;1,1,'wgl tot'!H85),2)</f>
        <v>0</v>
      </c>
      <c r="Q85" s="181">
        <f>ROUND(IF(BI85="j",tabellen!$D$59*IF('wgl tot'!H85&gt;1,1,'wgl tot'!H85),0),2)</f>
        <v>0</v>
      </c>
      <c r="R85" s="181">
        <f>IF(AND(F85&gt;0,F85&lt;17),tabellen!$C$41*'wgl tot'!H85,0)</f>
        <v>0</v>
      </c>
      <c r="S85" s="181">
        <f>VLOOKUP(BH85,eindejaarsuitkering_OOP,2,TRUE)*'wgl tot'!H85/12</f>
        <v>0</v>
      </c>
      <c r="T85" s="181">
        <f>ROUND(H85*tabellen!$D$57,2)</f>
        <v>0</v>
      </c>
      <c r="U85" s="181">
        <f>ROUND(H85*tabellen!C$45,2)</f>
        <v>0</v>
      </c>
      <c r="V85" s="181">
        <f>H85*(IF(F85="L10",42%*VLOOKUP(tabellen!L$45,saltab2018sept,G85+1,FALSE),IF(F85="L11",42%*VLOOKUP(tabellen!L$46,saltab2018sept,G85+1,FALSE),IF(F85="L12",42%*VLOOKUP(tabellen!L$47,saltab2018sept,G85+1,FALSE),IF(F85="L13",42%*VLOOKUP(tabellen!L$48,saltab2018sept,G85+1,FALSE),0)))))</f>
        <v>0</v>
      </c>
      <c r="W85" s="182">
        <f t="shared" si="40"/>
        <v>0</v>
      </c>
      <c r="X85" s="181">
        <f>('wgl tot'!L85+'wgl tot'!P85)*tabellen!$C$43*12</f>
        <v>0</v>
      </c>
      <c r="Y85" s="163">
        <f t="shared" si="41"/>
        <v>0</v>
      </c>
      <c r="Z85" s="151"/>
      <c r="AA85" s="182">
        <f t="shared" si="42"/>
        <v>0</v>
      </c>
      <c r="AB85" s="217">
        <f>+'wgl tot'!X85/12</f>
        <v>0</v>
      </c>
      <c r="AC85" s="151"/>
      <c r="AD85" s="181">
        <f>IF(F85="",0,(IF('wgl tot'!W85/'wgl tot'!H85&lt;tabellen!$E$6,0,('wgl tot'!W85-tabellen!$E$6*'wgl tot'!H85)/12)*tabellen!$C$6))</f>
        <v>0</v>
      </c>
      <c r="AE85" s="181">
        <f>IF(F85="",0,(IF('wgl tot'!W85/'wgl tot'!H85&lt;tabellen!$E$7,0,(+'wgl tot'!W85-tabellen!$E$7*'wgl tot'!H85)/12)*tabellen!$C$7))</f>
        <v>0</v>
      </c>
      <c r="AF85" s="181">
        <f>'wgl tot'!W85/12*tabellen!$C$8</f>
        <v>0</v>
      </c>
      <c r="AG85" s="181">
        <f>IF(H85=0,0,IF(BN85&gt;tabellen!$G$9/12,tabellen!$G$9/12,BN85)*(tabellen!$C$9+tabellen!$C$10))</f>
        <v>0</v>
      </c>
      <c r="AH85" s="181">
        <f>IF(F85="",0,('wgl tot'!BO85))</f>
        <v>0</v>
      </c>
      <c r="AI85" s="183">
        <f>IF(F85="",0,(IF('wgl tot'!BN85&gt;tabellen!$G$12*'wgl tot'!H85/12,tabellen!$G$12*'wgl tot'!H85/12,'wgl tot'!BN85)*tabellen!$C$12))</f>
        <v>0</v>
      </c>
      <c r="AJ85" s="151"/>
      <c r="AK85" s="183">
        <f>IF(F85="",0,('wgl tot'!BN85*IF(J85=1,tabellen!$C$13,IF(J85=2,tabellen!$C$14,IF(J85=3,tabellen!$C$15,IF(J85=5,tabellen!$C$17,IF(J85=6,tabellen!$C$18,IF(J85=7,tabellen!$C$19,IF(J85=8,tabellen!$C$20,tabellen!$C$16)))))))))</f>
        <v>0</v>
      </c>
      <c r="AL85" s="183">
        <f>IF(F85="",0,('wgl tot'!BN85*tabellen!$C$21))</f>
        <v>0</v>
      </c>
      <c r="AM85" s="237">
        <v>0</v>
      </c>
      <c r="AN85" s="151"/>
      <c r="AO85" s="237">
        <v>0</v>
      </c>
      <c r="AP85" s="151"/>
      <c r="AQ85" s="163">
        <f t="shared" si="43"/>
        <v>0</v>
      </c>
      <c r="AR85" s="163">
        <f t="shared" si="20"/>
        <v>0</v>
      </c>
      <c r="AS85" s="151"/>
      <c r="AT85" s="187" t="str">
        <f t="shared" si="34"/>
        <v/>
      </c>
      <c r="AU85" s="187" t="str">
        <f t="shared" si="35"/>
        <v/>
      </c>
      <c r="AV85" s="151"/>
      <c r="AW85" s="129"/>
      <c r="AX85" s="121"/>
      <c r="AY85" s="121"/>
      <c r="AZ85" s="165">
        <f ca="1">YEAR('wgl tot'!$AZ$9)-YEAR('wgl tot'!E85)</f>
        <v>119</v>
      </c>
      <c r="BA85" s="165">
        <f ca="1">MONTH('wgl tot'!$AZ$9)-MONTH('wgl tot'!E85)</f>
        <v>8</v>
      </c>
      <c r="BB85" s="165">
        <f ca="1">DAY('wgl tot'!$AZ$9)-DAY('wgl tot'!E85)</f>
        <v>14</v>
      </c>
      <c r="BC85" s="130">
        <f>IF(AND('wgl tot'!F85&gt;0,'wgl tot'!F85&lt;17),0,100)</f>
        <v>100</v>
      </c>
      <c r="BD85" s="130">
        <f t="shared" si="36"/>
        <v>0</v>
      </c>
      <c r="BE85" s="148">
        <v>42583</v>
      </c>
      <c r="BF85" s="166">
        <f t="shared" si="17"/>
        <v>0.08</v>
      </c>
      <c r="BG85" s="167">
        <f>+tabellen!$D$51</f>
        <v>6.3E-2</v>
      </c>
      <c r="BH85" s="165">
        <f>IF('wgl tot'!BC85=100,0,'wgl tot'!F85)</f>
        <v>0</v>
      </c>
      <c r="BI85" s="167" t="str">
        <f>IF(OR('wgl tot'!F85="DA",'wgl tot'!F85="DB",'wgl tot'!F85="DBuit",'wgl tot'!F85="DC",'wgl tot'!F85="DCuit",MID('wgl tot'!F85,1,5)="meerh"),"j","n")</f>
        <v>n</v>
      </c>
      <c r="BJ85" s="169" t="e">
        <f>IF('wgl tot'!W85/'wgl tot'!H85&lt;tabellen!$E$6,0,(+'wgl tot'!W85-tabellen!$E$6*'wgl tot'!H85)/12*tabellen!$D$6)</f>
        <v>#DIV/0!</v>
      </c>
      <c r="BK85" s="169" t="e">
        <f>IF('wgl tot'!W85/'wgl tot'!H85&lt;tabellen!$E$7,0,(+'wgl tot'!W85-tabellen!$E$7*'wgl tot'!H85)/12*tabellen!$D$7)</f>
        <v>#DIV/0!</v>
      </c>
      <c r="BL85" s="169">
        <f>'wgl tot'!W85/12*tabellen!$D$8</f>
        <v>0</v>
      </c>
      <c r="BM85" s="170" t="e">
        <f t="shared" si="22"/>
        <v>#DIV/0!</v>
      </c>
      <c r="BN85" s="171" t="e">
        <f>+Y85/12-'wgl tot'!BM85</f>
        <v>#DIV/0!</v>
      </c>
      <c r="BO85" s="171" t="e">
        <f>ROUND(IF('wgl tot'!BN85&gt;tabellen!$H$11,tabellen!$H$11,'wgl tot'!BN85)*tabellen!$C$11,2)</f>
        <v>#DIV/0!</v>
      </c>
      <c r="BP85" s="171" t="e">
        <f>+'wgl tot'!BN85+'wgl tot'!BO85</f>
        <v>#DIV/0!</v>
      </c>
      <c r="BQ85" s="172">
        <f t="shared" si="37"/>
        <v>1900</v>
      </c>
      <c r="BR85" s="172">
        <f t="shared" si="38"/>
        <v>1</v>
      </c>
      <c r="BS85" s="165">
        <f t="shared" si="39"/>
        <v>0</v>
      </c>
      <c r="BT85" s="148">
        <f t="shared" si="15"/>
        <v>22462</v>
      </c>
      <c r="BU85" s="148">
        <f t="shared" ca="1" si="16"/>
        <v>43722.739781944445</v>
      </c>
      <c r="BV85" s="130"/>
      <c r="BW85" s="148"/>
      <c r="BX85" s="130"/>
      <c r="BY85" s="168"/>
      <c r="BZ85" s="168"/>
      <c r="CA85" s="168"/>
      <c r="CB85" s="168"/>
      <c r="CC85" s="168"/>
      <c r="CD85" s="168"/>
      <c r="CE85" s="121"/>
      <c r="CF85" s="121"/>
    </row>
    <row r="86" spans="1:84" s="132" customFormat="1" ht="12" customHeight="1" x14ac:dyDescent="0.2">
      <c r="A86" s="121"/>
      <c r="B86" s="122"/>
      <c r="C86" s="151"/>
      <c r="D86" s="157"/>
      <c r="E86" s="158"/>
      <c r="F86" s="159"/>
      <c r="G86" s="159"/>
      <c r="H86" s="160"/>
      <c r="I86" s="159"/>
      <c r="J86" s="161"/>
      <c r="K86" s="181">
        <f>IF(F86="",0,(VLOOKUP('wgl tot'!F86,saltab2019,'wgl tot'!G86+1,FALSE)))</f>
        <v>0</v>
      </c>
      <c r="L86" s="163">
        <f t="shared" si="33"/>
        <v>0</v>
      </c>
      <c r="M86" s="151"/>
      <c r="N86" s="181">
        <f>ROUND(IF(('wgl tot'!L86+'wgl tot'!P86)*BF86&lt;'wgl tot'!H86*tabellen!$D$50,'wgl tot'!H86*tabellen!$D$50,('wgl tot'!L86+'wgl tot'!P86)*BF86),2)</f>
        <v>0</v>
      </c>
      <c r="O86" s="181">
        <f>ROUND(+('wgl tot'!L86+'wgl tot'!P86)*BG86,2)</f>
        <v>0</v>
      </c>
      <c r="P86" s="181">
        <f>ROUND(IF(I86="j",VLOOKUP(BD86,uitlooptoeslag,2,FALSE))*IF('wgl tot'!H86&gt;1,1,'wgl tot'!H86),2)</f>
        <v>0</v>
      </c>
      <c r="Q86" s="181">
        <f>ROUND(IF(BI86="j",tabellen!$D$59*IF('wgl tot'!H86&gt;1,1,'wgl tot'!H86),0),2)</f>
        <v>0</v>
      </c>
      <c r="R86" s="181">
        <f>IF(AND(F86&gt;0,F86&lt;17),tabellen!$C$41*'wgl tot'!H86,0)</f>
        <v>0</v>
      </c>
      <c r="S86" s="181">
        <f>VLOOKUP(BH86,eindejaarsuitkering_OOP,2,TRUE)*'wgl tot'!H86/12</f>
        <v>0</v>
      </c>
      <c r="T86" s="181">
        <f>ROUND(H86*tabellen!$D$57,2)</f>
        <v>0</v>
      </c>
      <c r="U86" s="181">
        <f>ROUND(H86*tabellen!C$45,2)</f>
        <v>0</v>
      </c>
      <c r="V86" s="181">
        <f>H86*(IF(F86="L10",42%*VLOOKUP(tabellen!L$45,saltab2018sept,G86+1,FALSE),IF(F86="L11",42%*VLOOKUP(tabellen!L$46,saltab2018sept,G86+1,FALSE),IF(F86="L12",42%*VLOOKUP(tabellen!L$47,saltab2018sept,G86+1,FALSE),IF(F86="L13",42%*VLOOKUP(tabellen!L$48,saltab2018sept,G86+1,FALSE),0)))))</f>
        <v>0</v>
      </c>
      <c r="W86" s="182">
        <f t="shared" si="40"/>
        <v>0</v>
      </c>
      <c r="X86" s="181">
        <f>('wgl tot'!L86+'wgl tot'!P86)*tabellen!$C$43*12</f>
        <v>0</v>
      </c>
      <c r="Y86" s="163">
        <f t="shared" si="41"/>
        <v>0</v>
      </c>
      <c r="Z86" s="151"/>
      <c r="AA86" s="182">
        <f t="shared" si="42"/>
        <v>0</v>
      </c>
      <c r="AB86" s="217">
        <f>+'wgl tot'!X86/12</f>
        <v>0</v>
      </c>
      <c r="AC86" s="151"/>
      <c r="AD86" s="181">
        <f>IF(F86="",0,(IF('wgl tot'!W86/'wgl tot'!H86&lt;tabellen!$E$6,0,('wgl tot'!W86-tabellen!$E$6*'wgl tot'!H86)/12)*tabellen!$C$6))</f>
        <v>0</v>
      </c>
      <c r="AE86" s="181">
        <f>IF(F86="",0,(IF('wgl tot'!W86/'wgl tot'!H86&lt;tabellen!$E$7,0,(+'wgl tot'!W86-tabellen!$E$7*'wgl tot'!H86)/12)*tabellen!$C$7))</f>
        <v>0</v>
      </c>
      <c r="AF86" s="181">
        <f>'wgl tot'!W86/12*tabellen!$C$8</f>
        <v>0</v>
      </c>
      <c r="AG86" s="181">
        <f>IF(H86=0,0,IF(BN86&gt;tabellen!$G$9/12,tabellen!$G$9/12,BN86)*(tabellen!$C$9+tabellen!$C$10))</f>
        <v>0</v>
      </c>
      <c r="AH86" s="181">
        <f>IF(F86="",0,('wgl tot'!BO86))</f>
        <v>0</v>
      </c>
      <c r="AI86" s="183">
        <f>IF(F86="",0,(IF('wgl tot'!BN86&gt;tabellen!$G$12*'wgl tot'!H86/12,tabellen!$G$12*'wgl tot'!H86/12,'wgl tot'!BN86)*tabellen!$C$12))</f>
        <v>0</v>
      </c>
      <c r="AJ86" s="151"/>
      <c r="AK86" s="183">
        <f>IF(F86="",0,('wgl tot'!BN86*IF(J86=1,tabellen!$C$13,IF(J86=2,tabellen!$C$14,IF(J86=3,tabellen!$C$15,IF(J86=5,tabellen!$C$17,IF(J86=6,tabellen!$C$18,IF(J86=7,tabellen!$C$19,IF(J86=8,tabellen!$C$20,tabellen!$C$16)))))))))</f>
        <v>0</v>
      </c>
      <c r="AL86" s="183">
        <f>IF(F86="",0,('wgl tot'!BN86*tabellen!$C$21))</f>
        <v>0</v>
      </c>
      <c r="AM86" s="237">
        <v>0</v>
      </c>
      <c r="AN86" s="151"/>
      <c r="AO86" s="237">
        <v>0</v>
      </c>
      <c r="AP86" s="151"/>
      <c r="AQ86" s="163">
        <f t="shared" si="43"/>
        <v>0</v>
      </c>
      <c r="AR86" s="163">
        <f t="shared" si="20"/>
        <v>0</v>
      </c>
      <c r="AS86" s="151"/>
      <c r="AT86" s="187" t="str">
        <f t="shared" si="34"/>
        <v/>
      </c>
      <c r="AU86" s="187" t="str">
        <f t="shared" si="35"/>
        <v/>
      </c>
      <c r="AV86" s="151"/>
      <c r="AW86" s="129"/>
      <c r="AX86" s="121"/>
      <c r="AY86" s="121"/>
      <c r="AZ86" s="165">
        <f ca="1">YEAR('wgl tot'!$AZ$9)-YEAR('wgl tot'!E86)</f>
        <v>119</v>
      </c>
      <c r="BA86" s="165">
        <f ca="1">MONTH('wgl tot'!$AZ$9)-MONTH('wgl tot'!E86)</f>
        <v>8</v>
      </c>
      <c r="BB86" s="165">
        <f ca="1">DAY('wgl tot'!$AZ$9)-DAY('wgl tot'!E86)</f>
        <v>14</v>
      </c>
      <c r="BC86" s="130">
        <f>IF(AND('wgl tot'!F86&gt;0,'wgl tot'!F86&lt;17),0,100)</f>
        <v>100</v>
      </c>
      <c r="BD86" s="130">
        <f t="shared" si="36"/>
        <v>0</v>
      </c>
      <c r="BE86" s="148">
        <v>42583</v>
      </c>
      <c r="BF86" s="166">
        <f t="shared" si="17"/>
        <v>0.08</v>
      </c>
      <c r="BG86" s="167">
        <f>+tabellen!$D$51</f>
        <v>6.3E-2</v>
      </c>
      <c r="BH86" s="165">
        <f>IF('wgl tot'!BC86=100,0,'wgl tot'!F86)</f>
        <v>0</v>
      </c>
      <c r="BI86" s="167" t="str">
        <f>IF(OR('wgl tot'!F86="DA",'wgl tot'!F86="DB",'wgl tot'!F86="DBuit",'wgl tot'!F86="DC",'wgl tot'!F86="DCuit",MID('wgl tot'!F86,1,5)="meerh"),"j","n")</f>
        <v>n</v>
      </c>
      <c r="BJ86" s="169" t="e">
        <f>IF('wgl tot'!W86/'wgl tot'!H86&lt;tabellen!$E$6,0,(+'wgl tot'!W86-tabellen!$E$6*'wgl tot'!H86)/12*tabellen!$D$6)</f>
        <v>#DIV/0!</v>
      </c>
      <c r="BK86" s="169" t="e">
        <f>IF('wgl tot'!W86/'wgl tot'!H86&lt;tabellen!$E$7,0,(+'wgl tot'!W86-tabellen!$E$7*'wgl tot'!H86)/12*tabellen!$D$7)</f>
        <v>#DIV/0!</v>
      </c>
      <c r="BL86" s="169">
        <f>'wgl tot'!W86/12*tabellen!$D$8</f>
        <v>0</v>
      </c>
      <c r="BM86" s="170" t="e">
        <f t="shared" si="22"/>
        <v>#DIV/0!</v>
      </c>
      <c r="BN86" s="171" t="e">
        <f>+Y86/12-'wgl tot'!BM86</f>
        <v>#DIV/0!</v>
      </c>
      <c r="BO86" s="171" t="e">
        <f>ROUND(IF('wgl tot'!BN86&gt;tabellen!$H$11,tabellen!$H$11,'wgl tot'!BN86)*tabellen!$C$11,2)</f>
        <v>#DIV/0!</v>
      </c>
      <c r="BP86" s="171" t="e">
        <f>+'wgl tot'!BN86+'wgl tot'!BO86</f>
        <v>#DIV/0!</v>
      </c>
      <c r="BQ86" s="172">
        <f t="shared" si="37"/>
        <v>1900</v>
      </c>
      <c r="BR86" s="172">
        <f t="shared" si="38"/>
        <v>1</v>
      </c>
      <c r="BS86" s="165">
        <f t="shared" si="39"/>
        <v>0</v>
      </c>
      <c r="BT86" s="148">
        <f t="shared" si="15"/>
        <v>22462</v>
      </c>
      <c r="BU86" s="148">
        <f t="shared" ca="1" si="16"/>
        <v>43722.739781944445</v>
      </c>
      <c r="BV86" s="130"/>
      <c r="BW86" s="148"/>
      <c r="BX86" s="130"/>
      <c r="BY86" s="168"/>
      <c r="BZ86" s="168"/>
      <c r="CA86" s="168"/>
      <c r="CB86" s="168"/>
      <c r="CC86" s="168"/>
      <c r="CD86" s="168"/>
      <c r="CE86" s="121"/>
      <c r="CF86" s="121"/>
    </row>
    <row r="87" spans="1:84" s="132" customFormat="1" ht="12" customHeight="1" x14ac:dyDescent="0.2">
      <c r="A87" s="121"/>
      <c r="B87" s="122"/>
      <c r="C87" s="151"/>
      <c r="D87" s="152"/>
      <c r="E87" s="151"/>
      <c r="F87" s="151"/>
      <c r="G87" s="151"/>
      <c r="H87" s="151"/>
      <c r="I87" s="151"/>
      <c r="J87" s="151"/>
      <c r="K87" s="151"/>
      <c r="L87" s="151"/>
      <c r="M87" s="151"/>
      <c r="N87" s="151"/>
      <c r="O87" s="151"/>
      <c r="P87" s="151"/>
      <c r="Q87" s="151"/>
      <c r="R87" s="151"/>
      <c r="S87" s="151"/>
      <c r="T87" s="151"/>
      <c r="U87" s="151"/>
      <c r="V87" s="151"/>
      <c r="W87" s="153"/>
      <c r="X87" s="151"/>
      <c r="Y87" s="151"/>
      <c r="Z87" s="151"/>
      <c r="AA87" s="153"/>
      <c r="AB87" s="218"/>
      <c r="AC87" s="151"/>
      <c r="AD87" s="151"/>
      <c r="AE87" s="151"/>
      <c r="AF87" s="151"/>
      <c r="AG87" s="151"/>
      <c r="AH87" s="151"/>
      <c r="AI87" s="154"/>
      <c r="AJ87" s="151"/>
      <c r="AK87" s="154"/>
      <c r="AL87" s="154"/>
      <c r="AM87" s="173"/>
      <c r="AN87" s="151"/>
      <c r="AO87" s="151"/>
      <c r="AP87" s="151"/>
      <c r="AQ87" s="151"/>
      <c r="AR87" s="151"/>
      <c r="AS87" s="151"/>
      <c r="AT87" s="151"/>
      <c r="AU87" s="151"/>
      <c r="AV87" s="151"/>
      <c r="AW87" s="129"/>
      <c r="AX87" s="121"/>
      <c r="AY87" s="121"/>
      <c r="AZ87" s="130"/>
      <c r="BA87" s="130"/>
      <c r="BB87" s="130"/>
      <c r="BC87" s="130"/>
      <c r="BD87" s="130"/>
      <c r="BE87" s="130"/>
      <c r="BF87" s="130"/>
      <c r="BG87" s="130"/>
      <c r="BH87" s="130"/>
      <c r="BI87" s="130"/>
      <c r="BJ87" s="130"/>
      <c r="BK87" s="130"/>
      <c r="BL87" s="130"/>
      <c r="BM87" s="130"/>
      <c r="BN87" s="130"/>
      <c r="BO87" s="130"/>
      <c r="BP87" s="130"/>
      <c r="BQ87" s="130"/>
      <c r="BR87" s="130"/>
      <c r="BS87" s="130"/>
      <c r="BT87" s="130"/>
      <c r="BU87" s="130"/>
      <c r="BV87" s="131"/>
      <c r="BW87" s="131"/>
      <c r="BX87" s="131"/>
      <c r="BY87" s="130"/>
      <c r="BZ87" s="130"/>
      <c r="CA87" s="130"/>
      <c r="CB87" s="130"/>
      <c r="CC87" s="130"/>
      <c r="CD87" s="130"/>
      <c r="CE87" s="121"/>
      <c r="CF87" s="121"/>
    </row>
    <row r="88" spans="1:84" s="132" customFormat="1" ht="12" customHeight="1" x14ac:dyDescent="0.2">
      <c r="A88" s="121"/>
      <c r="B88" s="174"/>
      <c r="C88" s="175"/>
      <c r="D88" s="176"/>
      <c r="E88" s="175"/>
      <c r="F88" s="175"/>
      <c r="G88" s="175"/>
      <c r="H88" s="175"/>
      <c r="I88" s="175"/>
      <c r="J88" s="175"/>
      <c r="K88" s="175"/>
      <c r="L88" s="175"/>
      <c r="M88" s="175"/>
      <c r="N88" s="175"/>
      <c r="O88" s="175"/>
      <c r="P88" s="175"/>
      <c r="Q88" s="175"/>
      <c r="R88" s="175"/>
      <c r="S88" s="175"/>
      <c r="T88" s="175"/>
      <c r="U88" s="422"/>
      <c r="V88" s="175"/>
      <c r="W88" s="177"/>
      <c r="X88" s="175"/>
      <c r="Y88" s="175"/>
      <c r="Z88" s="175"/>
      <c r="AA88" s="177"/>
      <c r="AB88" s="219"/>
      <c r="AC88" s="175"/>
      <c r="AD88" s="175"/>
      <c r="AE88" s="175"/>
      <c r="AF88" s="175"/>
      <c r="AG88" s="175"/>
      <c r="AH88" s="175"/>
      <c r="AI88" s="178"/>
      <c r="AJ88" s="175"/>
      <c r="AK88" s="178"/>
      <c r="AL88" s="178"/>
      <c r="AM88" s="179"/>
      <c r="AN88" s="175"/>
      <c r="AO88" s="175"/>
      <c r="AP88" s="175"/>
      <c r="AQ88" s="175"/>
      <c r="AR88" s="175"/>
      <c r="AS88" s="175"/>
      <c r="AT88" s="175"/>
      <c r="AU88" s="175"/>
      <c r="AV88" s="175"/>
      <c r="AW88" s="180"/>
      <c r="AX88" s="121"/>
      <c r="AY88" s="121"/>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1"/>
      <c r="BW88" s="131"/>
      <c r="BX88" s="131"/>
      <c r="BY88" s="130"/>
      <c r="BZ88" s="130"/>
      <c r="CA88" s="130"/>
      <c r="CB88" s="130"/>
      <c r="CC88" s="130"/>
      <c r="CD88" s="130"/>
      <c r="CE88" s="121"/>
      <c r="CF88" s="121"/>
    </row>
    <row r="89" spans="1:84" s="30" customFormat="1" ht="13.5" customHeight="1" x14ac:dyDescent="0.2">
      <c r="D89" s="33"/>
      <c r="K89" s="184"/>
      <c r="L89" s="184"/>
      <c r="W89" s="198"/>
      <c r="X89" s="184"/>
      <c r="AA89" s="198"/>
      <c r="AB89" s="208"/>
      <c r="AI89" s="34"/>
      <c r="AK89" s="34"/>
      <c r="AL89" s="34"/>
      <c r="AM89" s="35"/>
      <c r="AT89" s="184"/>
      <c r="AU89" s="184"/>
      <c r="AZ89" s="36"/>
      <c r="BA89" s="36"/>
      <c r="BB89" s="36"/>
      <c r="BC89" s="36"/>
      <c r="BD89" s="36"/>
      <c r="BE89" s="36"/>
      <c r="BF89" s="36"/>
      <c r="BG89" s="36"/>
      <c r="BH89" s="36"/>
      <c r="BI89" s="36"/>
      <c r="BJ89" s="36"/>
      <c r="BK89" s="36"/>
      <c r="BL89" s="36"/>
      <c r="BM89" s="36"/>
      <c r="BN89" s="36"/>
      <c r="BO89" s="36"/>
      <c r="BP89" s="36"/>
      <c r="BQ89" s="36"/>
      <c r="BR89" s="36"/>
      <c r="BS89" s="36"/>
      <c r="BT89" s="36"/>
      <c r="BU89" s="36"/>
      <c r="BV89" s="37"/>
      <c r="BW89" s="37"/>
      <c r="BX89" s="37"/>
      <c r="BY89" s="36"/>
      <c r="BZ89" s="36"/>
      <c r="CA89" s="36"/>
      <c r="CB89" s="36"/>
      <c r="CC89" s="36"/>
      <c r="CD89" s="36"/>
    </row>
    <row r="90" spans="1:84" s="30" customFormat="1" ht="13.5" customHeight="1" x14ac:dyDescent="0.2">
      <c r="D90" s="33"/>
      <c r="K90" s="184"/>
      <c r="L90" s="184"/>
      <c r="W90" s="198"/>
      <c r="X90" s="184"/>
      <c r="AA90" s="198"/>
      <c r="AB90" s="208"/>
      <c r="AI90" s="34"/>
      <c r="AK90" s="34"/>
      <c r="AL90" s="34"/>
      <c r="AM90" s="35"/>
      <c r="AT90" s="184"/>
      <c r="AU90" s="184"/>
      <c r="AZ90" s="36"/>
      <c r="BA90" s="36"/>
      <c r="BB90" s="36"/>
      <c r="BC90" s="36"/>
      <c r="BD90" s="36"/>
      <c r="BE90" s="36"/>
      <c r="BF90" s="36"/>
      <c r="BG90" s="36"/>
      <c r="BH90" s="36"/>
      <c r="BI90" s="36"/>
      <c r="BJ90" s="36"/>
      <c r="BK90" s="36"/>
      <c r="BL90" s="36"/>
      <c r="BM90" s="36"/>
      <c r="BN90" s="36"/>
      <c r="BO90" s="36"/>
      <c r="BP90" s="36"/>
      <c r="BQ90" s="36"/>
      <c r="BR90" s="36"/>
      <c r="BS90" s="36"/>
      <c r="BT90" s="36"/>
      <c r="BU90" s="36"/>
      <c r="BV90" s="37"/>
      <c r="BW90" s="37"/>
      <c r="BX90" s="37"/>
      <c r="BY90" s="36"/>
      <c r="BZ90" s="36"/>
      <c r="CA90" s="36"/>
      <c r="CB90" s="36"/>
      <c r="CC90" s="36"/>
      <c r="CD90" s="36"/>
    </row>
    <row r="91" spans="1:84" s="32" customFormat="1" ht="13.5" customHeight="1" x14ac:dyDescent="0.2">
      <c r="C91" s="42" t="s">
        <v>9</v>
      </c>
      <c r="D91" s="40"/>
      <c r="K91" s="186"/>
      <c r="L91" s="186"/>
      <c r="N91" s="30"/>
      <c r="W91" s="41"/>
      <c r="X91" s="186"/>
      <c r="AA91" s="41"/>
      <c r="AB91" s="208"/>
      <c r="AG91" s="30"/>
      <c r="AH91" s="30"/>
      <c r="AI91" s="34"/>
      <c r="AK91" s="34"/>
      <c r="AL91" s="34"/>
      <c r="AM91" s="35"/>
      <c r="AT91" s="186"/>
      <c r="AU91" s="186"/>
      <c r="AZ91" s="36"/>
      <c r="BA91" s="36"/>
      <c r="BB91" s="36"/>
      <c r="BC91" s="36"/>
      <c r="BD91" s="36"/>
      <c r="BE91" s="36"/>
      <c r="BF91" s="36"/>
      <c r="BG91" s="36"/>
      <c r="BH91" s="36"/>
      <c r="BI91" s="36"/>
      <c r="BJ91" s="36"/>
      <c r="BK91" s="36"/>
      <c r="BL91" s="36"/>
      <c r="BM91" s="36"/>
      <c r="BN91" s="36"/>
      <c r="BO91" s="36"/>
      <c r="BP91" s="36"/>
      <c r="BQ91" s="36"/>
      <c r="BR91" s="36"/>
      <c r="BS91" s="36"/>
      <c r="BT91" s="36"/>
      <c r="BU91" s="36"/>
      <c r="BV91" s="37"/>
      <c r="BW91" s="37"/>
      <c r="BX91" s="37"/>
      <c r="BY91" s="36"/>
      <c r="BZ91" s="36"/>
      <c r="CA91" s="36"/>
      <c r="CB91" s="36"/>
      <c r="CC91" s="36"/>
      <c r="CD91" s="36"/>
    </row>
    <row r="92" spans="1:84" s="32" customFormat="1" ht="13.5" customHeight="1" x14ac:dyDescent="0.2">
      <c r="C92" s="42" t="s">
        <v>10</v>
      </c>
      <c r="D92" s="40"/>
      <c r="K92" s="186"/>
      <c r="L92" s="186"/>
      <c r="N92" s="30"/>
      <c r="W92" s="41"/>
      <c r="X92" s="186"/>
      <c r="AA92" s="41"/>
      <c r="AB92" s="208"/>
      <c r="AG92" s="30"/>
      <c r="AH92" s="30"/>
      <c r="AI92" s="34"/>
      <c r="AK92" s="34"/>
      <c r="AL92" s="34"/>
      <c r="AM92" s="35"/>
      <c r="AT92" s="186"/>
      <c r="AU92" s="186"/>
      <c r="AZ92" s="36"/>
      <c r="BA92" s="36"/>
      <c r="BB92" s="36"/>
      <c r="BC92" s="36"/>
      <c r="BD92" s="36"/>
      <c r="BE92" s="36"/>
      <c r="BF92" s="36"/>
      <c r="BG92" s="36"/>
      <c r="BH92" s="36"/>
      <c r="BI92" s="36"/>
      <c r="BJ92" s="36"/>
      <c r="BK92" s="36"/>
      <c r="BL92" s="36"/>
      <c r="BM92" s="36"/>
      <c r="BN92" s="36"/>
      <c r="BO92" s="36"/>
      <c r="BP92" s="36"/>
      <c r="BQ92" s="36"/>
      <c r="BR92" s="36"/>
      <c r="BS92" s="36"/>
      <c r="BT92" s="36"/>
      <c r="BU92" s="36"/>
      <c r="BV92" s="37"/>
      <c r="BW92" s="37"/>
      <c r="BX92" s="37"/>
      <c r="BY92" s="36"/>
      <c r="BZ92" s="36"/>
      <c r="CA92" s="36"/>
      <c r="CB92" s="36"/>
      <c r="CC92" s="36"/>
      <c r="CD92" s="36"/>
    </row>
    <row r="93" spans="1:84" s="32" customFormat="1" ht="13.5" customHeight="1" x14ac:dyDescent="0.2">
      <c r="C93" s="42" t="s">
        <v>11</v>
      </c>
      <c r="D93" s="40"/>
      <c r="K93" s="186"/>
      <c r="L93" s="186"/>
      <c r="N93" s="30"/>
      <c r="W93" s="41"/>
      <c r="X93" s="186"/>
      <c r="AA93" s="41"/>
      <c r="AB93" s="208"/>
      <c r="AG93" s="30"/>
      <c r="AH93" s="30"/>
      <c r="AI93" s="34"/>
      <c r="AK93" s="34"/>
      <c r="AL93" s="34"/>
      <c r="AM93" s="35"/>
      <c r="AT93" s="186"/>
      <c r="AU93" s="186"/>
      <c r="AZ93" s="36"/>
      <c r="BA93" s="36"/>
      <c r="BB93" s="36"/>
      <c r="BC93" s="36"/>
      <c r="BD93" s="36"/>
      <c r="BE93" s="36"/>
      <c r="BF93" s="36"/>
      <c r="BG93" s="36"/>
      <c r="BH93" s="36"/>
      <c r="BI93" s="36"/>
      <c r="BJ93" s="36"/>
      <c r="BK93" s="36"/>
      <c r="BL93" s="36"/>
      <c r="BM93" s="36"/>
      <c r="BN93" s="36"/>
      <c r="BO93" s="36"/>
      <c r="BP93" s="36"/>
      <c r="BQ93" s="36"/>
      <c r="BR93" s="36"/>
      <c r="BS93" s="36"/>
      <c r="BT93" s="36"/>
      <c r="BU93" s="36"/>
      <c r="BV93" s="37"/>
      <c r="BW93" s="37"/>
      <c r="BX93" s="37"/>
      <c r="BY93" s="36"/>
      <c r="BZ93" s="36"/>
      <c r="CA93" s="36"/>
      <c r="CB93" s="36"/>
      <c r="CC93" s="36"/>
      <c r="CD93" s="36"/>
    </row>
    <row r="94" spans="1:84" s="32" customFormat="1" ht="13.5" customHeight="1" x14ac:dyDescent="0.2">
      <c r="C94" s="42" t="s">
        <v>12</v>
      </c>
      <c r="D94" s="40"/>
      <c r="K94" s="186"/>
      <c r="L94" s="186"/>
      <c r="N94" s="30"/>
      <c r="W94" s="41"/>
      <c r="X94" s="186"/>
      <c r="AA94" s="41"/>
      <c r="AB94" s="208"/>
      <c r="AG94" s="30"/>
      <c r="AH94" s="30"/>
      <c r="AI94" s="34"/>
      <c r="AK94" s="34"/>
      <c r="AL94" s="34"/>
      <c r="AM94" s="35"/>
      <c r="AT94" s="186"/>
      <c r="AU94" s="186"/>
      <c r="AZ94" s="36"/>
      <c r="BA94" s="36"/>
      <c r="BB94" s="36"/>
      <c r="BC94" s="36"/>
      <c r="BD94" s="36"/>
      <c r="BE94" s="36"/>
      <c r="BF94" s="36"/>
      <c r="BG94" s="36"/>
      <c r="BH94" s="36"/>
      <c r="BI94" s="36"/>
      <c r="BJ94" s="36"/>
      <c r="BK94" s="36"/>
      <c r="BL94" s="36"/>
      <c r="BM94" s="36"/>
      <c r="BN94" s="36"/>
      <c r="BO94" s="36"/>
      <c r="BP94" s="36"/>
      <c r="BQ94" s="36"/>
      <c r="BR94" s="36"/>
      <c r="BS94" s="36"/>
      <c r="BT94" s="36"/>
      <c r="BU94" s="36"/>
      <c r="BV94" s="37"/>
      <c r="BW94" s="37"/>
      <c r="BX94" s="37"/>
      <c r="BY94" s="36"/>
      <c r="BZ94" s="36"/>
      <c r="CA94" s="36"/>
      <c r="CB94" s="36"/>
      <c r="CC94" s="36"/>
      <c r="CD94" s="36"/>
    </row>
    <row r="95" spans="1:84" s="32" customFormat="1" ht="13.5" customHeight="1" x14ac:dyDescent="0.2">
      <c r="C95" s="42" t="s">
        <v>2</v>
      </c>
      <c r="D95" s="40"/>
      <c r="K95" s="186"/>
      <c r="L95" s="186"/>
      <c r="N95" s="30"/>
      <c r="W95" s="41"/>
      <c r="X95" s="186"/>
      <c r="AA95" s="41"/>
      <c r="AB95" s="208"/>
      <c r="AG95" s="30"/>
      <c r="AH95" s="30"/>
      <c r="AI95" s="34"/>
      <c r="AK95" s="34"/>
      <c r="AL95" s="34"/>
      <c r="AM95" s="35"/>
      <c r="AT95" s="186"/>
      <c r="AU95" s="186"/>
      <c r="AZ95" s="36"/>
      <c r="BA95" s="36"/>
      <c r="BB95" s="36"/>
      <c r="BC95" s="36"/>
      <c r="BD95" s="36"/>
      <c r="BE95" s="36"/>
      <c r="BF95" s="36"/>
      <c r="BG95" s="36"/>
      <c r="BH95" s="36"/>
      <c r="BI95" s="36"/>
      <c r="BJ95" s="36"/>
      <c r="BK95" s="36"/>
      <c r="BL95" s="36"/>
      <c r="BM95" s="36"/>
      <c r="BN95" s="36"/>
      <c r="BO95" s="36"/>
      <c r="BP95" s="36"/>
      <c r="BQ95" s="36"/>
      <c r="BR95" s="36"/>
      <c r="BS95" s="36"/>
      <c r="BT95" s="36"/>
      <c r="BU95" s="36"/>
      <c r="BV95" s="37"/>
      <c r="BW95" s="37"/>
      <c r="BX95" s="37"/>
      <c r="BY95" s="36"/>
      <c r="BZ95" s="36"/>
      <c r="CA95" s="36"/>
      <c r="CB95" s="36"/>
      <c r="CC95" s="36"/>
      <c r="CD95" s="36"/>
    </row>
    <row r="96" spans="1:84" s="32" customFormat="1" ht="13.5" customHeight="1" x14ac:dyDescent="0.2">
      <c r="C96" s="42" t="s">
        <v>3</v>
      </c>
      <c r="D96" s="40"/>
      <c r="K96" s="186"/>
      <c r="L96" s="186"/>
      <c r="N96" s="30"/>
      <c r="W96" s="41"/>
      <c r="X96" s="186"/>
      <c r="AA96" s="41"/>
      <c r="AB96" s="208"/>
      <c r="AG96" s="30"/>
      <c r="AH96" s="30"/>
      <c r="AI96" s="34"/>
      <c r="AK96" s="34"/>
      <c r="AL96" s="34"/>
      <c r="AM96" s="35"/>
      <c r="AT96" s="186"/>
      <c r="AU96" s="186"/>
      <c r="AZ96" s="36"/>
      <c r="BA96" s="36"/>
      <c r="BB96" s="36"/>
      <c r="BC96" s="36"/>
      <c r="BD96" s="36"/>
      <c r="BE96" s="36"/>
      <c r="BF96" s="36"/>
      <c r="BG96" s="36"/>
      <c r="BH96" s="36"/>
      <c r="BI96" s="36"/>
      <c r="BJ96" s="36"/>
      <c r="BK96" s="36"/>
      <c r="BL96" s="36"/>
      <c r="BM96" s="36"/>
      <c r="BN96" s="36"/>
      <c r="BO96" s="36"/>
      <c r="BP96" s="36"/>
      <c r="BQ96" s="36"/>
      <c r="BR96" s="36"/>
      <c r="BS96" s="36"/>
      <c r="BT96" s="36"/>
      <c r="BU96" s="36"/>
      <c r="BV96" s="37"/>
      <c r="BW96" s="37"/>
      <c r="BX96" s="37"/>
      <c r="BY96" s="36"/>
      <c r="BZ96" s="36"/>
      <c r="CA96" s="36"/>
      <c r="CB96" s="36"/>
      <c r="CC96" s="36"/>
      <c r="CD96" s="36"/>
    </row>
    <row r="97" spans="3:82" s="32" customFormat="1" ht="13.5" customHeight="1" x14ac:dyDescent="0.2">
      <c r="C97" s="42" t="s">
        <v>4</v>
      </c>
      <c r="D97" s="40"/>
      <c r="K97" s="186"/>
      <c r="L97" s="186"/>
      <c r="N97" s="30"/>
      <c r="W97" s="41"/>
      <c r="X97" s="186"/>
      <c r="AA97" s="41"/>
      <c r="AB97" s="208"/>
      <c r="AG97" s="30"/>
      <c r="AH97" s="30"/>
      <c r="AI97" s="34"/>
      <c r="AK97" s="34"/>
      <c r="AL97" s="34"/>
      <c r="AM97" s="35"/>
      <c r="AT97" s="186"/>
      <c r="AU97" s="186"/>
      <c r="AZ97" s="36"/>
      <c r="BA97" s="36"/>
      <c r="BB97" s="36"/>
      <c r="BC97" s="36"/>
      <c r="BD97" s="36"/>
      <c r="BE97" s="36"/>
      <c r="BF97" s="36"/>
      <c r="BG97" s="36"/>
      <c r="BH97" s="36"/>
      <c r="BI97" s="36"/>
      <c r="BJ97" s="36"/>
      <c r="BK97" s="36"/>
      <c r="BL97" s="36"/>
      <c r="BM97" s="36"/>
      <c r="BN97" s="36"/>
      <c r="BO97" s="36"/>
      <c r="BP97" s="36"/>
      <c r="BQ97" s="36"/>
      <c r="BR97" s="36"/>
      <c r="BS97" s="36"/>
      <c r="BT97" s="36"/>
      <c r="BU97" s="36"/>
      <c r="BV97" s="37"/>
      <c r="BW97" s="37"/>
      <c r="BX97" s="37"/>
      <c r="BY97" s="36"/>
      <c r="BZ97" s="36"/>
      <c r="CA97" s="36"/>
      <c r="CB97" s="36"/>
      <c r="CC97" s="36"/>
      <c r="CD97" s="36"/>
    </row>
    <row r="98" spans="3:82" s="32" customFormat="1" ht="13.5" customHeight="1" x14ac:dyDescent="0.2">
      <c r="C98" s="42" t="s">
        <v>5</v>
      </c>
      <c r="D98" s="40"/>
      <c r="K98" s="186"/>
      <c r="L98" s="186"/>
      <c r="N98" s="30"/>
      <c r="W98" s="41"/>
      <c r="X98" s="186"/>
      <c r="AA98" s="41"/>
      <c r="AB98" s="208"/>
      <c r="AG98" s="30"/>
      <c r="AH98" s="30"/>
      <c r="AI98" s="34"/>
      <c r="AK98" s="34"/>
      <c r="AL98" s="34"/>
      <c r="AM98" s="35"/>
      <c r="AT98" s="186"/>
      <c r="AU98" s="186"/>
      <c r="AZ98" s="36"/>
      <c r="BA98" s="36"/>
      <c r="BB98" s="36"/>
      <c r="BC98" s="36"/>
      <c r="BD98" s="36"/>
      <c r="BE98" s="36"/>
      <c r="BF98" s="36"/>
      <c r="BG98" s="36"/>
      <c r="BH98" s="36"/>
      <c r="BI98" s="36"/>
      <c r="BJ98" s="36"/>
      <c r="BK98" s="36"/>
      <c r="BL98" s="36"/>
      <c r="BM98" s="36"/>
      <c r="BN98" s="36"/>
      <c r="BO98" s="36"/>
      <c r="BP98" s="36"/>
      <c r="BQ98" s="36"/>
      <c r="BR98" s="36"/>
      <c r="BS98" s="36"/>
      <c r="BT98" s="36"/>
      <c r="BU98" s="36"/>
      <c r="BV98" s="37"/>
      <c r="BW98" s="37"/>
      <c r="BX98" s="37"/>
      <c r="BY98" s="36"/>
      <c r="BZ98" s="36"/>
      <c r="CA98" s="36"/>
      <c r="CB98" s="36"/>
      <c r="CC98" s="36"/>
      <c r="CD98" s="36"/>
    </row>
    <row r="99" spans="3:82" s="32" customFormat="1" ht="13.5" customHeight="1" x14ac:dyDescent="0.2">
      <c r="C99" s="42" t="s">
        <v>6</v>
      </c>
      <c r="D99" s="40"/>
      <c r="K99" s="186"/>
      <c r="L99" s="186"/>
      <c r="N99" s="30"/>
      <c r="W99" s="41"/>
      <c r="X99" s="186"/>
      <c r="AA99" s="41"/>
      <c r="AB99" s="208"/>
      <c r="AG99" s="30"/>
      <c r="AH99" s="30"/>
      <c r="AI99" s="34"/>
      <c r="AK99" s="34"/>
      <c r="AL99" s="34"/>
      <c r="AM99" s="35"/>
      <c r="AT99" s="186"/>
      <c r="AU99" s="186"/>
      <c r="AZ99" s="36"/>
      <c r="BA99" s="36"/>
      <c r="BB99" s="36"/>
      <c r="BC99" s="36"/>
      <c r="BD99" s="36"/>
      <c r="BE99" s="36"/>
      <c r="BF99" s="36"/>
      <c r="BG99" s="36"/>
      <c r="BH99" s="36"/>
      <c r="BI99" s="36"/>
      <c r="BJ99" s="36"/>
      <c r="BK99" s="36"/>
      <c r="BL99" s="36"/>
      <c r="BM99" s="36"/>
      <c r="BN99" s="36"/>
      <c r="BO99" s="36"/>
      <c r="BP99" s="36"/>
      <c r="BQ99" s="36"/>
      <c r="BR99" s="36"/>
      <c r="BS99" s="36"/>
      <c r="BT99" s="36"/>
      <c r="BU99" s="36"/>
      <c r="BV99" s="37"/>
      <c r="BW99" s="37"/>
      <c r="BX99" s="37"/>
      <c r="BY99" s="36"/>
      <c r="BZ99" s="36"/>
      <c r="CA99" s="36"/>
      <c r="CB99" s="36"/>
      <c r="CC99" s="36"/>
      <c r="CD99" s="36"/>
    </row>
    <row r="100" spans="3:82" s="32" customFormat="1" ht="13.5" customHeight="1" x14ac:dyDescent="0.2">
      <c r="C100" s="42" t="s">
        <v>7</v>
      </c>
      <c r="D100" s="40"/>
      <c r="K100" s="186"/>
      <c r="L100" s="186"/>
      <c r="N100" s="30"/>
      <c r="W100" s="41"/>
      <c r="X100" s="186"/>
      <c r="AA100" s="41"/>
      <c r="AB100" s="208"/>
      <c r="AG100" s="30"/>
      <c r="AH100" s="30"/>
      <c r="AI100" s="34"/>
      <c r="AK100" s="34"/>
      <c r="AL100" s="34"/>
      <c r="AM100" s="35"/>
      <c r="AT100" s="186"/>
      <c r="AU100" s="18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7"/>
      <c r="BW100" s="37"/>
      <c r="BX100" s="37"/>
      <c r="BY100" s="36"/>
      <c r="BZ100" s="36"/>
      <c r="CA100" s="36"/>
      <c r="CB100" s="36"/>
      <c r="CC100" s="36"/>
      <c r="CD100" s="36"/>
    </row>
    <row r="101" spans="3:82" s="32" customFormat="1" ht="13.5" customHeight="1" x14ac:dyDescent="0.2">
      <c r="C101" s="42" t="s">
        <v>8</v>
      </c>
      <c r="D101" s="40"/>
      <c r="K101" s="186"/>
      <c r="L101" s="186"/>
      <c r="N101" s="30"/>
      <c r="W101" s="41"/>
      <c r="X101" s="186"/>
      <c r="AA101" s="41"/>
      <c r="AB101" s="208"/>
      <c r="AG101" s="30"/>
      <c r="AH101" s="30"/>
      <c r="AI101" s="34"/>
      <c r="AK101" s="34"/>
      <c r="AL101" s="34"/>
      <c r="AM101" s="35"/>
      <c r="AT101" s="186"/>
      <c r="AU101" s="18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7"/>
      <c r="BW101" s="37"/>
      <c r="BX101" s="37"/>
      <c r="BY101" s="36"/>
      <c r="BZ101" s="36"/>
      <c r="CA101" s="36"/>
      <c r="CB101" s="36"/>
      <c r="CC101" s="36"/>
      <c r="CD101" s="36"/>
    </row>
    <row r="102" spans="3:82" s="32" customFormat="1" ht="13.5" customHeight="1" x14ac:dyDescent="0.2">
      <c r="C102" s="43" t="s">
        <v>52</v>
      </c>
      <c r="D102" s="40"/>
      <c r="K102" s="186"/>
      <c r="L102" s="186"/>
      <c r="N102" s="30"/>
      <c r="W102" s="41"/>
      <c r="X102" s="186"/>
      <c r="AA102" s="41"/>
      <c r="AB102" s="208"/>
      <c r="AG102" s="30"/>
      <c r="AH102" s="30"/>
      <c r="AI102" s="34"/>
      <c r="AK102" s="34"/>
      <c r="AL102" s="34"/>
      <c r="AM102" s="35"/>
      <c r="AT102" s="186"/>
      <c r="AU102" s="18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7"/>
      <c r="BW102" s="37"/>
      <c r="BX102" s="37"/>
      <c r="BY102" s="36"/>
      <c r="BZ102" s="36"/>
      <c r="CA102" s="36"/>
      <c r="CB102" s="36"/>
      <c r="CC102" s="36"/>
      <c r="CD102" s="36"/>
    </row>
    <row r="103" spans="3:82" s="32" customFormat="1" ht="13.5" customHeight="1" x14ac:dyDescent="0.2">
      <c r="C103" s="43" t="s">
        <v>53</v>
      </c>
      <c r="D103" s="40"/>
      <c r="K103" s="186"/>
      <c r="L103" s="186"/>
      <c r="N103" s="30"/>
      <c r="W103" s="41"/>
      <c r="X103" s="186"/>
      <c r="AA103" s="41"/>
      <c r="AB103" s="208"/>
      <c r="AG103" s="30"/>
      <c r="AH103" s="30"/>
      <c r="AI103" s="34"/>
      <c r="AK103" s="34"/>
      <c r="AL103" s="34"/>
      <c r="AM103" s="35"/>
      <c r="AT103" s="186"/>
      <c r="AU103" s="18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7"/>
      <c r="BW103" s="37"/>
      <c r="BX103" s="37"/>
      <c r="BY103" s="36"/>
      <c r="BZ103" s="36"/>
      <c r="CA103" s="36"/>
      <c r="CB103" s="36"/>
      <c r="CC103" s="36"/>
      <c r="CD103" s="36"/>
    </row>
    <row r="104" spans="3:82" s="32" customFormat="1" ht="13.5" customHeight="1" x14ac:dyDescent="0.2">
      <c r="C104" s="43" t="s">
        <v>54</v>
      </c>
      <c r="D104" s="40"/>
      <c r="K104" s="186"/>
      <c r="L104" s="186"/>
      <c r="N104" s="30"/>
      <c r="W104" s="41"/>
      <c r="X104" s="186"/>
      <c r="AA104" s="41"/>
      <c r="AB104" s="208"/>
      <c r="AG104" s="30"/>
      <c r="AH104" s="30"/>
      <c r="AI104" s="34"/>
      <c r="AK104" s="34"/>
      <c r="AL104" s="34"/>
      <c r="AM104" s="35"/>
      <c r="AT104" s="186"/>
      <c r="AU104" s="18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7"/>
      <c r="BW104" s="37"/>
      <c r="BX104" s="37"/>
      <c r="BY104" s="36"/>
      <c r="BZ104" s="36"/>
      <c r="CA104" s="36"/>
      <c r="CB104" s="36"/>
      <c r="CC104" s="36"/>
      <c r="CD104" s="36"/>
    </row>
    <row r="105" spans="3:82" s="32" customFormat="1" ht="13.5" customHeight="1" x14ac:dyDescent="0.2">
      <c r="C105" s="42" t="s">
        <v>174</v>
      </c>
      <c r="D105" s="40"/>
      <c r="K105" s="186"/>
      <c r="L105" s="186"/>
      <c r="N105" s="30"/>
      <c r="W105" s="41"/>
      <c r="X105" s="186"/>
      <c r="AA105" s="41"/>
      <c r="AB105" s="208"/>
      <c r="AG105" s="30"/>
      <c r="AH105" s="30"/>
      <c r="AI105" s="34"/>
      <c r="AK105" s="34"/>
      <c r="AL105" s="34"/>
      <c r="AM105" s="35"/>
      <c r="AT105" s="186"/>
      <c r="AU105" s="18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7"/>
      <c r="BW105" s="37"/>
      <c r="BX105" s="37"/>
      <c r="BY105" s="36"/>
      <c r="BZ105" s="36"/>
      <c r="CA105" s="36"/>
      <c r="CB105" s="36"/>
      <c r="CC105" s="36"/>
      <c r="CD105" s="36"/>
    </row>
    <row r="106" spans="3:82" s="32" customFormat="1" ht="13.5" customHeight="1" x14ac:dyDescent="0.2">
      <c r="C106" s="42" t="s">
        <v>175</v>
      </c>
      <c r="D106" s="40"/>
      <c r="K106" s="186"/>
      <c r="L106" s="186"/>
      <c r="N106" s="30"/>
      <c r="W106" s="41"/>
      <c r="X106" s="186"/>
      <c r="AA106" s="41"/>
      <c r="AB106" s="208"/>
      <c r="AG106" s="30"/>
      <c r="AH106" s="30"/>
      <c r="AI106" s="34"/>
      <c r="AK106" s="34"/>
      <c r="AL106" s="34"/>
      <c r="AM106" s="35"/>
      <c r="AT106" s="186"/>
      <c r="AU106" s="18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7"/>
      <c r="BW106" s="37"/>
      <c r="BX106" s="37"/>
      <c r="BY106" s="36"/>
      <c r="BZ106" s="36"/>
      <c r="CA106" s="36"/>
      <c r="CB106" s="36"/>
      <c r="CC106" s="36"/>
      <c r="CD106" s="36"/>
    </row>
    <row r="107" spans="3:82" s="32" customFormat="1" ht="13.5" customHeight="1" x14ac:dyDescent="0.2">
      <c r="C107" s="42" t="s">
        <v>176</v>
      </c>
      <c r="D107" s="40"/>
      <c r="K107" s="186"/>
      <c r="L107" s="186"/>
      <c r="N107" s="30"/>
      <c r="W107" s="41"/>
      <c r="X107" s="186"/>
      <c r="AA107" s="41"/>
      <c r="AB107" s="208"/>
      <c r="AG107" s="30"/>
      <c r="AH107" s="30"/>
      <c r="AI107" s="34"/>
      <c r="AK107" s="34"/>
      <c r="AL107" s="34"/>
      <c r="AM107" s="35"/>
      <c r="AT107" s="186"/>
      <c r="AU107" s="18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7"/>
      <c r="BW107" s="37"/>
      <c r="BX107" s="37"/>
      <c r="BY107" s="36"/>
      <c r="BZ107" s="36"/>
      <c r="CA107" s="36"/>
      <c r="CB107" s="36"/>
      <c r="CC107" s="36"/>
      <c r="CD107" s="36"/>
    </row>
    <row r="108" spans="3:82" s="32" customFormat="1" ht="13.5" customHeight="1" x14ac:dyDescent="0.2">
      <c r="C108" s="42" t="s">
        <v>177</v>
      </c>
      <c r="D108" s="40"/>
      <c r="K108" s="186"/>
      <c r="L108" s="186"/>
      <c r="N108" s="30"/>
      <c r="W108" s="41"/>
      <c r="X108" s="186"/>
      <c r="AA108" s="41"/>
      <c r="AB108" s="208"/>
      <c r="AG108" s="30"/>
      <c r="AH108" s="30"/>
      <c r="AI108" s="34"/>
      <c r="AK108" s="34"/>
      <c r="AL108" s="34"/>
      <c r="AM108" s="35"/>
      <c r="AT108" s="186"/>
      <c r="AU108" s="18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7"/>
      <c r="BW108" s="37"/>
      <c r="BX108" s="37"/>
      <c r="BY108" s="36"/>
      <c r="BZ108" s="36"/>
      <c r="CA108" s="36"/>
      <c r="CB108" s="36"/>
      <c r="CC108" s="36"/>
      <c r="CD108" s="36"/>
    </row>
    <row r="109" spans="3:82" s="32" customFormat="1" ht="13.5" customHeight="1" x14ac:dyDescent="0.2">
      <c r="C109" s="42" t="s">
        <v>178</v>
      </c>
      <c r="D109" s="40"/>
      <c r="K109" s="186"/>
      <c r="L109" s="186"/>
      <c r="N109" s="30"/>
      <c r="W109" s="41"/>
      <c r="X109" s="186"/>
      <c r="AA109" s="41"/>
      <c r="AB109" s="208"/>
      <c r="AG109" s="30"/>
      <c r="AH109" s="30"/>
      <c r="AI109" s="34"/>
      <c r="AK109" s="34"/>
      <c r="AL109" s="34"/>
      <c r="AM109" s="35"/>
      <c r="AT109" s="186"/>
      <c r="AU109" s="18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7"/>
      <c r="BW109" s="37"/>
      <c r="BX109" s="37"/>
      <c r="BY109" s="36"/>
      <c r="BZ109" s="36"/>
      <c r="CA109" s="36"/>
      <c r="CB109" s="36"/>
      <c r="CC109" s="36"/>
      <c r="CD109" s="36"/>
    </row>
    <row r="110" spans="3:82" s="32" customFormat="1" ht="13.5" customHeight="1" x14ac:dyDescent="0.2">
      <c r="C110" s="43" t="s">
        <v>13</v>
      </c>
      <c r="D110" s="40"/>
      <c r="K110" s="186"/>
      <c r="L110" s="186"/>
      <c r="N110" s="30"/>
      <c r="W110" s="41"/>
      <c r="X110" s="186"/>
      <c r="AA110" s="41"/>
      <c r="AB110" s="208"/>
      <c r="AG110" s="30"/>
      <c r="AH110" s="30"/>
      <c r="AI110" s="34"/>
      <c r="AK110" s="34"/>
      <c r="AL110" s="34"/>
      <c r="AM110" s="35"/>
      <c r="AT110" s="186"/>
      <c r="AU110" s="18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7"/>
      <c r="BW110" s="37"/>
      <c r="BX110" s="37"/>
      <c r="BY110" s="36"/>
      <c r="BZ110" s="36"/>
      <c r="CA110" s="36"/>
      <c r="CB110" s="36"/>
      <c r="CC110" s="36"/>
      <c r="CD110" s="36"/>
    </row>
    <row r="111" spans="3:82" s="32" customFormat="1" ht="13.5" customHeight="1" x14ac:dyDescent="0.2">
      <c r="C111" s="43" t="s">
        <v>14</v>
      </c>
      <c r="D111" s="40"/>
      <c r="K111" s="186"/>
      <c r="L111" s="186"/>
      <c r="N111" s="30"/>
      <c r="W111" s="41"/>
      <c r="X111" s="186"/>
      <c r="AA111" s="41"/>
      <c r="AB111" s="208"/>
      <c r="AG111" s="30"/>
      <c r="AH111" s="30"/>
      <c r="AI111" s="34"/>
      <c r="AK111" s="34"/>
      <c r="AL111" s="34"/>
      <c r="AM111" s="35"/>
      <c r="AT111" s="186"/>
      <c r="AU111" s="18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7"/>
      <c r="BW111" s="37"/>
      <c r="BX111" s="37"/>
      <c r="BY111" s="36"/>
      <c r="BZ111" s="36"/>
      <c r="CA111" s="36"/>
      <c r="CB111" s="36"/>
      <c r="CC111" s="36"/>
      <c r="CD111" s="36"/>
    </row>
    <row r="112" spans="3:82" s="32" customFormat="1" ht="13.5" customHeight="1" x14ac:dyDescent="0.2">
      <c r="C112" s="43" t="s">
        <v>51</v>
      </c>
      <c r="D112" s="40"/>
      <c r="K112" s="186"/>
      <c r="L112" s="186"/>
      <c r="N112" s="30"/>
      <c r="W112" s="41"/>
      <c r="X112" s="186"/>
      <c r="AA112" s="41"/>
      <c r="AB112" s="208"/>
      <c r="AG112" s="30"/>
      <c r="AH112" s="30"/>
      <c r="AI112" s="34"/>
      <c r="AK112" s="34"/>
      <c r="AL112" s="34"/>
      <c r="AM112" s="35"/>
      <c r="AT112" s="186"/>
      <c r="AU112" s="18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7"/>
      <c r="BW112" s="37"/>
      <c r="BX112" s="37"/>
      <c r="BY112" s="36"/>
      <c r="BZ112" s="36"/>
      <c r="CA112" s="36"/>
      <c r="CB112" s="36"/>
      <c r="CC112" s="36"/>
      <c r="CD112" s="36"/>
    </row>
    <row r="113" spans="3:82" s="32" customFormat="1" ht="13.5" customHeight="1" x14ac:dyDescent="0.2">
      <c r="C113" s="43" t="s">
        <v>47</v>
      </c>
      <c r="D113" s="40"/>
      <c r="K113" s="186"/>
      <c r="L113" s="186"/>
      <c r="N113" s="30"/>
      <c r="W113" s="41"/>
      <c r="X113" s="186"/>
      <c r="AA113" s="41"/>
      <c r="AB113" s="208"/>
      <c r="AG113" s="30"/>
      <c r="AH113" s="30"/>
      <c r="AI113" s="34"/>
      <c r="AK113" s="34"/>
      <c r="AL113" s="34"/>
      <c r="AM113" s="35"/>
      <c r="AT113" s="186"/>
      <c r="AU113" s="18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7"/>
      <c r="BW113" s="37"/>
      <c r="BX113" s="37"/>
      <c r="BY113" s="36"/>
      <c r="BZ113" s="36"/>
      <c r="CA113" s="36"/>
      <c r="CB113" s="36"/>
      <c r="CC113" s="36"/>
      <c r="CD113" s="36"/>
    </row>
    <row r="114" spans="3:82" s="32" customFormat="1" ht="13.5" customHeight="1" x14ac:dyDescent="0.2">
      <c r="C114" s="43" t="s">
        <v>48</v>
      </c>
      <c r="D114" s="40"/>
      <c r="K114" s="186"/>
      <c r="L114" s="186"/>
      <c r="N114" s="30"/>
      <c r="W114" s="41"/>
      <c r="X114" s="186"/>
      <c r="AA114" s="41"/>
      <c r="AB114" s="208"/>
      <c r="AG114" s="30"/>
      <c r="AH114" s="30"/>
      <c r="AI114" s="34"/>
      <c r="AK114" s="34"/>
      <c r="AL114" s="34"/>
      <c r="AM114" s="35"/>
      <c r="AT114" s="186"/>
      <c r="AU114" s="18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7"/>
      <c r="BW114" s="37"/>
      <c r="BX114" s="37"/>
      <c r="BY114" s="36"/>
      <c r="BZ114" s="36"/>
      <c r="CA114" s="36"/>
      <c r="CB114" s="36"/>
      <c r="CC114" s="36"/>
      <c r="CD114" s="36"/>
    </row>
    <row r="115" spans="3:82" s="32" customFormat="1" ht="13.5" customHeight="1" x14ac:dyDescent="0.2">
      <c r="C115" s="43" t="s">
        <v>49</v>
      </c>
      <c r="D115" s="40"/>
      <c r="K115" s="186"/>
      <c r="L115" s="186"/>
      <c r="N115" s="30"/>
      <c r="W115" s="41"/>
      <c r="X115" s="186"/>
      <c r="AA115" s="41"/>
      <c r="AB115" s="208"/>
      <c r="AG115" s="30"/>
      <c r="AH115" s="30"/>
      <c r="AI115" s="34"/>
      <c r="AK115" s="34"/>
      <c r="AL115" s="34"/>
      <c r="AM115" s="35"/>
      <c r="AT115" s="186"/>
      <c r="AU115" s="18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7"/>
      <c r="BW115" s="37"/>
      <c r="BX115" s="37"/>
      <c r="BY115" s="36"/>
      <c r="BZ115" s="36"/>
      <c r="CA115" s="36"/>
      <c r="CB115" s="36"/>
      <c r="CC115" s="36"/>
      <c r="CD115" s="36"/>
    </row>
    <row r="116" spans="3:82" s="32" customFormat="1" ht="13.5" customHeight="1" x14ac:dyDescent="0.2">
      <c r="C116" s="43" t="s">
        <v>50</v>
      </c>
      <c r="D116" s="40"/>
      <c r="K116" s="186"/>
      <c r="L116" s="186"/>
      <c r="N116" s="30"/>
      <c r="W116" s="41"/>
      <c r="X116" s="186"/>
      <c r="AA116" s="41"/>
      <c r="AB116" s="208"/>
      <c r="AG116" s="30"/>
      <c r="AH116" s="30"/>
      <c r="AI116" s="34"/>
      <c r="AK116" s="34"/>
      <c r="AL116" s="34"/>
      <c r="AM116" s="35"/>
      <c r="AT116" s="186"/>
      <c r="AU116" s="18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7"/>
      <c r="BW116" s="37"/>
      <c r="BX116" s="37"/>
      <c r="BY116" s="36"/>
      <c r="BZ116" s="36"/>
      <c r="CA116" s="36"/>
      <c r="CB116" s="36"/>
      <c r="CC116" s="36"/>
      <c r="CD116" s="36"/>
    </row>
    <row r="117" spans="3:82" s="32" customFormat="1" ht="13.5" customHeight="1" x14ac:dyDescent="0.2">
      <c r="C117" s="43">
        <v>1</v>
      </c>
      <c r="D117" s="40"/>
      <c r="K117" s="186"/>
      <c r="L117" s="186"/>
      <c r="N117" s="30"/>
      <c r="W117" s="41"/>
      <c r="X117" s="186"/>
      <c r="AA117" s="41"/>
      <c r="AB117" s="208"/>
      <c r="AG117" s="30"/>
      <c r="AH117" s="30"/>
      <c r="AI117" s="34"/>
      <c r="AK117" s="34"/>
      <c r="AL117" s="34"/>
      <c r="AM117" s="35"/>
      <c r="AT117" s="186"/>
      <c r="AU117" s="18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7"/>
      <c r="BW117" s="37"/>
      <c r="BX117" s="37"/>
      <c r="BY117" s="36"/>
      <c r="BZ117" s="36"/>
      <c r="CA117" s="36"/>
      <c r="CB117" s="36"/>
      <c r="CC117" s="36"/>
      <c r="CD117" s="36"/>
    </row>
    <row r="118" spans="3:82" s="32" customFormat="1" ht="13.5" customHeight="1" x14ac:dyDescent="0.2">
      <c r="C118" s="43">
        <v>2</v>
      </c>
      <c r="D118" s="40"/>
      <c r="K118" s="186"/>
      <c r="L118" s="186"/>
      <c r="N118" s="30"/>
      <c r="W118" s="41"/>
      <c r="X118" s="186"/>
      <c r="AA118" s="41"/>
      <c r="AB118" s="208"/>
      <c r="AG118" s="30"/>
      <c r="AH118" s="30"/>
      <c r="AI118" s="34"/>
      <c r="AK118" s="34"/>
      <c r="AL118" s="34"/>
      <c r="AM118" s="35"/>
      <c r="AT118" s="186"/>
      <c r="AU118" s="18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7"/>
      <c r="BW118" s="37"/>
      <c r="BX118" s="37"/>
      <c r="BY118" s="36"/>
      <c r="BZ118" s="36"/>
      <c r="CA118" s="36"/>
      <c r="CB118" s="36"/>
      <c r="CC118" s="36"/>
      <c r="CD118" s="36"/>
    </row>
    <row r="119" spans="3:82" s="32" customFormat="1" ht="13.5" customHeight="1" x14ac:dyDescent="0.2">
      <c r="C119" s="43">
        <v>3</v>
      </c>
      <c r="D119" s="40"/>
      <c r="K119" s="186"/>
      <c r="L119" s="186"/>
      <c r="N119" s="30"/>
      <c r="W119" s="41"/>
      <c r="X119" s="186"/>
      <c r="AA119" s="41"/>
      <c r="AB119" s="208"/>
      <c r="AG119" s="30"/>
      <c r="AH119" s="30"/>
      <c r="AI119" s="34"/>
      <c r="AK119" s="34"/>
      <c r="AL119" s="34"/>
      <c r="AM119" s="35"/>
      <c r="AT119" s="186"/>
      <c r="AU119" s="18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7"/>
      <c r="BW119" s="37"/>
      <c r="BX119" s="37"/>
      <c r="BY119" s="36"/>
      <c r="BZ119" s="36"/>
      <c r="CA119" s="36"/>
      <c r="CB119" s="36"/>
      <c r="CC119" s="36"/>
      <c r="CD119" s="36"/>
    </row>
    <row r="120" spans="3:82" s="32" customFormat="1" ht="13.5" customHeight="1" x14ac:dyDescent="0.2">
      <c r="C120" s="43">
        <v>4</v>
      </c>
      <c r="D120" s="40"/>
      <c r="K120" s="186"/>
      <c r="L120" s="186"/>
      <c r="N120" s="30"/>
      <c r="W120" s="41"/>
      <c r="X120" s="186"/>
      <c r="AA120" s="41"/>
      <c r="AB120" s="208"/>
      <c r="AG120" s="30"/>
      <c r="AH120" s="30"/>
      <c r="AI120" s="34"/>
      <c r="AK120" s="34"/>
      <c r="AL120" s="34"/>
      <c r="AM120" s="35"/>
      <c r="AT120" s="186"/>
      <c r="AU120" s="18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7"/>
      <c r="BW120" s="37"/>
      <c r="BX120" s="37"/>
      <c r="BY120" s="36"/>
      <c r="BZ120" s="36"/>
      <c r="CA120" s="36"/>
      <c r="CB120" s="36"/>
      <c r="CC120" s="36"/>
      <c r="CD120" s="36"/>
    </row>
    <row r="121" spans="3:82" s="32" customFormat="1" ht="13.5" customHeight="1" x14ac:dyDescent="0.2">
      <c r="C121" s="43">
        <v>5</v>
      </c>
      <c r="D121" s="40"/>
      <c r="K121" s="186"/>
      <c r="L121" s="186"/>
      <c r="N121" s="30"/>
      <c r="W121" s="41"/>
      <c r="X121" s="186"/>
      <c r="AA121" s="41"/>
      <c r="AB121" s="208"/>
      <c r="AG121" s="30"/>
      <c r="AH121" s="30"/>
      <c r="AI121" s="34"/>
      <c r="AK121" s="34"/>
      <c r="AL121" s="34"/>
      <c r="AM121" s="35"/>
      <c r="AT121" s="186"/>
      <c r="AU121" s="18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7"/>
      <c r="BW121" s="37"/>
      <c r="BX121" s="37"/>
      <c r="BY121" s="36"/>
      <c r="BZ121" s="36"/>
      <c r="CA121" s="36"/>
      <c r="CB121" s="36"/>
      <c r="CC121" s="36"/>
      <c r="CD121" s="36"/>
    </row>
    <row r="122" spans="3:82" s="32" customFormat="1" ht="13.5" customHeight="1" x14ac:dyDescent="0.2">
      <c r="C122" s="43">
        <v>6</v>
      </c>
      <c r="D122" s="40"/>
      <c r="K122" s="186"/>
      <c r="L122" s="186"/>
      <c r="N122" s="30"/>
      <c r="W122" s="41"/>
      <c r="X122" s="186"/>
      <c r="AA122" s="41"/>
      <c r="AB122" s="208"/>
      <c r="AG122" s="30"/>
      <c r="AH122" s="30"/>
      <c r="AI122" s="34"/>
      <c r="AK122" s="34"/>
      <c r="AL122" s="34"/>
      <c r="AM122" s="35"/>
      <c r="AT122" s="186"/>
      <c r="AU122" s="18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7"/>
      <c r="BW122" s="37"/>
      <c r="BX122" s="37"/>
      <c r="BY122" s="36"/>
      <c r="BZ122" s="36"/>
      <c r="CA122" s="36"/>
      <c r="CB122" s="36"/>
      <c r="CC122" s="36"/>
      <c r="CD122" s="36"/>
    </row>
    <row r="123" spans="3:82" s="32" customFormat="1" ht="13.5" customHeight="1" x14ac:dyDescent="0.2">
      <c r="C123" s="43">
        <v>7</v>
      </c>
      <c r="D123" s="40"/>
      <c r="K123" s="186"/>
      <c r="L123" s="186"/>
      <c r="N123" s="30"/>
      <c r="W123" s="41"/>
      <c r="X123" s="186"/>
      <c r="AA123" s="41"/>
      <c r="AB123" s="208"/>
      <c r="AG123" s="30"/>
      <c r="AH123" s="30"/>
      <c r="AI123" s="34"/>
      <c r="AK123" s="34"/>
      <c r="AL123" s="34"/>
      <c r="AM123" s="35"/>
      <c r="AT123" s="186"/>
      <c r="AU123" s="18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7"/>
      <c r="BW123" s="37"/>
      <c r="BX123" s="37"/>
      <c r="BY123" s="36"/>
      <c r="BZ123" s="36"/>
      <c r="CA123" s="36"/>
      <c r="CB123" s="36"/>
      <c r="CC123" s="36"/>
      <c r="CD123" s="36"/>
    </row>
    <row r="124" spans="3:82" s="32" customFormat="1" ht="13.5" customHeight="1" x14ac:dyDescent="0.2">
      <c r="C124" s="43">
        <v>8</v>
      </c>
      <c r="D124" s="40"/>
      <c r="K124" s="186"/>
      <c r="L124" s="186"/>
      <c r="N124" s="30"/>
      <c r="W124" s="41"/>
      <c r="X124" s="186"/>
      <c r="AA124" s="41"/>
      <c r="AB124" s="208"/>
      <c r="AG124" s="30"/>
      <c r="AH124" s="30"/>
      <c r="AI124" s="34"/>
      <c r="AK124" s="34"/>
      <c r="AL124" s="34"/>
      <c r="AM124" s="35"/>
      <c r="AT124" s="186"/>
      <c r="AU124" s="18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7"/>
      <c r="BW124" s="37"/>
      <c r="BX124" s="37"/>
      <c r="BY124" s="36"/>
      <c r="BZ124" s="36"/>
      <c r="CA124" s="36"/>
      <c r="CB124" s="36"/>
      <c r="CC124" s="36"/>
      <c r="CD124" s="36"/>
    </row>
    <row r="125" spans="3:82" s="32" customFormat="1" ht="13.5" customHeight="1" x14ac:dyDescent="0.2">
      <c r="C125" s="43">
        <v>9</v>
      </c>
      <c r="D125" s="40"/>
      <c r="K125" s="186"/>
      <c r="L125" s="186"/>
      <c r="N125" s="30"/>
      <c r="W125" s="41"/>
      <c r="X125" s="186"/>
      <c r="AA125" s="41"/>
      <c r="AB125" s="208"/>
      <c r="AG125" s="30"/>
      <c r="AH125" s="30"/>
      <c r="AI125" s="34"/>
      <c r="AK125" s="34"/>
      <c r="AL125" s="34"/>
      <c r="AM125" s="35"/>
      <c r="AT125" s="186"/>
      <c r="AU125" s="18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7"/>
      <c r="BW125" s="37"/>
      <c r="BX125" s="37"/>
      <c r="BY125" s="36"/>
      <c r="BZ125" s="36"/>
      <c r="CA125" s="36"/>
      <c r="CB125" s="36"/>
      <c r="CC125" s="36"/>
      <c r="CD125" s="36"/>
    </row>
    <row r="126" spans="3:82" s="32" customFormat="1" ht="13.5" customHeight="1" x14ac:dyDescent="0.2">
      <c r="C126" s="43">
        <v>10</v>
      </c>
      <c r="D126" s="40"/>
      <c r="K126" s="186"/>
      <c r="L126" s="186"/>
      <c r="N126" s="30"/>
      <c r="W126" s="41"/>
      <c r="X126" s="186"/>
      <c r="AA126" s="41"/>
      <c r="AB126" s="208"/>
      <c r="AG126" s="30"/>
      <c r="AH126" s="30"/>
      <c r="AI126" s="34"/>
      <c r="AK126" s="34"/>
      <c r="AL126" s="34"/>
      <c r="AM126" s="35"/>
      <c r="AT126" s="186"/>
      <c r="AU126" s="18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7"/>
      <c r="BW126" s="37"/>
      <c r="BX126" s="37"/>
      <c r="BY126" s="36"/>
      <c r="BZ126" s="36"/>
      <c r="CA126" s="36"/>
      <c r="CB126" s="36"/>
      <c r="CC126" s="36"/>
      <c r="CD126" s="36"/>
    </row>
    <row r="127" spans="3:82" s="32" customFormat="1" ht="13.5" customHeight="1" x14ac:dyDescent="0.2">
      <c r="C127" s="43">
        <v>11</v>
      </c>
      <c r="D127" s="40"/>
      <c r="K127" s="186"/>
      <c r="L127" s="186"/>
      <c r="N127" s="30"/>
      <c r="W127" s="41"/>
      <c r="X127" s="186"/>
      <c r="AA127" s="41"/>
      <c r="AB127" s="208"/>
      <c r="AG127" s="30"/>
      <c r="AH127" s="30"/>
      <c r="AI127" s="34"/>
      <c r="AK127" s="34"/>
      <c r="AL127" s="34"/>
      <c r="AM127" s="35"/>
      <c r="AT127" s="186"/>
      <c r="AU127" s="18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7"/>
      <c r="BW127" s="37"/>
      <c r="BX127" s="37"/>
      <c r="BY127" s="36"/>
      <c r="BZ127" s="36"/>
      <c r="CA127" s="36"/>
      <c r="CB127" s="36"/>
      <c r="CC127" s="36"/>
      <c r="CD127" s="36"/>
    </row>
    <row r="128" spans="3:82" s="32" customFormat="1" ht="13.5" customHeight="1" x14ac:dyDescent="0.2">
      <c r="C128" s="43">
        <v>12</v>
      </c>
      <c r="D128" s="40"/>
      <c r="K128" s="186"/>
      <c r="L128" s="186"/>
      <c r="N128" s="30"/>
      <c r="W128" s="41"/>
      <c r="X128" s="186"/>
      <c r="AA128" s="41"/>
      <c r="AB128" s="208"/>
      <c r="AG128" s="30"/>
      <c r="AH128" s="30"/>
      <c r="AI128" s="34"/>
      <c r="AK128" s="34"/>
      <c r="AL128" s="34"/>
      <c r="AM128" s="35"/>
      <c r="AT128" s="186"/>
      <c r="AU128" s="18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7"/>
      <c r="BW128" s="37"/>
      <c r="BX128" s="37"/>
      <c r="BY128" s="36"/>
      <c r="BZ128" s="36"/>
      <c r="CA128" s="36"/>
      <c r="CB128" s="36"/>
      <c r="CC128" s="36"/>
      <c r="CD128" s="36"/>
    </row>
    <row r="129" spans="3:82" s="32" customFormat="1" ht="13.5" customHeight="1" x14ac:dyDescent="0.2">
      <c r="C129" s="43">
        <v>13</v>
      </c>
      <c r="D129" s="40"/>
      <c r="K129" s="186"/>
      <c r="L129" s="186"/>
      <c r="N129" s="30"/>
      <c r="W129" s="41"/>
      <c r="X129" s="186"/>
      <c r="AA129" s="41"/>
      <c r="AB129" s="208"/>
      <c r="AG129" s="30"/>
      <c r="AH129" s="30"/>
      <c r="AI129" s="34"/>
      <c r="AK129" s="34"/>
      <c r="AL129" s="34"/>
      <c r="AM129" s="35"/>
      <c r="AT129" s="186"/>
      <c r="AU129" s="18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7"/>
      <c r="BW129" s="37"/>
      <c r="BX129" s="37"/>
      <c r="BY129" s="36"/>
      <c r="BZ129" s="36"/>
      <c r="CA129" s="36"/>
      <c r="CB129" s="36"/>
      <c r="CC129" s="36"/>
      <c r="CD129" s="36"/>
    </row>
    <row r="130" spans="3:82" s="32" customFormat="1" ht="13.5" customHeight="1" x14ac:dyDescent="0.2">
      <c r="C130" s="43">
        <v>14</v>
      </c>
      <c r="D130" s="40"/>
      <c r="K130" s="186"/>
      <c r="L130" s="186"/>
      <c r="N130" s="30"/>
      <c r="W130" s="41"/>
      <c r="X130" s="186"/>
      <c r="AA130" s="41"/>
      <c r="AB130" s="208"/>
      <c r="AG130" s="30"/>
      <c r="AH130" s="30"/>
      <c r="AI130" s="34"/>
      <c r="AK130" s="34"/>
      <c r="AL130" s="34"/>
      <c r="AM130" s="35"/>
      <c r="AT130" s="186"/>
      <c r="AU130" s="18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7"/>
      <c r="BW130" s="37"/>
      <c r="BX130" s="37"/>
      <c r="BY130" s="36"/>
      <c r="BZ130" s="36"/>
      <c r="CA130" s="36"/>
      <c r="CB130" s="36"/>
      <c r="CC130" s="36"/>
      <c r="CD130" s="36"/>
    </row>
    <row r="131" spans="3:82" s="32" customFormat="1" ht="13.5" customHeight="1" x14ac:dyDescent="0.2">
      <c r="C131" s="43">
        <v>15</v>
      </c>
      <c r="D131" s="40"/>
      <c r="K131" s="186"/>
      <c r="L131" s="186"/>
      <c r="N131" s="30"/>
      <c r="W131" s="41"/>
      <c r="X131" s="186"/>
      <c r="AA131" s="41"/>
      <c r="AB131" s="208"/>
      <c r="AG131" s="30"/>
      <c r="AH131" s="30"/>
      <c r="AI131" s="34"/>
      <c r="AK131" s="34"/>
      <c r="AL131" s="34"/>
      <c r="AM131" s="35"/>
      <c r="AT131" s="186"/>
      <c r="AU131" s="18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7"/>
      <c r="BW131" s="37"/>
      <c r="BX131" s="37"/>
      <c r="BY131" s="36"/>
      <c r="BZ131" s="36"/>
      <c r="CA131" s="36"/>
      <c r="CB131" s="36"/>
      <c r="CC131" s="36"/>
      <c r="CD131" s="36"/>
    </row>
    <row r="132" spans="3:82" s="32" customFormat="1" ht="13.5" customHeight="1" x14ac:dyDescent="0.2">
      <c r="C132" s="43">
        <v>16</v>
      </c>
      <c r="D132" s="40"/>
      <c r="K132" s="186"/>
      <c r="L132" s="186"/>
      <c r="N132" s="30"/>
      <c r="W132" s="41"/>
      <c r="X132" s="186"/>
      <c r="AA132" s="41"/>
      <c r="AB132" s="208"/>
      <c r="AG132" s="30"/>
      <c r="AH132" s="30"/>
      <c r="AI132" s="34"/>
      <c r="AK132" s="34"/>
      <c r="AL132" s="34"/>
      <c r="AM132" s="35"/>
      <c r="AT132" s="186"/>
      <c r="AU132" s="18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7"/>
      <c r="BW132" s="37"/>
      <c r="BX132" s="37"/>
      <c r="BY132" s="36"/>
      <c r="BZ132" s="36"/>
      <c r="CA132" s="36"/>
      <c r="CB132" s="36"/>
      <c r="CC132" s="36"/>
      <c r="CD132" s="36"/>
    </row>
    <row r="133" spans="3:82" s="32" customFormat="1" ht="13.5" customHeight="1" x14ac:dyDescent="0.2">
      <c r="C133" s="40"/>
      <c r="D133" s="40"/>
      <c r="K133" s="186"/>
      <c r="L133" s="186"/>
      <c r="N133" s="30"/>
      <c r="W133" s="41"/>
      <c r="X133" s="186"/>
      <c r="AA133" s="41"/>
      <c r="AB133" s="208"/>
      <c r="AG133" s="30"/>
      <c r="AH133" s="30"/>
      <c r="AI133" s="34"/>
      <c r="AK133" s="34"/>
      <c r="AL133" s="34"/>
      <c r="AM133" s="35"/>
      <c r="AT133" s="186"/>
      <c r="AU133" s="18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7"/>
      <c r="BW133" s="37"/>
      <c r="BX133" s="37"/>
      <c r="BY133" s="36"/>
      <c r="BZ133" s="36"/>
      <c r="CA133" s="36"/>
      <c r="CB133" s="36"/>
      <c r="CC133" s="36"/>
      <c r="CD133" s="36"/>
    </row>
    <row r="134" spans="3:82" s="32" customFormat="1" ht="13.5" customHeight="1" x14ac:dyDescent="0.2">
      <c r="C134" s="40"/>
      <c r="D134" s="40"/>
      <c r="K134" s="186"/>
      <c r="L134" s="186"/>
      <c r="N134" s="30"/>
      <c r="W134" s="41"/>
      <c r="X134" s="186"/>
      <c r="AA134" s="41"/>
      <c r="AB134" s="208"/>
      <c r="AG134" s="30"/>
      <c r="AH134" s="30"/>
      <c r="AI134" s="34"/>
      <c r="AK134" s="34"/>
      <c r="AL134" s="34"/>
      <c r="AM134" s="35"/>
      <c r="AT134" s="186"/>
      <c r="AU134" s="18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7"/>
      <c r="BW134" s="37"/>
      <c r="BX134" s="37"/>
      <c r="BY134" s="36"/>
      <c r="BZ134" s="36"/>
      <c r="CA134" s="36"/>
      <c r="CB134" s="36"/>
      <c r="CC134" s="36"/>
      <c r="CD134" s="36"/>
    </row>
    <row r="135" spans="3:82" s="30" customFormat="1" ht="13.5" customHeight="1" x14ac:dyDescent="0.2">
      <c r="D135" s="33"/>
      <c r="K135" s="184"/>
      <c r="L135" s="184"/>
      <c r="W135" s="198"/>
      <c r="X135" s="184"/>
      <c r="AA135" s="198"/>
      <c r="AB135" s="208"/>
      <c r="AI135" s="34"/>
      <c r="AK135" s="34"/>
      <c r="AL135" s="34"/>
      <c r="AM135" s="35"/>
      <c r="AT135" s="184"/>
      <c r="AU135" s="184"/>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7"/>
      <c r="BW135" s="37"/>
      <c r="BX135" s="37"/>
      <c r="BY135" s="36"/>
      <c r="BZ135" s="36"/>
      <c r="CA135" s="36"/>
      <c r="CB135" s="36"/>
      <c r="CC135" s="36"/>
      <c r="CD135" s="36"/>
    </row>
    <row r="136" spans="3:82" s="30" customFormat="1" ht="13.5" customHeight="1" x14ac:dyDescent="0.2">
      <c r="D136" s="33"/>
      <c r="K136" s="184"/>
      <c r="L136" s="184"/>
      <c r="W136" s="198"/>
      <c r="X136" s="184"/>
      <c r="AA136" s="198"/>
      <c r="AB136" s="208"/>
      <c r="AI136" s="34"/>
      <c r="AK136" s="34"/>
      <c r="AL136" s="34"/>
      <c r="AM136" s="35"/>
      <c r="AT136" s="184"/>
      <c r="AU136" s="184"/>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7"/>
      <c r="BW136" s="37"/>
      <c r="BX136" s="37"/>
      <c r="BY136" s="36"/>
      <c r="BZ136" s="36"/>
      <c r="CA136" s="36"/>
      <c r="CB136" s="36"/>
      <c r="CC136" s="36"/>
      <c r="CD136" s="36"/>
    </row>
    <row r="137" spans="3:82" s="30" customFormat="1" ht="13.5" customHeight="1" x14ac:dyDescent="0.2">
      <c r="D137" s="33"/>
      <c r="K137" s="184"/>
      <c r="L137" s="184"/>
      <c r="W137" s="198"/>
      <c r="X137" s="184"/>
      <c r="AA137" s="198"/>
      <c r="AB137" s="208"/>
      <c r="AI137" s="34"/>
      <c r="AK137" s="34"/>
      <c r="AL137" s="34"/>
      <c r="AM137" s="35"/>
      <c r="AT137" s="184"/>
      <c r="AU137" s="184"/>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7"/>
      <c r="BW137" s="37"/>
      <c r="BX137" s="37"/>
      <c r="BY137" s="36"/>
      <c r="BZ137" s="36"/>
      <c r="CA137" s="36"/>
      <c r="CB137" s="36"/>
      <c r="CC137" s="36"/>
      <c r="CD137" s="36"/>
    </row>
    <row r="138" spans="3:82" s="30" customFormat="1" ht="13.5" customHeight="1" x14ac:dyDescent="0.2">
      <c r="D138" s="33"/>
      <c r="K138" s="184"/>
      <c r="L138" s="184"/>
      <c r="W138" s="198"/>
      <c r="X138" s="184"/>
      <c r="AA138" s="198"/>
      <c r="AB138" s="208"/>
      <c r="AI138" s="34"/>
      <c r="AK138" s="34"/>
      <c r="AL138" s="34"/>
      <c r="AM138" s="35"/>
      <c r="AT138" s="184"/>
      <c r="AU138" s="184"/>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7"/>
      <c r="BW138" s="37"/>
      <c r="BX138" s="37"/>
      <c r="BY138" s="36"/>
      <c r="BZ138" s="36"/>
      <c r="CA138" s="36"/>
      <c r="CB138" s="36"/>
      <c r="CC138" s="36"/>
      <c r="CD138" s="36"/>
    </row>
    <row r="139" spans="3:82" s="30" customFormat="1" ht="13.5" customHeight="1" x14ac:dyDescent="0.2">
      <c r="D139" s="33"/>
      <c r="K139" s="184"/>
      <c r="L139" s="184"/>
      <c r="W139" s="198"/>
      <c r="X139" s="184"/>
      <c r="AA139" s="198"/>
      <c r="AB139" s="208"/>
      <c r="AI139" s="34"/>
      <c r="AK139" s="34"/>
      <c r="AL139" s="34"/>
      <c r="AM139" s="35"/>
      <c r="AT139" s="184"/>
      <c r="AU139" s="184"/>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7"/>
      <c r="BW139" s="37"/>
      <c r="BX139" s="37"/>
      <c r="BY139" s="36"/>
      <c r="BZ139" s="36"/>
      <c r="CA139" s="36"/>
      <c r="CB139" s="36"/>
      <c r="CC139" s="36"/>
      <c r="CD139" s="36"/>
    </row>
    <row r="140" spans="3:82" s="30" customFormat="1" ht="13.5" customHeight="1" x14ac:dyDescent="0.2">
      <c r="D140" s="33"/>
      <c r="K140" s="184"/>
      <c r="L140" s="184"/>
      <c r="W140" s="198"/>
      <c r="X140" s="184"/>
      <c r="AA140" s="198"/>
      <c r="AB140" s="208"/>
      <c r="AI140" s="34"/>
      <c r="AK140" s="34"/>
      <c r="AL140" s="34"/>
      <c r="AM140" s="35"/>
      <c r="AT140" s="184"/>
      <c r="AU140" s="184"/>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7"/>
      <c r="BW140" s="37"/>
      <c r="BX140" s="37"/>
      <c r="BY140" s="36"/>
      <c r="BZ140" s="36"/>
      <c r="CA140" s="36"/>
      <c r="CB140" s="36"/>
      <c r="CC140" s="36"/>
      <c r="CD140" s="36"/>
    </row>
    <row r="141" spans="3:82" s="30" customFormat="1" ht="13.5" customHeight="1" x14ac:dyDescent="0.2">
      <c r="D141" s="33"/>
      <c r="K141" s="184"/>
      <c r="L141" s="184"/>
      <c r="W141" s="198"/>
      <c r="X141" s="184"/>
      <c r="AA141" s="198"/>
      <c r="AB141" s="208"/>
      <c r="AI141" s="34"/>
      <c r="AK141" s="34"/>
      <c r="AL141" s="34"/>
      <c r="AM141" s="35"/>
      <c r="AT141" s="184"/>
      <c r="AU141" s="184"/>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7"/>
      <c r="BW141" s="37"/>
      <c r="BX141" s="37"/>
      <c r="BY141" s="36"/>
      <c r="BZ141" s="36"/>
      <c r="CA141" s="36"/>
      <c r="CB141" s="36"/>
      <c r="CC141" s="36"/>
      <c r="CD141" s="36"/>
    </row>
    <row r="142" spans="3:82" s="30" customFormat="1" ht="13.5" customHeight="1" x14ac:dyDescent="0.2">
      <c r="D142" s="33"/>
      <c r="K142" s="184"/>
      <c r="L142" s="184"/>
      <c r="W142" s="198"/>
      <c r="X142" s="184"/>
      <c r="AA142" s="198"/>
      <c r="AB142" s="208"/>
      <c r="AI142" s="34"/>
      <c r="AK142" s="34"/>
      <c r="AL142" s="34"/>
      <c r="AM142" s="35"/>
      <c r="AT142" s="184"/>
      <c r="AU142" s="184"/>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7"/>
      <c r="BW142" s="37"/>
      <c r="BX142" s="37"/>
      <c r="BY142" s="36"/>
      <c r="BZ142" s="36"/>
      <c r="CA142" s="36"/>
      <c r="CB142" s="36"/>
      <c r="CC142" s="36"/>
      <c r="CD142" s="36"/>
    </row>
    <row r="143" spans="3:82" s="30" customFormat="1" ht="13.5" customHeight="1" x14ac:dyDescent="0.2">
      <c r="D143" s="33"/>
      <c r="K143" s="184"/>
      <c r="L143" s="184"/>
      <c r="W143" s="198"/>
      <c r="X143" s="184"/>
      <c r="AA143" s="198"/>
      <c r="AB143" s="208"/>
      <c r="AI143" s="34"/>
      <c r="AK143" s="34"/>
      <c r="AL143" s="34"/>
      <c r="AM143" s="35"/>
      <c r="AT143" s="184"/>
      <c r="AU143" s="184"/>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7"/>
      <c r="BW143" s="37"/>
      <c r="BX143" s="37"/>
      <c r="BY143" s="36"/>
      <c r="BZ143" s="36"/>
      <c r="CA143" s="36"/>
      <c r="CB143" s="36"/>
      <c r="CC143" s="36"/>
      <c r="CD143" s="36"/>
    </row>
    <row r="144" spans="3:82" s="30" customFormat="1" ht="13.5" customHeight="1" x14ac:dyDescent="0.2">
      <c r="D144" s="33"/>
      <c r="K144" s="184"/>
      <c r="L144" s="184"/>
      <c r="W144" s="198"/>
      <c r="X144" s="184"/>
      <c r="AA144" s="198"/>
      <c r="AB144" s="208"/>
      <c r="AI144" s="34"/>
      <c r="AK144" s="34"/>
      <c r="AL144" s="34"/>
      <c r="AM144" s="35"/>
      <c r="AT144" s="184"/>
      <c r="AU144" s="184"/>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7"/>
      <c r="BW144" s="37"/>
      <c r="BX144" s="37"/>
      <c r="BY144" s="36"/>
      <c r="BZ144" s="36"/>
      <c r="CA144" s="36"/>
      <c r="CB144" s="36"/>
      <c r="CC144" s="36"/>
      <c r="CD144" s="36"/>
    </row>
    <row r="145" spans="4:82" s="30" customFormat="1" ht="13.5" customHeight="1" x14ac:dyDescent="0.2">
      <c r="D145" s="33"/>
      <c r="K145" s="184"/>
      <c r="L145" s="184"/>
      <c r="W145" s="198"/>
      <c r="X145" s="184"/>
      <c r="AA145" s="198"/>
      <c r="AB145" s="208"/>
      <c r="AI145" s="34"/>
      <c r="AK145" s="34"/>
      <c r="AL145" s="34"/>
      <c r="AM145" s="35"/>
      <c r="AT145" s="184"/>
      <c r="AU145" s="184"/>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7"/>
      <c r="BW145" s="37"/>
      <c r="BX145" s="37"/>
      <c r="BY145" s="36"/>
      <c r="BZ145" s="36"/>
      <c r="CA145" s="36"/>
      <c r="CB145" s="36"/>
      <c r="CC145" s="36"/>
      <c r="CD145" s="36"/>
    </row>
    <row r="146" spans="4:82" s="30" customFormat="1" ht="13.5" customHeight="1" x14ac:dyDescent="0.2">
      <c r="D146" s="33"/>
      <c r="K146" s="184"/>
      <c r="L146" s="184"/>
      <c r="W146" s="198"/>
      <c r="X146" s="184"/>
      <c r="AA146" s="198"/>
      <c r="AB146" s="208"/>
      <c r="AI146" s="34"/>
      <c r="AK146" s="34"/>
      <c r="AL146" s="34"/>
      <c r="AM146" s="35"/>
      <c r="AT146" s="184"/>
      <c r="AU146" s="184"/>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7"/>
      <c r="BW146" s="37"/>
      <c r="BX146" s="37"/>
      <c r="BY146" s="36"/>
      <c r="BZ146" s="36"/>
      <c r="CA146" s="36"/>
      <c r="CB146" s="36"/>
      <c r="CC146" s="36"/>
      <c r="CD146" s="36"/>
    </row>
    <row r="147" spans="4:82" s="30" customFormat="1" ht="13.5" customHeight="1" x14ac:dyDescent="0.2">
      <c r="D147" s="33" t="b">
        <f>'wgl tot'!BV12=DATE(E140+61,E141+6,E142)</f>
        <v>0</v>
      </c>
      <c r="K147" s="184"/>
      <c r="L147" s="184"/>
      <c r="W147" s="198"/>
      <c r="X147" s="184"/>
      <c r="AA147" s="198"/>
      <c r="AB147" s="208"/>
      <c r="AI147" s="34"/>
      <c r="AK147" s="34"/>
      <c r="AL147" s="34"/>
      <c r="AM147" s="35"/>
      <c r="AT147" s="184"/>
      <c r="AU147" s="184"/>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7"/>
      <c r="BW147" s="37"/>
      <c r="BX147" s="37"/>
      <c r="BY147" s="36"/>
      <c r="BZ147" s="36"/>
      <c r="CA147" s="36"/>
      <c r="CB147" s="36"/>
      <c r="CC147" s="36"/>
      <c r="CD147" s="36"/>
    </row>
    <row r="148" spans="4:82" s="30" customFormat="1" ht="13.5" customHeight="1" x14ac:dyDescent="0.2">
      <c r="D148" s="33"/>
      <c r="K148" s="184"/>
      <c r="L148" s="184"/>
      <c r="W148" s="198"/>
      <c r="X148" s="184"/>
      <c r="AA148" s="198"/>
      <c r="AB148" s="208"/>
      <c r="AI148" s="34"/>
      <c r="AK148" s="34"/>
      <c r="AL148" s="34"/>
      <c r="AM148" s="35"/>
      <c r="AT148" s="184"/>
      <c r="AU148" s="184"/>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7"/>
      <c r="BW148" s="37"/>
      <c r="BX148" s="37"/>
      <c r="BY148" s="36"/>
      <c r="BZ148" s="36"/>
      <c r="CA148" s="36"/>
      <c r="CB148" s="36"/>
      <c r="CC148" s="36"/>
      <c r="CD148" s="36"/>
    </row>
    <row r="149" spans="4:82" s="30" customFormat="1" ht="13.5" customHeight="1" x14ac:dyDescent="0.2">
      <c r="D149" s="33"/>
      <c r="K149" s="184"/>
      <c r="L149" s="184"/>
      <c r="W149" s="198"/>
      <c r="X149" s="184"/>
      <c r="AA149" s="198"/>
      <c r="AB149" s="208"/>
      <c r="AI149" s="34"/>
      <c r="AK149" s="34"/>
      <c r="AL149" s="34"/>
      <c r="AM149" s="35"/>
      <c r="AT149" s="184"/>
      <c r="AU149" s="184"/>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7"/>
      <c r="BW149" s="37"/>
      <c r="BX149" s="37"/>
      <c r="BY149" s="36"/>
      <c r="BZ149" s="36"/>
      <c r="CA149" s="36"/>
      <c r="CB149" s="36"/>
      <c r="CC149" s="36"/>
      <c r="CD149" s="36"/>
    </row>
  </sheetData>
  <sheetProtection algorithmName="SHA-512" hashValue="TtYakre8E0wmSGz69QuTbnGl2mxuOOPeot5W2JcHukkx5VnPzBotXnPd+zWE7+ek8Anpd4HSaGU3WTlkZm5hhw==" saltValue="jNxjf5oLq9s9ZIr5NaRU/A==" spinCount="100000" sheet="1" objects="1" scenarios="1"/>
  <mergeCells count="4">
    <mergeCell ref="AQ8:AR8"/>
    <mergeCell ref="F8:G8"/>
    <mergeCell ref="AM8:AM10"/>
    <mergeCell ref="AO8:AO10"/>
  </mergeCells>
  <phoneticPr fontId="0" type="noConversion"/>
  <dataValidations count="5">
    <dataValidation type="list" allowBlank="1" showInputMessage="1" showErrorMessage="1" sqref="BD12:BD86">
      <formula1>"L10,L11,L12,L13"</formula1>
    </dataValidation>
    <dataValidation type="list" allowBlank="1" showInputMessage="1" showErrorMessage="1" sqref="I12:I86">
      <formula1>"j,n"</formula1>
    </dataValidation>
    <dataValidation type="list" allowBlank="1" showInputMessage="1" showErrorMessage="1" sqref="J19:J86">
      <formula1>"1,2,3,4"</formula1>
    </dataValidation>
    <dataValidation type="list" allowBlank="1" showInputMessage="1" showErrorMessage="1" sqref="F12:F86">
      <formula1>$C$90:$C$132</formula1>
    </dataValidation>
    <dataValidation type="list" allowBlank="1" showInputMessage="1" showErrorMessage="1" sqref="J12:J18">
      <formula1>"1,2,3,4,5,6,7,8"</formula1>
    </dataValidation>
  </dataValidations>
  <printOptions headings="1"/>
  <pageMargins left="0.70866141732283472" right="0.70866141732283472" top="0.74803149606299213" bottom="0.74803149606299213" header="0.31496062992125984" footer="0.31496062992125984"/>
  <pageSetup paperSize="9" scale="36" orientation="landscape" r:id="rId1"/>
  <headerFooter>
    <oddHeader>&amp;L&amp;"Arial,Vet"&amp;A&amp;R&amp;"Arial,Vet"&amp;F</oddHeader>
    <oddFooter>&amp;L&amp;"Arial,Vet"PO-Raad&amp;R&amp;"Arial,Vet"&amp;P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13"/>
  <sheetViews>
    <sheetView tabSelected="1" topLeftCell="A138" zoomScale="72" zoomScaleNormal="72" workbookViewId="0">
      <selection activeCell="C43" sqref="C43"/>
    </sheetView>
  </sheetViews>
  <sheetFormatPr defaultColWidth="9.140625" defaultRowHeight="12.75" x14ac:dyDescent="0.2"/>
  <cols>
    <col min="1" max="1" width="30.85546875" style="47" customWidth="1"/>
    <col min="2" max="2" width="10.7109375" style="47" customWidth="1"/>
    <col min="3" max="3" width="13" style="47" customWidth="1"/>
    <col min="4" max="5" width="10.7109375" style="47" customWidth="1"/>
    <col min="6" max="6" width="12.140625" style="47" customWidth="1"/>
    <col min="7" max="10" width="10.7109375" style="47" customWidth="1"/>
    <col min="11" max="11" width="7.85546875" style="47" customWidth="1"/>
    <col min="12" max="12" width="8" style="47" customWidth="1"/>
    <col min="13" max="13" width="15.42578125" style="47" customWidth="1"/>
    <col min="14" max="22" width="10.7109375" style="47" customWidth="1"/>
    <col min="23" max="23" width="9.140625" style="47"/>
    <col min="24" max="38" width="9.140625" style="120"/>
    <col min="39" max="16384" width="9.140625" style="47"/>
  </cols>
  <sheetData>
    <row r="1" spans="1:19" x14ac:dyDescent="0.2">
      <c r="A1" s="47" t="s">
        <v>304</v>
      </c>
      <c r="B1" s="238">
        <v>2019</v>
      </c>
      <c r="C1" s="239" t="s">
        <v>246</v>
      </c>
      <c r="E1" s="47" t="s">
        <v>208</v>
      </c>
      <c r="F1" s="191">
        <f ca="1">NOW()</f>
        <v>43722.739781944445</v>
      </c>
    </row>
    <row r="2" spans="1:19" x14ac:dyDescent="0.2">
      <c r="A2" s="47" t="s">
        <v>87</v>
      </c>
      <c r="B2" s="239" t="s">
        <v>173</v>
      </c>
    </row>
    <row r="4" spans="1:19" x14ac:dyDescent="0.2">
      <c r="A4" s="46" t="s">
        <v>29</v>
      </c>
      <c r="B4" s="48" t="str">
        <f>C1 &amp; B1</f>
        <v xml:space="preserve"> vanaf 1 januari 2019</v>
      </c>
    </row>
    <row r="5" spans="1:19" x14ac:dyDescent="0.2">
      <c r="A5" s="46"/>
      <c r="B5" s="46"/>
      <c r="C5" s="47" t="s">
        <v>27</v>
      </c>
      <c r="D5" s="47" t="s">
        <v>28</v>
      </c>
      <c r="E5" s="47" t="s">
        <v>57</v>
      </c>
      <c r="F5" s="47" t="s">
        <v>58</v>
      </c>
      <c r="G5" s="47" t="s">
        <v>30</v>
      </c>
      <c r="H5" s="47" t="s">
        <v>31</v>
      </c>
      <c r="J5" s="47" t="s">
        <v>170</v>
      </c>
    </row>
    <row r="6" spans="1:19" x14ac:dyDescent="0.2">
      <c r="A6" s="49" t="s">
        <v>26</v>
      </c>
      <c r="B6" s="49">
        <v>1</v>
      </c>
      <c r="C6" s="240">
        <v>0.17430000000000001</v>
      </c>
      <c r="D6" s="241">
        <v>7.4700000000000003E-2</v>
      </c>
      <c r="E6" s="242">
        <v>13800</v>
      </c>
      <c r="F6" s="50">
        <f>+E6/12</f>
        <v>1150</v>
      </c>
      <c r="J6" s="45" t="s">
        <v>247</v>
      </c>
    </row>
    <row r="7" spans="1:19" x14ac:dyDescent="0.2">
      <c r="A7" s="49" t="s">
        <v>76</v>
      </c>
      <c r="B7" s="49">
        <v>2</v>
      </c>
      <c r="C7" s="241">
        <v>3.5000000000000001E-3</v>
      </c>
      <c r="D7" s="241">
        <v>1.5E-3</v>
      </c>
      <c r="E7" s="242">
        <v>20900</v>
      </c>
      <c r="F7" s="50">
        <f>+E7/12</f>
        <v>1741.6666666666667</v>
      </c>
      <c r="J7" s="47" t="s">
        <v>169</v>
      </c>
    </row>
    <row r="8" spans="1:19" x14ac:dyDescent="0.2">
      <c r="A8" s="49" t="s">
        <v>98</v>
      </c>
      <c r="B8" s="49">
        <v>3</v>
      </c>
      <c r="C8" s="240">
        <v>2.5999999999999999E-2</v>
      </c>
      <c r="D8" s="240">
        <v>0</v>
      </c>
      <c r="E8" s="52"/>
      <c r="F8" s="52"/>
      <c r="J8" s="224"/>
    </row>
    <row r="9" spans="1:19" x14ac:dyDescent="0.2">
      <c r="A9" s="53" t="s">
        <v>138</v>
      </c>
      <c r="B9" s="53">
        <v>4</v>
      </c>
      <c r="C9" s="72">
        <v>6.9599999999999995E-2</v>
      </c>
      <c r="D9" s="54"/>
      <c r="E9" s="54"/>
      <c r="F9" s="54"/>
      <c r="G9" s="243">
        <v>55927</v>
      </c>
      <c r="H9" s="243">
        <f>G9/12</f>
        <v>4660.583333333333</v>
      </c>
      <c r="J9" s="45" t="s">
        <v>248</v>
      </c>
      <c r="O9" s="47" t="s">
        <v>257</v>
      </c>
      <c r="R9" s="55"/>
      <c r="S9" s="51"/>
    </row>
    <row r="10" spans="1:19" x14ac:dyDescent="0.2">
      <c r="A10" s="53" t="s">
        <v>143</v>
      </c>
      <c r="B10" s="53">
        <v>5</v>
      </c>
      <c r="C10" s="72">
        <v>1.04E-2</v>
      </c>
      <c r="D10" s="54"/>
      <c r="E10" s="54"/>
      <c r="F10" s="54"/>
      <c r="G10" s="50">
        <f>+G9</f>
        <v>55927</v>
      </c>
      <c r="H10" s="50">
        <f>H9</f>
        <v>4660.583333333333</v>
      </c>
      <c r="J10" s="45" t="s">
        <v>249</v>
      </c>
      <c r="R10" s="55"/>
      <c r="S10" s="51"/>
    </row>
    <row r="11" spans="1:19" x14ac:dyDescent="0.2">
      <c r="A11" s="53" t="s">
        <v>55</v>
      </c>
      <c r="B11" s="53">
        <v>6</v>
      </c>
      <c r="C11" s="240">
        <v>6.9500000000000006E-2</v>
      </c>
      <c r="E11" s="52"/>
      <c r="F11" s="52"/>
      <c r="G11" s="50">
        <f>+G9</f>
        <v>55927</v>
      </c>
      <c r="H11" s="50">
        <f>H10</f>
        <v>4660.583333333333</v>
      </c>
      <c r="J11" s="45" t="s">
        <v>250</v>
      </c>
      <c r="R11" s="55"/>
      <c r="S11" s="51"/>
    </row>
    <row r="12" spans="1:19" x14ac:dyDescent="0.2">
      <c r="A12" s="53" t="s">
        <v>139</v>
      </c>
      <c r="B12" s="53">
        <v>7</v>
      </c>
      <c r="C12" s="240">
        <v>7.7999999999999996E-3</v>
      </c>
      <c r="D12" s="54"/>
      <c r="E12" s="54"/>
      <c r="F12" s="54"/>
      <c r="G12" s="50">
        <f>+G9</f>
        <v>55927</v>
      </c>
      <c r="H12" s="50">
        <f>H11</f>
        <v>4660.583333333333</v>
      </c>
      <c r="J12" s="45" t="s">
        <v>248</v>
      </c>
      <c r="S12" s="51"/>
    </row>
    <row r="13" spans="1:19" x14ac:dyDescent="0.2">
      <c r="A13" s="56" t="s">
        <v>77</v>
      </c>
      <c r="B13" s="56">
        <v>8</v>
      </c>
      <c r="C13" s="240">
        <v>6.25E-2</v>
      </c>
      <c r="D13" s="57" t="s">
        <v>94</v>
      </c>
      <c r="E13" s="54"/>
      <c r="F13" s="54"/>
      <c r="G13" s="52"/>
      <c r="H13" s="52"/>
      <c r="J13" s="45" t="s">
        <v>251</v>
      </c>
    </row>
    <row r="14" spans="1:19" x14ac:dyDescent="0.2">
      <c r="A14" s="56" t="s">
        <v>78</v>
      </c>
      <c r="B14" s="56"/>
      <c r="C14" s="240">
        <v>6.25E-2</v>
      </c>
      <c r="D14" s="57" t="s">
        <v>95</v>
      </c>
      <c r="E14" s="54"/>
      <c r="F14" s="54"/>
      <c r="H14" s="52"/>
      <c r="J14" s="52" t="s">
        <v>169</v>
      </c>
      <c r="S14" s="58"/>
    </row>
    <row r="15" spans="1:19" x14ac:dyDescent="0.2">
      <c r="A15" s="56" t="s">
        <v>153</v>
      </c>
      <c r="B15" s="56"/>
      <c r="C15" s="240">
        <v>2.2000000000000001E-3</v>
      </c>
      <c r="D15" s="57" t="s">
        <v>96</v>
      </c>
      <c r="E15" s="54"/>
      <c r="F15" s="54"/>
      <c r="H15" s="52"/>
      <c r="J15" s="52" t="s">
        <v>169</v>
      </c>
    </row>
    <row r="16" spans="1:19" x14ac:dyDescent="0.2">
      <c r="A16" s="56" t="s">
        <v>181</v>
      </c>
      <c r="B16" s="56"/>
      <c r="C16" s="240">
        <v>0</v>
      </c>
      <c r="D16" s="57" t="s">
        <v>97</v>
      </c>
      <c r="E16" s="54"/>
      <c r="F16" s="54"/>
      <c r="H16" s="52"/>
      <c r="J16" s="52" t="s">
        <v>289</v>
      </c>
    </row>
    <row r="17" spans="1:19" x14ac:dyDescent="0.2">
      <c r="A17" s="56" t="s">
        <v>263</v>
      </c>
      <c r="C17" s="72">
        <v>3.85E-2</v>
      </c>
      <c r="D17" s="57" t="s">
        <v>259</v>
      </c>
      <c r="E17" s="54"/>
      <c r="F17" s="54"/>
      <c r="H17" s="52"/>
      <c r="J17" s="225" t="s">
        <v>252</v>
      </c>
    </row>
    <row r="18" spans="1:19" x14ac:dyDescent="0.2">
      <c r="A18" s="56" t="s">
        <v>264</v>
      </c>
      <c r="C18" s="72">
        <v>3.2500000000000001E-2</v>
      </c>
      <c r="D18" s="57" t="s">
        <v>260</v>
      </c>
      <c r="E18" s="54"/>
      <c r="F18" s="54"/>
      <c r="H18" s="52"/>
      <c r="J18" s="225"/>
    </row>
    <row r="19" spans="1:19" x14ac:dyDescent="0.2">
      <c r="A19" s="56" t="s">
        <v>265</v>
      </c>
      <c r="C19" s="72">
        <v>8.5000000000000006E-3</v>
      </c>
      <c r="D19" s="57" t="s">
        <v>261</v>
      </c>
      <c r="E19" s="54"/>
      <c r="F19" s="54"/>
      <c r="H19" s="52"/>
      <c r="J19" s="225"/>
    </row>
    <row r="20" spans="1:19" x14ac:dyDescent="0.2">
      <c r="A20" s="56" t="s">
        <v>266</v>
      </c>
      <c r="C20" s="72">
        <v>5.4999999999999997E-3</v>
      </c>
      <c r="D20" s="57" t="s">
        <v>262</v>
      </c>
      <c r="E20" s="54"/>
      <c r="F20" s="54"/>
      <c r="H20" s="52"/>
      <c r="J20" s="225"/>
    </row>
    <row r="21" spans="1:19" x14ac:dyDescent="0.2">
      <c r="A21" s="59" t="s">
        <v>43</v>
      </c>
      <c r="B21" s="59">
        <v>9</v>
      </c>
      <c r="C21" s="240">
        <v>0.04</v>
      </c>
      <c r="D21" s="54"/>
      <c r="E21" s="54"/>
      <c r="F21" s="54"/>
      <c r="H21" s="52"/>
      <c r="J21" s="225"/>
    </row>
    <row r="22" spans="1:19" x14ac:dyDescent="0.2">
      <c r="B22" s="47" t="s">
        <v>73</v>
      </c>
      <c r="C22" s="55">
        <f>SUM(C6:C13)+C21</f>
        <v>0.46359999999999996</v>
      </c>
      <c r="D22" s="55">
        <f>SUM(D6:D17)</f>
        <v>7.6200000000000004E-2</v>
      </c>
      <c r="E22" s="55">
        <f>SUM(C22:D22)</f>
        <v>0.53979999999999995</v>
      </c>
    </row>
    <row r="23" spans="1:19" x14ac:dyDescent="0.2">
      <c r="S23" s="51"/>
    </row>
    <row r="24" spans="1:19" x14ac:dyDescent="0.2">
      <c r="A24" s="46" t="s">
        <v>147</v>
      </c>
      <c r="S24" s="51"/>
    </row>
    <row r="25" spans="1:19" x14ac:dyDescent="0.2">
      <c r="A25" s="60" t="s">
        <v>152</v>
      </c>
      <c r="B25" s="61">
        <v>2.2000000000000001E-3</v>
      </c>
      <c r="J25" s="45" t="s">
        <v>251</v>
      </c>
      <c r="S25" s="51"/>
    </row>
    <row r="26" spans="1:19" x14ac:dyDescent="0.2">
      <c r="A26" s="60" t="s">
        <v>148</v>
      </c>
      <c r="B26" s="61">
        <v>3.85E-2</v>
      </c>
      <c r="D26" s="244"/>
      <c r="S26" s="51"/>
    </row>
    <row r="27" spans="1:19" x14ac:dyDescent="0.2">
      <c r="A27" s="60" t="s">
        <v>149</v>
      </c>
      <c r="B27" s="61">
        <v>3.2500000000000001E-2</v>
      </c>
      <c r="D27" s="244"/>
    </row>
    <row r="28" spans="1:19" x14ac:dyDescent="0.2">
      <c r="A28" s="60" t="s">
        <v>150</v>
      </c>
      <c r="B28" s="61">
        <v>8.5000000000000006E-3</v>
      </c>
      <c r="D28" s="244"/>
    </row>
    <row r="29" spans="1:19" x14ac:dyDescent="0.2">
      <c r="A29" s="60" t="s">
        <v>151</v>
      </c>
      <c r="B29" s="61">
        <v>5.4999999999999997E-3</v>
      </c>
      <c r="D29" s="244"/>
    </row>
    <row r="31" spans="1:19" x14ac:dyDescent="0.2">
      <c r="A31" s="46" t="s">
        <v>39</v>
      </c>
      <c r="B31" s="47" t="s">
        <v>174</v>
      </c>
      <c r="C31" s="245">
        <v>31.88</v>
      </c>
      <c r="G31" s="62"/>
    </row>
    <row r="32" spans="1:19" x14ac:dyDescent="0.2">
      <c r="B32" s="47" t="s">
        <v>175</v>
      </c>
      <c r="C32" s="245">
        <v>27.96</v>
      </c>
    </row>
    <row r="33" spans="1:40" x14ac:dyDescent="0.2">
      <c r="B33" s="47" t="s">
        <v>176</v>
      </c>
      <c r="C33" s="245">
        <v>50.92</v>
      </c>
    </row>
    <row r="34" spans="1:40" x14ac:dyDescent="0.2">
      <c r="B34" s="47" t="s">
        <v>177</v>
      </c>
      <c r="C34" s="245">
        <v>25.18</v>
      </c>
    </row>
    <row r="35" spans="1:40" x14ac:dyDescent="0.2">
      <c r="B35" s="47" t="s">
        <v>178</v>
      </c>
      <c r="C35" s="245">
        <v>0</v>
      </c>
    </row>
    <row r="36" spans="1:40" x14ac:dyDescent="0.2">
      <c r="C36" s="64"/>
    </row>
    <row r="37" spans="1:40" hidden="1" x14ac:dyDescent="0.2">
      <c r="A37" s="46" t="s">
        <v>183</v>
      </c>
      <c r="C37" s="246">
        <v>0</v>
      </c>
    </row>
    <row r="38" spans="1:40" hidden="1" x14ac:dyDescent="0.2">
      <c r="C38" s="64"/>
    </row>
    <row r="39" spans="1:40" hidden="1" x14ac:dyDescent="0.2">
      <c r="A39" s="46" t="s">
        <v>184</v>
      </c>
      <c r="C39" s="247">
        <v>0</v>
      </c>
    </row>
    <row r="40" spans="1:40" hidden="1" x14ac:dyDescent="0.2">
      <c r="D40" s="63" t="s">
        <v>31</v>
      </c>
    </row>
    <row r="41" spans="1:40" x14ac:dyDescent="0.2">
      <c r="A41" s="46" t="s">
        <v>68</v>
      </c>
      <c r="C41" s="248">
        <v>35.33</v>
      </c>
      <c r="D41" s="64"/>
    </row>
    <row r="43" spans="1:40" x14ac:dyDescent="0.2">
      <c r="A43" s="46" t="s">
        <v>79</v>
      </c>
      <c r="C43" s="240">
        <v>8.0000000000000002E-3</v>
      </c>
      <c r="D43" s="55"/>
    </row>
    <row r="45" spans="1:40" x14ac:dyDescent="0.2">
      <c r="A45" s="46" t="s">
        <v>183</v>
      </c>
      <c r="C45" s="246">
        <v>750</v>
      </c>
      <c r="E45" s="229" t="s">
        <v>290</v>
      </c>
      <c r="L45" s="229" t="s">
        <v>174</v>
      </c>
      <c r="M45" s="230">
        <f>VLOOKUP(L45,saltab2018sept,'wgl tot'!G$12+1,FALSE)*tabellen!C$46</f>
        <v>1627.5</v>
      </c>
      <c r="N45" s="47" t="s">
        <v>292</v>
      </c>
      <c r="X45" s="47"/>
      <c r="Y45" s="47"/>
      <c r="AM45" s="120"/>
      <c r="AN45" s="120"/>
    </row>
    <row r="46" spans="1:40" x14ac:dyDescent="0.2">
      <c r="A46" s="46" t="s">
        <v>184</v>
      </c>
      <c r="C46" s="247">
        <v>0.42</v>
      </c>
      <c r="L46" s="229" t="s">
        <v>175</v>
      </c>
      <c r="M46" s="230">
        <f>VLOOKUP(L46,saltab2018sept,'wgl tot'!G$12+1,FALSE)*tabellen!C$46</f>
        <v>1775.76</v>
      </c>
    </row>
    <row r="47" spans="1:40" x14ac:dyDescent="0.2">
      <c r="L47" s="229" t="s">
        <v>176</v>
      </c>
      <c r="M47" s="230">
        <f>VLOOKUP(L47,saltab2018sept,'wgl tot'!G$12+1,FALSE)*tabellen!C$46</f>
        <v>2037.4199999999998</v>
      </c>
    </row>
    <row r="48" spans="1:40" x14ac:dyDescent="0.2">
      <c r="A48" s="189" t="s">
        <v>25</v>
      </c>
      <c r="D48" s="190">
        <v>0.08</v>
      </c>
      <c r="L48" s="229" t="s">
        <v>177</v>
      </c>
      <c r="M48" s="230">
        <f>VLOOKUP(L48,saltab2018sept,'wgl tot'!G$12+1,FALSE)*tabellen!C$46</f>
        <v>2223.48</v>
      </c>
    </row>
    <row r="49" spans="1:13" x14ac:dyDescent="0.2">
      <c r="D49" s="188"/>
      <c r="L49" s="229" t="s">
        <v>178</v>
      </c>
      <c r="M49" s="230">
        <f>VLOOKUP(L49,saltab2018sept,'wgl tot'!G$12+1,FALSE)*tabellen!C$46*0</f>
        <v>0</v>
      </c>
    </row>
    <row r="50" spans="1:13" x14ac:dyDescent="0.2">
      <c r="A50" s="46" t="s">
        <v>46</v>
      </c>
      <c r="B50" s="46"/>
      <c r="D50" s="245">
        <v>153.16</v>
      </c>
      <c r="E50" s="47" t="s">
        <v>83</v>
      </c>
      <c r="L50" s="229"/>
      <c r="M50" s="230"/>
    </row>
    <row r="51" spans="1:13" x14ac:dyDescent="0.2">
      <c r="A51" s="46" t="s">
        <v>44</v>
      </c>
      <c r="B51" s="46"/>
      <c r="D51" s="240">
        <v>6.3E-2</v>
      </c>
    </row>
    <row r="52" spans="1:13" x14ac:dyDescent="0.2">
      <c r="A52" s="47" t="s">
        <v>70</v>
      </c>
      <c r="B52" s="46"/>
      <c r="C52" s="47">
        <v>0</v>
      </c>
      <c r="D52" s="245">
        <v>0</v>
      </c>
    </row>
    <row r="53" spans="1:13" x14ac:dyDescent="0.2">
      <c r="B53" s="46"/>
      <c r="C53" s="47">
        <v>1</v>
      </c>
      <c r="D53" s="245">
        <v>1166.79</v>
      </c>
    </row>
    <row r="54" spans="1:13" x14ac:dyDescent="0.2">
      <c r="B54" s="46"/>
      <c r="C54" s="47">
        <v>6</v>
      </c>
      <c r="D54" s="245">
        <v>1117.74</v>
      </c>
    </row>
    <row r="55" spans="1:13" x14ac:dyDescent="0.2">
      <c r="B55" s="46"/>
      <c r="C55" s="47">
        <v>9</v>
      </c>
      <c r="D55" s="245">
        <v>0</v>
      </c>
    </row>
    <row r="56" spans="1:13" x14ac:dyDescent="0.2">
      <c r="B56" s="46"/>
      <c r="D56" s="64"/>
    </row>
    <row r="57" spans="1:13" x14ac:dyDescent="0.2">
      <c r="A57" s="46" t="s">
        <v>75</v>
      </c>
      <c r="D57" s="245">
        <v>200</v>
      </c>
    </row>
    <row r="59" spans="1:13" x14ac:dyDescent="0.2">
      <c r="A59" s="46" t="s">
        <v>80</v>
      </c>
      <c r="D59" s="245">
        <v>324.87</v>
      </c>
    </row>
    <row r="61" spans="1:13" hidden="1" x14ac:dyDescent="0.2">
      <c r="A61" s="46" t="s">
        <v>308</v>
      </c>
    </row>
    <row r="62" spans="1:13" hidden="1" x14ac:dyDescent="0.2">
      <c r="A62" s="46" t="s">
        <v>309</v>
      </c>
    </row>
    <row r="63" spans="1:13" hidden="1" x14ac:dyDescent="0.2">
      <c r="A63" s="65" t="s">
        <v>59</v>
      </c>
    </row>
    <row r="64" spans="1:13" hidden="1" x14ac:dyDescent="0.2">
      <c r="A64" s="66"/>
    </row>
    <row r="65" spans="1:22" hidden="1" x14ac:dyDescent="0.2">
      <c r="A65" s="46" t="s">
        <v>256</v>
      </c>
      <c r="E65" s="45"/>
      <c r="F65" s="45" t="s">
        <v>255</v>
      </c>
      <c r="G65" s="50"/>
    </row>
    <row r="66" spans="1:22" hidden="1" x14ac:dyDescent="0.2">
      <c r="A66" s="46" t="s">
        <v>60</v>
      </c>
      <c r="B66" s="47" t="s">
        <v>72</v>
      </c>
      <c r="C66" s="47" t="s">
        <v>61</v>
      </c>
      <c r="E66" s="45"/>
    </row>
    <row r="67" spans="1:22" hidden="1" x14ac:dyDescent="0.2">
      <c r="A67" s="47">
        <v>1</v>
      </c>
      <c r="B67" s="67">
        <v>20384</v>
      </c>
      <c r="C67" s="72">
        <v>0.36649999999999999</v>
      </c>
    </row>
    <row r="68" spans="1:22" hidden="1" x14ac:dyDescent="0.2">
      <c r="A68" s="47">
        <v>2</v>
      </c>
      <c r="B68" s="67">
        <v>34300</v>
      </c>
      <c r="C68" s="72">
        <v>0.38100000000000001</v>
      </c>
    </row>
    <row r="69" spans="1:22" hidden="1" x14ac:dyDescent="0.2">
      <c r="A69" s="47">
        <v>3</v>
      </c>
      <c r="B69" s="67">
        <v>68507</v>
      </c>
      <c r="C69" s="72">
        <v>0.38100000000000001</v>
      </c>
    </row>
    <row r="70" spans="1:22" hidden="1" x14ac:dyDescent="0.2">
      <c r="A70" s="47">
        <v>4</v>
      </c>
      <c r="B70" s="67">
        <v>999999</v>
      </c>
      <c r="C70" s="72">
        <v>0.51749999999999996</v>
      </c>
    </row>
    <row r="71" spans="1:22" hidden="1" x14ac:dyDescent="0.2"/>
    <row r="72" spans="1:22" hidden="1" x14ac:dyDescent="0.2">
      <c r="A72" s="46" t="s">
        <v>62</v>
      </c>
    </row>
    <row r="73" spans="1:22" hidden="1" x14ac:dyDescent="0.2">
      <c r="A73" s="47" t="s">
        <v>63</v>
      </c>
      <c r="B73" s="67">
        <v>2477</v>
      </c>
    </row>
    <row r="74" spans="1:22" hidden="1" x14ac:dyDescent="0.2">
      <c r="A74" s="68"/>
      <c r="B74" s="68" t="s">
        <v>65</v>
      </c>
      <c r="C74" s="68" t="s">
        <v>66</v>
      </c>
      <c r="D74" s="68" t="s">
        <v>67</v>
      </c>
    </row>
    <row r="75" spans="1:22" hidden="1" x14ac:dyDescent="0.2">
      <c r="A75" s="68" t="s">
        <v>64</v>
      </c>
      <c r="B75" s="68">
        <v>1947</v>
      </c>
      <c r="C75" s="69">
        <v>0.1232</v>
      </c>
      <c r="D75" s="70">
        <v>1611</v>
      </c>
    </row>
    <row r="76" spans="1:22" hidden="1" x14ac:dyDescent="0.2">
      <c r="A76" s="68"/>
      <c r="B76" s="68">
        <v>1949</v>
      </c>
      <c r="C76" s="69">
        <v>0.1232</v>
      </c>
      <c r="D76" s="70">
        <v>1611</v>
      </c>
    </row>
    <row r="77" spans="1:22" hidden="1" x14ac:dyDescent="0.2">
      <c r="A77" s="68"/>
      <c r="B77" s="68">
        <v>1951</v>
      </c>
      <c r="C77" s="69">
        <v>0.1232</v>
      </c>
      <c r="D77" s="70">
        <v>1611</v>
      </c>
    </row>
    <row r="78" spans="1:22" hidden="1" x14ac:dyDescent="0.2">
      <c r="A78" s="68"/>
      <c r="B78" s="68">
        <v>1954</v>
      </c>
      <c r="C78" s="69">
        <v>0.1232</v>
      </c>
      <c r="D78" s="70">
        <v>1611</v>
      </c>
    </row>
    <row r="79" spans="1:22" x14ac:dyDescent="0.2">
      <c r="C79" s="71"/>
    </row>
    <row r="80" spans="1:22" x14ac:dyDescent="0.2">
      <c r="A80" s="112" t="s">
        <v>0</v>
      </c>
      <c r="B80" s="430">
        <v>43344</v>
      </c>
      <c r="C80" s="430"/>
      <c r="D80" s="113"/>
      <c r="E80" s="114"/>
      <c r="F80" s="114"/>
      <c r="G80" s="114"/>
      <c r="H80" s="114"/>
      <c r="I80" s="114"/>
      <c r="J80" s="114"/>
      <c r="K80" s="114"/>
      <c r="L80" s="114"/>
      <c r="M80" s="114"/>
      <c r="N80" s="114"/>
      <c r="O80" s="114"/>
      <c r="P80" s="114"/>
      <c r="Q80" s="114"/>
      <c r="R80" s="114"/>
      <c r="S80" s="114"/>
      <c r="T80" s="114"/>
      <c r="U80" s="114"/>
      <c r="V80" s="114"/>
    </row>
    <row r="81" spans="1:38" x14ac:dyDescent="0.2">
      <c r="A81" s="113" t="s">
        <v>1</v>
      </c>
      <c r="B81" s="115">
        <v>1</v>
      </c>
      <c r="C81" s="115">
        <v>2</v>
      </c>
      <c r="D81" s="115">
        <v>3</v>
      </c>
      <c r="E81" s="115">
        <v>4</v>
      </c>
      <c r="F81" s="115">
        <v>5</v>
      </c>
      <c r="G81" s="115">
        <v>6</v>
      </c>
      <c r="H81" s="115">
        <v>7</v>
      </c>
      <c r="I81" s="115">
        <v>8</v>
      </c>
      <c r="J81" s="115">
        <v>9</v>
      </c>
      <c r="K81" s="115">
        <v>10</v>
      </c>
      <c r="L81" s="115">
        <v>11</v>
      </c>
      <c r="M81" s="115">
        <v>12</v>
      </c>
      <c r="N81" s="115">
        <v>13</v>
      </c>
      <c r="O81" s="115">
        <v>14</v>
      </c>
      <c r="P81" s="115">
        <v>15</v>
      </c>
      <c r="Q81" s="115">
        <v>16</v>
      </c>
      <c r="R81" s="115">
        <v>17</v>
      </c>
      <c r="S81" s="115">
        <v>18</v>
      </c>
      <c r="T81" s="115">
        <v>19</v>
      </c>
      <c r="U81" s="115">
        <v>20</v>
      </c>
      <c r="V81" s="115" t="s">
        <v>20</v>
      </c>
    </row>
    <row r="82" spans="1:38" x14ac:dyDescent="0.2">
      <c r="A82" s="116" t="s">
        <v>9</v>
      </c>
      <c r="B82" s="249">
        <v>2648</v>
      </c>
      <c r="C82" s="249">
        <v>2766</v>
      </c>
      <c r="D82" s="249">
        <v>2895</v>
      </c>
      <c r="E82" s="249">
        <v>3036</v>
      </c>
      <c r="F82" s="249">
        <v>3157</v>
      </c>
      <c r="G82" s="249">
        <v>3282</v>
      </c>
      <c r="H82" s="249">
        <v>3397</v>
      </c>
      <c r="I82" s="249">
        <v>3514</v>
      </c>
      <c r="J82" s="249">
        <v>3639</v>
      </c>
      <c r="K82" s="249">
        <v>3755</v>
      </c>
      <c r="L82" s="249">
        <v>3867</v>
      </c>
      <c r="M82" s="249">
        <v>3982</v>
      </c>
      <c r="N82" s="249">
        <v>4176</v>
      </c>
      <c r="O82" s="249"/>
      <c r="P82" s="249"/>
      <c r="Q82" s="249"/>
      <c r="R82" s="249"/>
      <c r="S82" s="249"/>
      <c r="T82" s="249"/>
      <c r="U82" s="249"/>
      <c r="V82" s="117">
        <f t="shared" ref="V82:V123" si="0">COUNTA(B82:U82)</f>
        <v>13</v>
      </c>
    </row>
    <row r="83" spans="1:38" x14ac:dyDescent="0.2">
      <c r="A83" s="116" t="s">
        <v>10</v>
      </c>
      <c r="B83" s="249">
        <v>2704</v>
      </c>
      <c r="C83" s="249">
        <v>2835</v>
      </c>
      <c r="D83" s="249">
        <v>2973</v>
      </c>
      <c r="E83" s="249">
        <v>3098</v>
      </c>
      <c r="F83" s="249">
        <v>3220</v>
      </c>
      <c r="G83" s="249">
        <v>3338</v>
      </c>
      <c r="H83" s="249">
        <v>3453</v>
      </c>
      <c r="I83" s="249">
        <v>3580</v>
      </c>
      <c r="J83" s="249">
        <v>3694</v>
      </c>
      <c r="K83" s="249">
        <v>3808</v>
      </c>
      <c r="L83" s="249">
        <v>3923</v>
      </c>
      <c r="M83" s="249">
        <v>4048</v>
      </c>
      <c r="N83" s="249">
        <v>4176</v>
      </c>
      <c r="O83" s="249">
        <v>4297</v>
      </c>
      <c r="P83" s="249">
        <v>4416</v>
      </c>
      <c r="Q83" s="249">
        <v>4533</v>
      </c>
      <c r="R83" s="249">
        <v>4649</v>
      </c>
      <c r="S83" s="249">
        <v>4709</v>
      </c>
      <c r="T83" s="249"/>
      <c r="U83" s="249"/>
      <c r="V83" s="117">
        <f t="shared" si="0"/>
        <v>18</v>
      </c>
    </row>
    <row r="84" spans="1:38" x14ac:dyDescent="0.2">
      <c r="A84" s="116" t="s">
        <v>11</v>
      </c>
      <c r="B84" s="249">
        <v>2835</v>
      </c>
      <c r="C84" s="249">
        <v>2973</v>
      </c>
      <c r="D84" s="249">
        <v>3220</v>
      </c>
      <c r="E84" s="249">
        <v>3453</v>
      </c>
      <c r="F84" s="249">
        <v>3580</v>
      </c>
      <c r="G84" s="249">
        <v>3694</v>
      </c>
      <c r="H84" s="249">
        <v>3808</v>
      </c>
      <c r="I84" s="249">
        <v>3923</v>
      </c>
      <c r="J84" s="249">
        <v>4048</v>
      </c>
      <c r="K84" s="249">
        <v>4176</v>
      </c>
      <c r="L84" s="249">
        <v>4297</v>
      </c>
      <c r="M84" s="249">
        <v>4416</v>
      </c>
      <c r="N84" s="249">
        <v>4533</v>
      </c>
      <c r="O84" s="249">
        <v>4649</v>
      </c>
      <c r="P84" s="249">
        <v>4770</v>
      </c>
      <c r="Q84" s="249">
        <v>4890</v>
      </c>
      <c r="R84" s="249">
        <v>5003</v>
      </c>
      <c r="S84" s="249">
        <v>5123</v>
      </c>
      <c r="T84" s="249">
        <v>5272</v>
      </c>
      <c r="U84" s="249">
        <v>5345</v>
      </c>
      <c r="V84" s="117">
        <f t="shared" si="0"/>
        <v>20</v>
      </c>
    </row>
    <row r="85" spans="1:38" x14ac:dyDescent="0.2">
      <c r="A85" s="116" t="s">
        <v>12</v>
      </c>
      <c r="B85" s="249">
        <v>2973</v>
      </c>
      <c r="C85" s="249">
        <v>3220</v>
      </c>
      <c r="D85" s="249">
        <v>3453</v>
      </c>
      <c r="E85" s="249">
        <v>3694</v>
      </c>
      <c r="F85" s="249">
        <v>3923</v>
      </c>
      <c r="G85" s="249">
        <v>4176</v>
      </c>
      <c r="H85" s="249">
        <v>4297</v>
      </c>
      <c r="I85" s="249">
        <v>4416</v>
      </c>
      <c r="J85" s="249">
        <v>4533</v>
      </c>
      <c r="K85" s="249">
        <v>4649</v>
      </c>
      <c r="L85" s="249">
        <v>4770</v>
      </c>
      <c r="M85" s="249">
        <v>4890</v>
      </c>
      <c r="N85" s="249">
        <v>5003</v>
      </c>
      <c r="O85" s="249">
        <v>5123</v>
      </c>
      <c r="P85" s="249">
        <v>5272</v>
      </c>
      <c r="Q85" s="249">
        <v>5420</v>
      </c>
      <c r="R85" s="249">
        <v>5569</v>
      </c>
      <c r="S85" s="249">
        <v>5718</v>
      </c>
      <c r="T85" s="249">
        <v>5789</v>
      </c>
      <c r="U85" s="249"/>
      <c r="V85" s="117">
        <f t="shared" si="0"/>
        <v>19</v>
      </c>
    </row>
    <row r="86" spans="1:38" x14ac:dyDescent="0.2">
      <c r="A86" s="116" t="s">
        <v>2</v>
      </c>
      <c r="B86" s="249">
        <v>2888</v>
      </c>
      <c r="C86" s="249">
        <v>2999</v>
      </c>
      <c r="D86" s="249">
        <v>3113</v>
      </c>
      <c r="E86" s="249">
        <v>3223</v>
      </c>
      <c r="F86" s="249">
        <v>3334</v>
      </c>
      <c r="G86" s="249">
        <v>3447</v>
      </c>
      <c r="H86" s="249">
        <v>3559</v>
      </c>
      <c r="I86" s="249">
        <v>3671</v>
      </c>
      <c r="J86" s="249">
        <v>3781</v>
      </c>
      <c r="K86" s="249">
        <v>3893</v>
      </c>
      <c r="L86" s="249">
        <v>4007</v>
      </c>
      <c r="M86" s="249">
        <v>4118</v>
      </c>
      <c r="N86" s="249">
        <v>4231</v>
      </c>
      <c r="O86" s="249"/>
      <c r="P86" s="249"/>
      <c r="Q86" s="249"/>
      <c r="R86" s="249"/>
      <c r="S86" s="249"/>
      <c r="T86" s="250"/>
      <c r="U86" s="250"/>
      <c r="V86" s="117">
        <f t="shared" si="0"/>
        <v>13</v>
      </c>
    </row>
    <row r="87" spans="1:38" x14ac:dyDescent="0.2">
      <c r="A87" s="116" t="s">
        <v>3</v>
      </c>
      <c r="B87" s="249">
        <v>2999</v>
      </c>
      <c r="C87" s="249">
        <v>3223</v>
      </c>
      <c r="D87" s="249">
        <v>3447</v>
      </c>
      <c r="E87" s="249">
        <v>3559</v>
      </c>
      <c r="F87" s="249">
        <v>3671</v>
      </c>
      <c r="G87" s="249">
        <v>3781</v>
      </c>
      <c r="H87" s="249">
        <v>3893</v>
      </c>
      <c r="I87" s="249">
        <v>4007</v>
      </c>
      <c r="J87" s="249">
        <v>4118</v>
      </c>
      <c r="K87" s="249">
        <v>4231</v>
      </c>
      <c r="L87" s="249">
        <v>4344</v>
      </c>
      <c r="M87" s="249">
        <v>4454</v>
      </c>
      <c r="N87" s="249">
        <v>4566</v>
      </c>
      <c r="O87" s="249">
        <v>4676</v>
      </c>
      <c r="P87" s="249">
        <v>4791</v>
      </c>
      <c r="Q87" s="249"/>
      <c r="R87" s="249"/>
      <c r="S87" s="249"/>
      <c r="T87" s="250"/>
      <c r="U87" s="250"/>
      <c r="V87" s="117">
        <f t="shared" si="0"/>
        <v>15</v>
      </c>
    </row>
    <row r="88" spans="1:38" x14ac:dyDescent="0.2">
      <c r="A88" s="116" t="s">
        <v>4</v>
      </c>
      <c r="B88" s="249">
        <v>2999</v>
      </c>
      <c r="C88" s="249">
        <v>3223</v>
      </c>
      <c r="D88" s="249">
        <v>3447</v>
      </c>
      <c r="E88" s="249">
        <v>3559</v>
      </c>
      <c r="F88" s="249">
        <v>3671</v>
      </c>
      <c r="G88" s="249">
        <v>3781</v>
      </c>
      <c r="H88" s="249">
        <v>3893</v>
      </c>
      <c r="I88" s="249">
        <v>4007</v>
      </c>
      <c r="J88" s="249">
        <v>4118</v>
      </c>
      <c r="K88" s="249">
        <v>4231</v>
      </c>
      <c r="L88" s="249">
        <v>4344</v>
      </c>
      <c r="M88" s="249">
        <v>4454</v>
      </c>
      <c r="N88" s="249">
        <v>4566</v>
      </c>
      <c r="O88" s="249">
        <v>4676</v>
      </c>
      <c r="P88" s="249">
        <v>4791</v>
      </c>
      <c r="Q88" s="249">
        <v>4902</v>
      </c>
      <c r="R88" s="249">
        <v>5014</v>
      </c>
      <c r="S88" s="249"/>
      <c r="T88" s="250"/>
      <c r="U88" s="250"/>
      <c r="V88" s="117">
        <f t="shared" si="0"/>
        <v>17</v>
      </c>
    </row>
    <row r="89" spans="1:38" x14ac:dyDescent="0.2">
      <c r="A89" s="116" t="s">
        <v>5</v>
      </c>
      <c r="B89" s="249">
        <v>3113</v>
      </c>
      <c r="C89" s="249">
        <v>3447</v>
      </c>
      <c r="D89" s="249">
        <v>3671</v>
      </c>
      <c r="E89" s="249">
        <v>3893</v>
      </c>
      <c r="F89" s="249">
        <v>4118</v>
      </c>
      <c r="G89" s="249">
        <v>4231</v>
      </c>
      <c r="H89" s="249">
        <v>4344</v>
      </c>
      <c r="I89" s="249">
        <v>4454</v>
      </c>
      <c r="J89" s="249">
        <v>4566</v>
      </c>
      <c r="K89" s="249">
        <v>4676</v>
      </c>
      <c r="L89" s="249">
        <v>4791</v>
      </c>
      <c r="M89" s="249">
        <v>4902</v>
      </c>
      <c r="N89" s="249">
        <v>5014</v>
      </c>
      <c r="O89" s="249">
        <v>5124</v>
      </c>
      <c r="P89" s="249">
        <v>5236</v>
      </c>
      <c r="Q89" s="249">
        <v>5350</v>
      </c>
      <c r="R89" s="249"/>
      <c r="S89" s="249"/>
      <c r="T89" s="250"/>
      <c r="U89" s="250"/>
      <c r="V89" s="117">
        <f t="shared" si="0"/>
        <v>16</v>
      </c>
    </row>
    <row r="90" spans="1:38" x14ac:dyDescent="0.2">
      <c r="A90" s="116" t="s">
        <v>6</v>
      </c>
      <c r="B90" s="249">
        <v>3113</v>
      </c>
      <c r="C90" s="249">
        <v>3447</v>
      </c>
      <c r="D90" s="249">
        <v>3671</v>
      </c>
      <c r="E90" s="249">
        <v>3893</v>
      </c>
      <c r="F90" s="249">
        <v>4118</v>
      </c>
      <c r="G90" s="249">
        <v>4231</v>
      </c>
      <c r="H90" s="249">
        <v>4344</v>
      </c>
      <c r="I90" s="249">
        <v>4454</v>
      </c>
      <c r="J90" s="249">
        <v>4566</v>
      </c>
      <c r="K90" s="249">
        <v>4676</v>
      </c>
      <c r="L90" s="249">
        <v>4791</v>
      </c>
      <c r="M90" s="249">
        <v>4902</v>
      </c>
      <c r="N90" s="249">
        <v>5014</v>
      </c>
      <c r="O90" s="249">
        <v>5124</v>
      </c>
      <c r="P90" s="249">
        <v>5236</v>
      </c>
      <c r="Q90" s="249">
        <v>5350</v>
      </c>
      <c r="R90" s="249">
        <v>5461</v>
      </c>
      <c r="S90" s="249">
        <v>5572</v>
      </c>
      <c r="T90" s="250"/>
      <c r="U90" s="250"/>
      <c r="V90" s="117">
        <f t="shared" si="0"/>
        <v>18</v>
      </c>
    </row>
    <row r="91" spans="1:38" x14ac:dyDescent="0.2">
      <c r="A91" s="116" t="s">
        <v>7</v>
      </c>
      <c r="B91" s="249">
        <v>3160</v>
      </c>
      <c r="C91" s="249">
        <v>3392</v>
      </c>
      <c r="D91" s="249">
        <v>3630</v>
      </c>
      <c r="E91" s="249">
        <v>3857</v>
      </c>
      <c r="F91" s="249">
        <v>4109</v>
      </c>
      <c r="G91" s="249">
        <v>4231</v>
      </c>
      <c r="H91" s="249">
        <v>4348</v>
      </c>
      <c r="I91" s="249">
        <v>4467</v>
      </c>
      <c r="J91" s="249">
        <v>4580</v>
      </c>
      <c r="K91" s="249">
        <v>4702</v>
      </c>
      <c r="L91" s="249">
        <v>4820</v>
      </c>
      <c r="M91" s="249">
        <v>4934</v>
      </c>
      <c r="N91" s="249">
        <v>5052</v>
      </c>
      <c r="O91" s="249">
        <v>5200</v>
      </c>
      <c r="P91" s="249">
        <v>5349</v>
      </c>
      <c r="Q91" s="249">
        <v>5496</v>
      </c>
      <c r="R91" s="249">
        <v>5644</v>
      </c>
      <c r="S91" s="249">
        <v>5715</v>
      </c>
      <c r="T91" s="250"/>
      <c r="U91" s="250"/>
      <c r="V91" s="117">
        <f t="shared" si="0"/>
        <v>18</v>
      </c>
    </row>
    <row r="92" spans="1:38" x14ac:dyDescent="0.2">
      <c r="A92" s="116" t="s">
        <v>8</v>
      </c>
      <c r="B92" s="249">
        <v>3276</v>
      </c>
      <c r="C92" s="249">
        <v>3517</v>
      </c>
      <c r="D92" s="249">
        <v>3744</v>
      </c>
      <c r="E92" s="249">
        <v>3983</v>
      </c>
      <c r="F92" s="249">
        <v>4231</v>
      </c>
      <c r="G92" s="249">
        <v>4467</v>
      </c>
      <c r="H92" s="249">
        <v>4702</v>
      </c>
      <c r="I92" s="249">
        <v>4820</v>
      </c>
      <c r="J92" s="249">
        <v>4934</v>
      </c>
      <c r="K92" s="249">
        <v>5052</v>
      </c>
      <c r="L92" s="249">
        <v>5200</v>
      </c>
      <c r="M92" s="249">
        <v>5349</v>
      </c>
      <c r="N92" s="249">
        <v>5496</v>
      </c>
      <c r="O92" s="249">
        <v>5644</v>
      </c>
      <c r="P92" s="249">
        <v>5794</v>
      </c>
      <c r="Q92" s="249">
        <v>5951</v>
      </c>
      <c r="R92" s="249">
        <v>6111</v>
      </c>
      <c r="S92" s="249">
        <v>6276</v>
      </c>
      <c r="T92" s="250"/>
      <c r="U92" s="250"/>
      <c r="V92" s="117">
        <f>COUNTA(B92:U92)</f>
        <v>18</v>
      </c>
    </row>
    <row r="93" spans="1:38" x14ac:dyDescent="0.2">
      <c r="A93" s="118" t="s">
        <v>52</v>
      </c>
      <c r="B93" s="250">
        <v>1594.2</v>
      </c>
      <c r="C93" s="250">
        <v>1610</v>
      </c>
      <c r="D93" s="250">
        <v>1677</v>
      </c>
      <c r="E93" s="250">
        <v>1707</v>
      </c>
      <c r="F93" s="250">
        <v>1742</v>
      </c>
      <c r="G93" s="250">
        <v>1778</v>
      </c>
      <c r="H93" s="250">
        <v>1825</v>
      </c>
      <c r="I93" s="250"/>
      <c r="J93" s="251"/>
      <c r="K93" s="251"/>
      <c r="L93" s="251"/>
      <c r="M93" s="251"/>
      <c r="N93" s="251"/>
      <c r="O93" s="251"/>
      <c r="P93" s="251"/>
      <c r="Q93" s="251"/>
      <c r="R93" s="251"/>
      <c r="S93" s="251"/>
      <c r="T93" s="251"/>
      <c r="U93" s="250"/>
      <c r="V93" s="117">
        <f t="shared" si="0"/>
        <v>7</v>
      </c>
    </row>
    <row r="94" spans="1:38" x14ac:dyDescent="0.2">
      <c r="A94" s="114" t="s">
        <v>53</v>
      </c>
      <c r="B94" s="250">
        <v>1594.2</v>
      </c>
      <c r="C94" s="250">
        <v>1644</v>
      </c>
      <c r="D94" s="250">
        <v>1707</v>
      </c>
      <c r="E94" s="250">
        <v>1778</v>
      </c>
      <c r="F94" s="250">
        <v>1825</v>
      </c>
      <c r="G94" s="250">
        <v>1878</v>
      </c>
      <c r="H94" s="250">
        <v>1944</v>
      </c>
      <c r="I94" s="250">
        <v>2006</v>
      </c>
      <c r="J94" s="251"/>
      <c r="K94" s="251"/>
      <c r="L94" s="251"/>
      <c r="M94" s="251"/>
      <c r="N94" s="251"/>
      <c r="O94" s="251"/>
      <c r="P94" s="251"/>
      <c r="Q94" s="251"/>
      <c r="R94" s="251"/>
      <c r="S94" s="251"/>
      <c r="T94" s="251"/>
      <c r="U94" s="250"/>
      <c r="V94" s="117">
        <f t="shared" si="0"/>
        <v>8</v>
      </c>
    </row>
    <row r="95" spans="1:38" x14ac:dyDescent="0.2">
      <c r="A95" s="114" t="s">
        <v>54</v>
      </c>
      <c r="B95" s="250">
        <v>1594.2</v>
      </c>
      <c r="C95" s="250">
        <v>1707</v>
      </c>
      <c r="D95" s="250">
        <v>1778</v>
      </c>
      <c r="E95" s="250">
        <v>1878</v>
      </c>
      <c r="F95" s="250">
        <v>1944</v>
      </c>
      <c r="G95" s="250">
        <v>2006</v>
      </c>
      <c r="H95" s="250">
        <v>2067</v>
      </c>
      <c r="I95" s="250"/>
      <c r="J95" s="251"/>
      <c r="K95" s="251"/>
      <c r="L95" s="251"/>
      <c r="M95" s="251"/>
      <c r="N95" s="251"/>
      <c r="O95" s="251"/>
      <c r="P95" s="251"/>
      <c r="Q95" s="251"/>
      <c r="R95" s="251"/>
      <c r="S95" s="251"/>
      <c r="T95" s="251"/>
      <c r="U95" s="250"/>
      <c r="V95" s="117">
        <f t="shared" si="0"/>
        <v>7</v>
      </c>
    </row>
    <row r="96" spans="1:38" x14ac:dyDescent="0.2">
      <c r="A96" s="116" t="s">
        <v>174</v>
      </c>
      <c r="B96" s="249">
        <v>2563</v>
      </c>
      <c r="C96" s="249">
        <v>2638</v>
      </c>
      <c r="D96" s="249">
        <v>2715</v>
      </c>
      <c r="E96" s="249">
        <v>2795</v>
      </c>
      <c r="F96" s="249">
        <v>2877</v>
      </c>
      <c r="G96" s="249">
        <v>2962</v>
      </c>
      <c r="H96" s="249">
        <v>3049</v>
      </c>
      <c r="I96" s="249">
        <v>3139</v>
      </c>
      <c r="J96" s="249">
        <v>3231</v>
      </c>
      <c r="K96" s="249">
        <v>3326</v>
      </c>
      <c r="L96" s="249">
        <v>3424</v>
      </c>
      <c r="M96" s="249">
        <v>3524</v>
      </c>
      <c r="N96" s="249">
        <v>3629</v>
      </c>
      <c r="O96" s="249">
        <v>3735</v>
      </c>
      <c r="P96" s="249">
        <v>3875</v>
      </c>
      <c r="Q96" s="251"/>
      <c r="R96" s="251"/>
      <c r="S96" s="251"/>
      <c r="T96" s="251"/>
      <c r="U96" s="250"/>
      <c r="V96" s="117">
        <f t="shared" si="0"/>
        <v>15</v>
      </c>
      <c r="X96" s="252"/>
      <c r="Y96" s="252"/>
      <c r="Z96" s="252"/>
      <c r="AA96" s="252"/>
      <c r="AB96" s="252"/>
      <c r="AC96" s="252"/>
      <c r="AD96" s="252"/>
      <c r="AE96" s="252"/>
      <c r="AF96" s="252"/>
      <c r="AG96" s="252"/>
      <c r="AH96" s="252"/>
      <c r="AI96" s="252"/>
      <c r="AJ96" s="252"/>
      <c r="AK96" s="252"/>
      <c r="AL96" s="252"/>
    </row>
    <row r="97" spans="1:38" x14ac:dyDescent="0.2">
      <c r="A97" s="116" t="s">
        <v>175</v>
      </c>
      <c r="B97" s="249">
        <v>2639</v>
      </c>
      <c r="C97" s="249">
        <v>2729</v>
      </c>
      <c r="D97" s="249">
        <v>2821</v>
      </c>
      <c r="E97" s="249">
        <v>2916</v>
      </c>
      <c r="F97" s="249">
        <v>3015</v>
      </c>
      <c r="G97" s="249">
        <v>3117</v>
      </c>
      <c r="H97" s="249">
        <v>3222</v>
      </c>
      <c r="I97" s="249">
        <v>3331</v>
      </c>
      <c r="J97" s="249">
        <v>3443</v>
      </c>
      <c r="K97" s="249">
        <v>3560</v>
      </c>
      <c r="L97" s="249">
        <v>3680</v>
      </c>
      <c r="M97" s="249">
        <v>3805</v>
      </c>
      <c r="N97" s="249">
        <v>3933</v>
      </c>
      <c r="O97" s="249">
        <v>4066</v>
      </c>
      <c r="P97" s="249">
        <v>4228</v>
      </c>
      <c r="Q97" s="251"/>
      <c r="R97" s="251"/>
      <c r="S97" s="251"/>
      <c r="T97" s="251"/>
      <c r="U97" s="250"/>
      <c r="V97" s="117">
        <f t="shared" si="0"/>
        <v>15</v>
      </c>
      <c r="X97" s="252"/>
      <c r="Y97" s="252"/>
      <c r="Z97" s="252"/>
      <c r="AA97" s="252"/>
      <c r="AB97" s="252"/>
      <c r="AC97" s="252"/>
      <c r="AD97" s="252"/>
      <c r="AE97" s="252"/>
      <c r="AF97" s="252"/>
      <c r="AG97" s="252"/>
      <c r="AH97" s="252"/>
      <c r="AI97" s="252"/>
      <c r="AJ97" s="252"/>
      <c r="AK97" s="252"/>
      <c r="AL97" s="252"/>
    </row>
    <row r="98" spans="1:38" x14ac:dyDescent="0.2">
      <c r="A98" s="116" t="s">
        <v>176</v>
      </c>
      <c r="B98" s="249">
        <v>2691</v>
      </c>
      <c r="C98" s="249">
        <v>2806</v>
      </c>
      <c r="D98" s="249">
        <v>2927</v>
      </c>
      <c r="E98" s="249">
        <v>3052</v>
      </c>
      <c r="F98" s="249">
        <v>3184</v>
      </c>
      <c r="G98" s="249">
        <v>3321</v>
      </c>
      <c r="H98" s="249">
        <v>3463</v>
      </c>
      <c r="I98" s="249">
        <v>3613</v>
      </c>
      <c r="J98" s="249">
        <v>3768</v>
      </c>
      <c r="K98" s="249">
        <v>3930</v>
      </c>
      <c r="L98" s="249">
        <v>4099</v>
      </c>
      <c r="M98" s="249">
        <v>4275</v>
      </c>
      <c r="N98" s="249">
        <v>4460</v>
      </c>
      <c r="O98" s="249">
        <v>4651</v>
      </c>
      <c r="P98" s="249">
        <v>4851</v>
      </c>
      <c r="Q98" s="251"/>
      <c r="R98" s="251"/>
      <c r="S98" s="251"/>
      <c r="T98" s="251"/>
      <c r="U98" s="250"/>
      <c r="V98" s="117">
        <f t="shared" si="0"/>
        <v>15</v>
      </c>
      <c r="X98" s="252"/>
      <c r="Y98" s="252"/>
      <c r="Z98" s="252"/>
      <c r="AA98" s="252"/>
      <c r="AB98" s="252"/>
      <c r="AC98" s="252"/>
      <c r="AD98" s="252"/>
      <c r="AE98" s="252"/>
      <c r="AF98" s="252"/>
      <c r="AG98" s="252"/>
      <c r="AH98" s="252"/>
      <c r="AI98" s="252"/>
      <c r="AJ98" s="252"/>
      <c r="AK98" s="252"/>
      <c r="AL98" s="252"/>
    </row>
    <row r="99" spans="1:38" x14ac:dyDescent="0.2">
      <c r="A99" s="116" t="s">
        <v>177</v>
      </c>
      <c r="B99" s="249">
        <v>2691</v>
      </c>
      <c r="C99" s="249">
        <v>2806</v>
      </c>
      <c r="D99" s="249">
        <v>2961</v>
      </c>
      <c r="E99" s="249">
        <v>3124</v>
      </c>
      <c r="F99" s="249">
        <v>3288</v>
      </c>
      <c r="G99" s="249">
        <v>3459</v>
      </c>
      <c r="H99" s="249">
        <v>3637</v>
      </c>
      <c r="I99" s="249">
        <v>3817</v>
      </c>
      <c r="J99" s="249">
        <v>4007</v>
      </c>
      <c r="K99" s="249">
        <v>4204</v>
      </c>
      <c r="L99" s="249">
        <v>4406</v>
      </c>
      <c r="M99" s="249">
        <v>4616</v>
      </c>
      <c r="N99" s="249">
        <v>4833</v>
      </c>
      <c r="O99" s="249">
        <v>5055</v>
      </c>
      <c r="P99" s="249">
        <v>5294</v>
      </c>
      <c r="Q99" s="251"/>
      <c r="R99" s="251"/>
      <c r="S99" s="251"/>
      <c r="T99" s="251"/>
      <c r="U99" s="250"/>
      <c r="V99" s="117">
        <f t="shared" si="0"/>
        <v>15</v>
      </c>
      <c r="X99" s="252"/>
      <c r="Y99" s="252"/>
      <c r="Z99" s="252"/>
      <c r="AA99" s="252"/>
      <c r="AB99" s="252"/>
      <c r="AC99" s="252"/>
      <c r="AD99" s="252"/>
      <c r="AE99" s="252"/>
      <c r="AF99" s="252"/>
      <c r="AG99" s="252"/>
      <c r="AH99" s="252"/>
      <c r="AI99" s="252"/>
      <c r="AJ99" s="252"/>
      <c r="AK99" s="252"/>
      <c r="AL99" s="252"/>
    </row>
    <row r="100" spans="1:38" x14ac:dyDescent="0.2">
      <c r="A100" s="116" t="s">
        <v>178</v>
      </c>
      <c r="B100" s="249">
        <v>3392</v>
      </c>
      <c r="C100" s="249">
        <v>3519</v>
      </c>
      <c r="D100" s="249">
        <v>3633</v>
      </c>
      <c r="E100" s="249">
        <v>3861</v>
      </c>
      <c r="F100" s="249">
        <v>4114</v>
      </c>
      <c r="G100" s="249">
        <v>4273</v>
      </c>
      <c r="H100" s="249">
        <v>4435</v>
      </c>
      <c r="I100" s="249">
        <v>4596</v>
      </c>
      <c r="J100" s="249">
        <v>4758</v>
      </c>
      <c r="K100" s="249">
        <v>4918</v>
      </c>
      <c r="L100" s="249">
        <v>5081</v>
      </c>
      <c r="M100" s="249">
        <v>5243</v>
      </c>
      <c r="N100" s="249">
        <v>5405</v>
      </c>
      <c r="O100" s="249">
        <v>5566</v>
      </c>
      <c r="P100" s="249">
        <v>5732</v>
      </c>
      <c r="Q100" s="251"/>
      <c r="R100" s="251"/>
      <c r="S100" s="251"/>
      <c r="T100" s="251"/>
      <c r="U100" s="250"/>
      <c r="V100" s="117">
        <f t="shared" si="0"/>
        <v>15</v>
      </c>
    </row>
    <row r="101" spans="1:38" x14ac:dyDescent="0.2">
      <c r="A101" s="114" t="s">
        <v>13</v>
      </c>
      <c r="B101" s="250">
        <v>1218</v>
      </c>
      <c r="C101" s="253"/>
      <c r="D101" s="253"/>
      <c r="E101" s="253"/>
      <c r="F101" s="253"/>
      <c r="G101" s="253"/>
      <c r="H101" s="253"/>
      <c r="I101" s="253"/>
      <c r="J101" s="253"/>
      <c r="K101" s="253"/>
      <c r="L101" s="253"/>
      <c r="M101" s="253"/>
      <c r="N101" s="253"/>
      <c r="O101" s="253"/>
      <c r="P101" s="253"/>
      <c r="Q101" s="251"/>
      <c r="R101" s="254"/>
      <c r="S101" s="254"/>
      <c r="T101" s="254"/>
      <c r="U101" s="253"/>
      <c r="V101" s="117">
        <f t="shared" si="0"/>
        <v>1</v>
      </c>
    </row>
    <row r="102" spans="1:38" x14ac:dyDescent="0.2">
      <c r="A102" s="114" t="s">
        <v>14</v>
      </c>
      <c r="B102" s="250">
        <v>1262.5</v>
      </c>
      <c r="C102" s="253"/>
      <c r="D102" s="253"/>
      <c r="E102" s="253"/>
      <c r="F102" s="253"/>
      <c r="G102" s="253"/>
      <c r="H102" s="253"/>
      <c r="I102" s="253"/>
      <c r="J102" s="253"/>
      <c r="K102" s="253"/>
      <c r="L102" s="253"/>
      <c r="M102" s="253"/>
      <c r="N102" s="253"/>
      <c r="O102" s="253"/>
      <c r="P102" s="253"/>
      <c r="Q102" s="251"/>
      <c r="R102" s="254"/>
      <c r="S102" s="254"/>
      <c r="T102" s="254"/>
      <c r="U102" s="253"/>
      <c r="V102" s="117">
        <f t="shared" si="0"/>
        <v>1</v>
      </c>
    </row>
    <row r="103" spans="1:38" x14ac:dyDescent="0.2">
      <c r="A103" s="114" t="s">
        <v>51</v>
      </c>
      <c r="B103" s="249">
        <v>2888</v>
      </c>
      <c r="C103" s="249">
        <v>2999</v>
      </c>
      <c r="D103" s="249">
        <v>3113</v>
      </c>
      <c r="E103" s="249">
        <v>3223</v>
      </c>
      <c r="F103" s="249">
        <v>3334</v>
      </c>
      <c r="G103" s="249">
        <v>3447</v>
      </c>
      <c r="H103" s="249">
        <v>3559</v>
      </c>
      <c r="I103" s="249">
        <v>3671</v>
      </c>
      <c r="J103" s="249">
        <v>3781</v>
      </c>
      <c r="K103" s="249">
        <v>3893</v>
      </c>
      <c r="L103" s="249">
        <v>4007</v>
      </c>
      <c r="M103" s="249"/>
      <c r="N103" s="249"/>
      <c r="O103" s="249"/>
      <c r="P103" s="249"/>
      <c r="Q103" s="251"/>
      <c r="R103" s="251"/>
      <c r="S103" s="251"/>
      <c r="T103" s="251"/>
      <c r="U103" s="250"/>
      <c r="V103" s="117">
        <f t="shared" si="0"/>
        <v>11</v>
      </c>
    </row>
    <row r="104" spans="1:38" x14ac:dyDescent="0.2">
      <c r="A104" s="114" t="s">
        <v>47</v>
      </c>
      <c r="B104" s="249">
        <v>2999</v>
      </c>
      <c r="C104" s="249">
        <v>3223</v>
      </c>
      <c r="D104" s="249">
        <v>3447</v>
      </c>
      <c r="E104" s="249">
        <v>3559</v>
      </c>
      <c r="F104" s="249">
        <v>3671</v>
      </c>
      <c r="G104" s="249">
        <v>3781</v>
      </c>
      <c r="H104" s="249">
        <v>3893</v>
      </c>
      <c r="I104" s="249">
        <v>4007</v>
      </c>
      <c r="J104" s="249">
        <v>4118</v>
      </c>
      <c r="K104" s="249">
        <v>4231</v>
      </c>
      <c r="L104" s="249"/>
      <c r="M104" s="249"/>
      <c r="N104" s="249"/>
      <c r="O104" s="249"/>
      <c r="P104" s="249"/>
      <c r="Q104" s="251"/>
      <c r="R104" s="251"/>
      <c r="S104" s="251"/>
      <c r="T104" s="251"/>
      <c r="U104" s="250"/>
      <c r="V104" s="117">
        <f t="shared" si="0"/>
        <v>10</v>
      </c>
    </row>
    <row r="105" spans="1:38" x14ac:dyDescent="0.2">
      <c r="A105" s="114" t="s">
        <v>48</v>
      </c>
      <c r="B105" s="249">
        <v>2999</v>
      </c>
      <c r="C105" s="249">
        <v>3223</v>
      </c>
      <c r="D105" s="249">
        <v>3447</v>
      </c>
      <c r="E105" s="249">
        <v>3559</v>
      </c>
      <c r="F105" s="249">
        <v>3671</v>
      </c>
      <c r="G105" s="249">
        <v>3781</v>
      </c>
      <c r="H105" s="249">
        <v>3893</v>
      </c>
      <c r="I105" s="249">
        <v>4007</v>
      </c>
      <c r="J105" s="249">
        <v>4118</v>
      </c>
      <c r="K105" s="249">
        <v>4231</v>
      </c>
      <c r="L105" s="249">
        <v>4344</v>
      </c>
      <c r="M105" s="249"/>
      <c r="N105" s="249"/>
      <c r="O105" s="249"/>
      <c r="P105" s="249"/>
      <c r="Q105" s="251"/>
      <c r="R105" s="251"/>
      <c r="S105" s="251"/>
      <c r="T105" s="251"/>
      <c r="U105" s="250"/>
      <c r="V105" s="117">
        <f t="shared" si="0"/>
        <v>11</v>
      </c>
    </row>
    <row r="106" spans="1:38" x14ac:dyDescent="0.2">
      <c r="A106" s="114" t="s">
        <v>49</v>
      </c>
      <c r="B106" s="249">
        <v>3113</v>
      </c>
      <c r="C106" s="249">
        <v>3447</v>
      </c>
      <c r="D106" s="249">
        <v>3671</v>
      </c>
      <c r="E106" s="249">
        <v>3893</v>
      </c>
      <c r="F106" s="249">
        <v>4118</v>
      </c>
      <c r="G106" s="249">
        <v>4231</v>
      </c>
      <c r="H106" s="249">
        <v>4344</v>
      </c>
      <c r="I106" s="249">
        <v>4454</v>
      </c>
      <c r="J106" s="249">
        <v>4566</v>
      </c>
      <c r="K106" s="249">
        <v>4676</v>
      </c>
      <c r="L106" s="249">
        <v>4791</v>
      </c>
      <c r="M106" s="249">
        <v>4902</v>
      </c>
      <c r="N106" s="249">
        <v>5014</v>
      </c>
      <c r="O106" s="249"/>
      <c r="P106" s="249"/>
      <c r="Q106" s="251"/>
      <c r="R106" s="251"/>
      <c r="S106" s="251"/>
      <c r="T106" s="251"/>
      <c r="U106" s="250"/>
      <c r="V106" s="117">
        <f t="shared" si="0"/>
        <v>13</v>
      </c>
    </row>
    <row r="107" spans="1:38" x14ac:dyDescent="0.2">
      <c r="A107" s="114" t="s">
        <v>50</v>
      </c>
      <c r="B107" s="249">
        <v>3113</v>
      </c>
      <c r="C107" s="249">
        <v>3447</v>
      </c>
      <c r="D107" s="249">
        <v>3671</v>
      </c>
      <c r="E107" s="249">
        <v>3893</v>
      </c>
      <c r="F107" s="249">
        <v>4118</v>
      </c>
      <c r="G107" s="249">
        <v>4231</v>
      </c>
      <c r="H107" s="249">
        <v>4344</v>
      </c>
      <c r="I107" s="249">
        <v>4454</v>
      </c>
      <c r="J107" s="249">
        <v>4566</v>
      </c>
      <c r="K107" s="249">
        <v>4676</v>
      </c>
      <c r="L107" s="249">
        <v>4791</v>
      </c>
      <c r="M107" s="249">
        <v>4902</v>
      </c>
      <c r="N107" s="249">
        <v>5014</v>
      </c>
      <c r="O107" s="249">
        <v>5124</v>
      </c>
      <c r="P107" s="249">
        <v>5236</v>
      </c>
      <c r="Q107" s="251"/>
      <c r="R107" s="251"/>
      <c r="S107" s="251"/>
      <c r="T107" s="251"/>
      <c r="U107" s="250"/>
      <c r="V107" s="117">
        <f t="shared" si="0"/>
        <v>15</v>
      </c>
    </row>
    <row r="108" spans="1:38" x14ac:dyDescent="0.2">
      <c r="A108" s="114">
        <v>1</v>
      </c>
      <c r="B108" s="250">
        <v>1594.2</v>
      </c>
      <c r="C108" s="250">
        <v>1610</v>
      </c>
      <c r="D108" s="249">
        <v>1677</v>
      </c>
      <c r="E108" s="249">
        <v>1707</v>
      </c>
      <c r="F108" s="249">
        <v>1742</v>
      </c>
      <c r="G108" s="249">
        <v>1778</v>
      </c>
      <c r="H108" s="249">
        <v>1825</v>
      </c>
      <c r="I108" s="249"/>
      <c r="J108" s="249"/>
      <c r="K108" s="249"/>
      <c r="L108" s="249"/>
      <c r="M108" s="249"/>
      <c r="N108" s="249"/>
      <c r="O108" s="249"/>
      <c r="P108" s="249"/>
      <c r="Q108" s="249"/>
      <c r="R108" s="249"/>
      <c r="S108" s="249"/>
      <c r="T108" s="251"/>
      <c r="U108" s="250"/>
      <c r="V108" s="117">
        <f t="shared" si="0"/>
        <v>7</v>
      </c>
    </row>
    <row r="109" spans="1:38" x14ac:dyDescent="0.2">
      <c r="A109" s="114">
        <v>2</v>
      </c>
      <c r="B109" s="250">
        <v>1594.2</v>
      </c>
      <c r="C109" s="249">
        <v>1644</v>
      </c>
      <c r="D109" s="249">
        <v>1707</v>
      </c>
      <c r="E109" s="249">
        <v>1778</v>
      </c>
      <c r="F109" s="249">
        <v>1825</v>
      </c>
      <c r="G109" s="249">
        <v>1878</v>
      </c>
      <c r="H109" s="249">
        <v>1944</v>
      </c>
      <c r="I109" s="249">
        <v>2006</v>
      </c>
      <c r="J109" s="249"/>
      <c r="K109" s="249"/>
      <c r="L109" s="249"/>
      <c r="M109" s="249"/>
      <c r="N109" s="249"/>
      <c r="O109" s="249"/>
      <c r="P109" s="249"/>
      <c r="Q109" s="249"/>
      <c r="R109" s="249"/>
      <c r="S109" s="249"/>
      <c r="T109" s="251"/>
      <c r="U109" s="250"/>
      <c r="V109" s="117">
        <f t="shared" si="0"/>
        <v>8</v>
      </c>
    </row>
    <row r="110" spans="1:38" x14ac:dyDescent="0.2">
      <c r="A110" s="114">
        <v>3</v>
      </c>
      <c r="B110" s="250">
        <v>1594.2</v>
      </c>
      <c r="C110" s="249">
        <v>1707</v>
      </c>
      <c r="D110" s="249">
        <v>1778</v>
      </c>
      <c r="E110" s="249">
        <v>1878</v>
      </c>
      <c r="F110" s="249">
        <v>1944</v>
      </c>
      <c r="G110" s="249">
        <v>2006</v>
      </c>
      <c r="H110" s="249">
        <v>2067</v>
      </c>
      <c r="I110" s="249">
        <v>2126</v>
      </c>
      <c r="J110" s="249">
        <v>2185</v>
      </c>
      <c r="K110" s="249"/>
      <c r="L110" s="249"/>
      <c r="M110" s="249"/>
      <c r="N110" s="249"/>
      <c r="O110" s="249"/>
      <c r="P110" s="249"/>
      <c r="Q110" s="249"/>
      <c r="R110" s="249"/>
      <c r="S110" s="249"/>
      <c r="T110" s="251"/>
      <c r="U110" s="250"/>
      <c r="V110" s="117">
        <f t="shared" si="0"/>
        <v>9</v>
      </c>
    </row>
    <row r="111" spans="1:38" x14ac:dyDescent="0.2">
      <c r="A111" s="114">
        <v>4</v>
      </c>
      <c r="B111" s="250">
        <v>1610</v>
      </c>
      <c r="C111" s="249">
        <v>1677</v>
      </c>
      <c r="D111" s="249">
        <v>1742</v>
      </c>
      <c r="E111" s="249">
        <v>1825</v>
      </c>
      <c r="F111" s="249">
        <v>1944</v>
      </c>
      <c r="G111" s="249">
        <v>2006</v>
      </c>
      <c r="H111" s="249">
        <v>2067</v>
      </c>
      <c r="I111" s="249">
        <v>2126</v>
      </c>
      <c r="J111" s="249">
        <v>2185</v>
      </c>
      <c r="K111" s="249">
        <v>2241</v>
      </c>
      <c r="L111" s="249">
        <v>2298</v>
      </c>
      <c r="M111" s="249"/>
      <c r="N111" s="249"/>
      <c r="O111" s="249"/>
      <c r="P111" s="249"/>
      <c r="Q111" s="249"/>
      <c r="R111" s="249"/>
      <c r="S111" s="249"/>
      <c r="T111" s="251"/>
      <c r="U111" s="250"/>
      <c r="V111" s="117">
        <f t="shared" si="0"/>
        <v>11</v>
      </c>
    </row>
    <row r="112" spans="1:38" x14ac:dyDescent="0.2">
      <c r="A112" s="114">
        <v>5</v>
      </c>
      <c r="B112" s="249">
        <v>1644</v>
      </c>
      <c r="C112" s="249">
        <v>1677</v>
      </c>
      <c r="D112" s="249">
        <v>1778</v>
      </c>
      <c r="E112" s="249">
        <v>1878</v>
      </c>
      <c r="F112" s="249">
        <v>2006</v>
      </c>
      <c r="G112" s="249">
        <v>2067</v>
      </c>
      <c r="H112" s="249">
        <v>2126</v>
      </c>
      <c r="I112" s="249">
        <v>2185</v>
      </c>
      <c r="J112" s="249">
        <v>2241</v>
      </c>
      <c r="K112" s="249">
        <v>2298</v>
      </c>
      <c r="L112" s="249">
        <v>2353</v>
      </c>
      <c r="M112" s="249">
        <v>2416</v>
      </c>
      <c r="N112" s="249"/>
      <c r="O112" s="249"/>
      <c r="P112" s="249"/>
      <c r="Q112" s="249"/>
      <c r="R112" s="249"/>
      <c r="S112" s="249"/>
      <c r="T112" s="251"/>
      <c r="U112" s="250"/>
      <c r="V112" s="117">
        <f t="shared" si="0"/>
        <v>12</v>
      </c>
    </row>
    <row r="113" spans="1:22" x14ac:dyDescent="0.2">
      <c r="A113" s="114">
        <v>6</v>
      </c>
      <c r="B113" s="249">
        <v>1707</v>
      </c>
      <c r="C113" s="249">
        <v>1778</v>
      </c>
      <c r="D113" s="249">
        <v>2006</v>
      </c>
      <c r="E113" s="249">
        <v>2126</v>
      </c>
      <c r="F113" s="249">
        <v>2185</v>
      </c>
      <c r="G113" s="249">
        <v>2241</v>
      </c>
      <c r="H113" s="249">
        <v>2298</v>
      </c>
      <c r="I113" s="249">
        <v>2353</v>
      </c>
      <c r="J113" s="249">
        <v>2416</v>
      </c>
      <c r="K113" s="249">
        <v>2475</v>
      </c>
      <c r="L113" s="249">
        <v>2531</v>
      </c>
      <c r="M113" s="249"/>
      <c r="N113" s="249"/>
      <c r="O113" s="249"/>
      <c r="P113" s="249"/>
      <c r="Q113" s="249"/>
      <c r="R113" s="249"/>
      <c r="S113" s="249"/>
      <c r="T113" s="251"/>
      <c r="U113" s="250"/>
      <c r="V113" s="117">
        <f t="shared" si="0"/>
        <v>11</v>
      </c>
    </row>
    <row r="114" spans="1:22" x14ac:dyDescent="0.2">
      <c r="A114" s="114">
        <v>7</v>
      </c>
      <c r="B114" s="249">
        <v>1825</v>
      </c>
      <c r="C114" s="249">
        <v>1878</v>
      </c>
      <c r="D114" s="249">
        <v>2006</v>
      </c>
      <c r="E114" s="249">
        <v>2241</v>
      </c>
      <c r="F114" s="249">
        <v>2353</v>
      </c>
      <c r="G114" s="249">
        <v>2416</v>
      </c>
      <c r="H114" s="249">
        <v>2475</v>
      </c>
      <c r="I114" s="249">
        <v>2531</v>
      </c>
      <c r="J114" s="249">
        <v>2590</v>
      </c>
      <c r="K114" s="249">
        <v>2653</v>
      </c>
      <c r="L114" s="249">
        <v>2719</v>
      </c>
      <c r="M114" s="249">
        <v>2791</v>
      </c>
      <c r="N114" s="249"/>
      <c r="O114" s="249"/>
      <c r="P114" s="249"/>
      <c r="Q114" s="249"/>
      <c r="R114" s="249"/>
      <c r="S114" s="249"/>
      <c r="T114" s="251"/>
      <c r="U114" s="250"/>
      <c r="V114" s="117">
        <f t="shared" si="0"/>
        <v>12</v>
      </c>
    </row>
    <row r="115" spans="1:22" x14ac:dyDescent="0.2">
      <c r="A115" s="114">
        <v>8</v>
      </c>
      <c r="B115" s="249">
        <v>2067</v>
      </c>
      <c r="C115" s="249">
        <v>2126</v>
      </c>
      <c r="D115" s="249">
        <v>2241</v>
      </c>
      <c r="E115" s="249">
        <v>2475</v>
      </c>
      <c r="F115" s="249">
        <v>2590</v>
      </c>
      <c r="G115" s="249">
        <v>2719</v>
      </c>
      <c r="H115" s="249">
        <v>2791</v>
      </c>
      <c r="I115" s="249">
        <v>2857</v>
      </c>
      <c r="J115" s="249">
        <v>2916</v>
      </c>
      <c r="K115" s="249">
        <v>2979</v>
      </c>
      <c r="L115" s="249">
        <v>3043</v>
      </c>
      <c r="M115" s="249">
        <v>3102</v>
      </c>
      <c r="N115" s="249">
        <v>3157</v>
      </c>
      <c r="O115" s="249"/>
      <c r="P115" s="249"/>
      <c r="Q115" s="249"/>
      <c r="R115" s="249"/>
      <c r="S115" s="249"/>
      <c r="T115" s="251"/>
      <c r="U115" s="250"/>
      <c r="V115" s="117">
        <f t="shared" si="0"/>
        <v>13</v>
      </c>
    </row>
    <row r="116" spans="1:22" x14ac:dyDescent="0.2">
      <c r="A116" s="114">
        <v>9</v>
      </c>
      <c r="B116" s="249">
        <v>2394</v>
      </c>
      <c r="C116" s="249">
        <v>2516</v>
      </c>
      <c r="D116" s="249">
        <v>2762</v>
      </c>
      <c r="E116" s="249">
        <v>2903</v>
      </c>
      <c r="F116" s="249">
        <v>3025</v>
      </c>
      <c r="G116" s="249">
        <v>3149</v>
      </c>
      <c r="H116" s="249">
        <v>3266</v>
      </c>
      <c r="I116" s="249">
        <v>3383</v>
      </c>
      <c r="J116" s="249">
        <v>3510</v>
      </c>
      <c r="K116" s="249">
        <v>3622</v>
      </c>
      <c r="L116" s="249"/>
      <c r="M116" s="249"/>
      <c r="N116" s="249"/>
      <c r="O116" s="249"/>
      <c r="P116" s="249"/>
      <c r="Q116" s="249"/>
      <c r="R116" s="249"/>
      <c r="S116" s="249"/>
      <c r="T116" s="251"/>
      <c r="U116" s="250"/>
      <c r="V116" s="117">
        <f t="shared" si="0"/>
        <v>10</v>
      </c>
    </row>
    <row r="117" spans="1:22" x14ac:dyDescent="0.2">
      <c r="A117" s="114">
        <v>10</v>
      </c>
      <c r="B117" s="249">
        <v>2377</v>
      </c>
      <c r="C117" s="249">
        <v>2616</v>
      </c>
      <c r="D117" s="249">
        <v>2745</v>
      </c>
      <c r="E117" s="249">
        <v>2886</v>
      </c>
      <c r="F117" s="249">
        <v>3008</v>
      </c>
      <c r="G117" s="249">
        <v>3232</v>
      </c>
      <c r="H117" s="249">
        <v>3249</v>
      </c>
      <c r="I117" s="249">
        <v>3365</v>
      </c>
      <c r="J117" s="249">
        <v>3493</v>
      </c>
      <c r="K117" s="249">
        <v>3604</v>
      </c>
      <c r="L117" s="249">
        <v>3721</v>
      </c>
      <c r="M117" s="249">
        <v>3833</v>
      </c>
      <c r="N117" s="249">
        <v>3961</v>
      </c>
      <c r="O117" s="249"/>
      <c r="P117" s="249"/>
      <c r="Q117" s="249"/>
      <c r="R117" s="249"/>
      <c r="S117" s="249"/>
      <c r="T117" s="251"/>
      <c r="U117" s="250"/>
      <c r="V117" s="117">
        <f t="shared" si="0"/>
        <v>13</v>
      </c>
    </row>
    <row r="118" spans="1:22" x14ac:dyDescent="0.2">
      <c r="A118" s="114">
        <v>11</v>
      </c>
      <c r="B118" s="249">
        <v>2499</v>
      </c>
      <c r="C118" s="249">
        <v>2616</v>
      </c>
      <c r="D118" s="249">
        <v>2745</v>
      </c>
      <c r="E118" s="249">
        <v>2886</v>
      </c>
      <c r="F118" s="249">
        <v>3008</v>
      </c>
      <c r="G118" s="249">
        <v>3132</v>
      </c>
      <c r="H118" s="249">
        <v>3249</v>
      </c>
      <c r="I118" s="249">
        <v>3493</v>
      </c>
      <c r="J118" s="249">
        <v>3604</v>
      </c>
      <c r="K118" s="249">
        <v>3721</v>
      </c>
      <c r="L118" s="249">
        <v>3833</v>
      </c>
      <c r="M118" s="249">
        <v>3961</v>
      </c>
      <c r="N118" s="249">
        <v>4086</v>
      </c>
      <c r="O118" s="249">
        <v>4209</v>
      </c>
      <c r="P118" s="249">
        <v>4326</v>
      </c>
      <c r="Q118" s="249">
        <v>4446</v>
      </c>
      <c r="R118" s="249">
        <v>4559</v>
      </c>
      <c r="S118" s="249">
        <v>4621</v>
      </c>
      <c r="T118" s="251"/>
      <c r="U118" s="250"/>
      <c r="V118" s="117">
        <f t="shared" si="0"/>
        <v>18</v>
      </c>
    </row>
    <row r="119" spans="1:22" x14ac:dyDescent="0.2">
      <c r="A119" s="114">
        <v>12</v>
      </c>
      <c r="B119" s="249">
        <v>3365</v>
      </c>
      <c r="C119" s="249">
        <v>3493</v>
      </c>
      <c r="D119" s="249">
        <v>3604</v>
      </c>
      <c r="E119" s="249">
        <v>3721</v>
      </c>
      <c r="F119" s="249">
        <v>3833</v>
      </c>
      <c r="G119" s="249">
        <v>3961</v>
      </c>
      <c r="H119" s="249">
        <v>4209</v>
      </c>
      <c r="I119" s="249">
        <v>4326</v>
      </c>
      <c r="J119" s="249">
        <v>4446</v>
      </c>
      <c r="K119" s="249">
        <v>4559</v>
      </c>
      <c r="L119" s="249">
        <v>4682</v>
      </c>
      <c r="M119" s="249">
        <v>4802</v>
      </c>
      <c r="N119" s="249">
        <v>4916</v>
      </c>
      <c r="O119" s="249">
        <v>5036</v>
      </c>
      <c r="P119" s="249">
        <v>5183</v>
      </c>
      <c r="Q119" s="249">
        <v>5258</v>
      </c>
      <c r="R119" s="249"/>
      <c r="S119" s="249"/>
      <c r="T119" s="251"/>
      <c r="U119" s="250"/>
      <c r="V119" s="117">
        <f t="shared" si="0"/>
        <v>16</v>
      </c>
    </row>
    <row r="120" spans="1:22" x14ac:dyDescent="0.2">
      <c r="A120" s="114">
        <v>13</v>
      </c>
      <c r="B120" s="249">
        <v>4086</v>
      </c>
      <c r="C120" s="249">
        <v>4209</v>
      </c>
      <c r="D120" s="249">
        <v>4326</v>
      </c>
      <c r="E120" s="249">
        <v>4446</v>
      </c>
      <c r="F120" s="249">
        <v>4559</v>
      </c>
      <c r="G120" s="249">
        <v>4802</v>
      </c>
      <c r="H120" s="249">
        <v>4916</v>
      </c>
      <c r="I120" s="249">
        <v>5036</v>
      </c>
      <c r="J120" s="249">
        <v>5183</v>
      </c>
      <c r="K120" s="249">
        <v>5332</v>
      </c>
      <c r="L120" s="249">
        <v>5481</v>
      </c>
      <c r="M120" s="249">
        <v>5629</v>
      </c>
      <c r="N120" s="249">
        <v>5702</v>
      </c>
      <c r="O120" s="249"/>
      <c r="P120" s="249"/>
      <c r="Q120" s="249"/>
      <c r="R120" s="249"/>
      <c r="S120" s="249"/>
      <c r="T120" s="251"/>
      <c r="U120" s="250"/>
      <c r="V120" s="117">
        <f t="shared" si="0"/>
        <v>13</v>
      </c>
    </row>
    <row r="121" spans="1:22" x14ac:dyDescent="0.2">
      <c r="A121" s="114">
        <v>14</v>
      </c>
      <c r="B121" s="249">
        <v>4682</v>
      </c>
      <c r="C121" s="249">
        <v>4802</v>
      </c>
      <c r="D121" s="249">
        <v>5036</v>
      </c>
      <c r="E121" s="249">
        <v>5183</v>
      </c>
      <c r="F121" s="249">
        <v>5332</v>
      </c>
      <c r="G121" s="249">
        <v>5481</v>
      </c>
      <c r="H121" s="249">
        <v>5629</v>
      </c>
      <c r="I121" s="249">
        <v>5779</v>
      </c>
      <c r="J121" s="249">
        <v>5938</v>
      </c>
      <c r="K121" s="249">
        <v>6097</v>
      </c>
      <c r="L121" s="249">
        <v>6264</v>
      </c>
      <c r="M121" s="249"/>
      <c r="N121" s="249"/>
      <c r="O121" s="249"/>
      <c r="P121" s="249"/>
      <c r="Q121" s="249"/>
      <c r="R121" s="249"/>
      <c r="S121" s="249"/>
      <c r="T121" s="251"/>
      <c r="U121" s="250"/>
      <c r="V121" s="117">
        <f t="shared" si="0"/>
        <v>11</v>
      </c>
    </row>
    <row r="122" spans="1:22" x14ac:dyDescent="0.2">
      <c r="A122" s="114">
        <v>15</v>
      </c>
      <c r="B122" s="249">
        <v>4916</v>
      </c>
      <c r="C122" s="249">
        <v>5036</v>
      </c>
      <c r="D122" s="249">
        <v>5183</v>
      </c>
      <c r="E122" s="249">
        <v>5481</v>
      </c>
      <c r="F122" s="249">
        <v>5629</v>
      </c>
      <c r="G122" s="249">
        <v>5779</v>
      </c>
      <c r="H122" s="249">
        <v>5938</v>
      </c>
      <c r="I122" s="249">
        <v>6097</v>
      </c>
      <c r="J122" s="249">
        <v>6264</v>
      </c>
      <c r="K122" s="249">
        <v>6463</v>
      </c>
      <c r="L122" s="249">
        <v>6671</v>
      </c>
      <c r="M122" s="249">
        <v>6883</v>
      </c>
      <c r="N122" s="249"/>
      <c r="O122" s="249"/>
      <c r="P122" s="249"/>
      <c r="Q122" s="249"/>
      <c r="R122" s="249"/>
      <c r="S122" s="249"/>
      <c r="T122" s="255"/>
      <c r="U122" s="256"/>
      <c r="V122" s="117">
        <f t="shared" si="0"/>
        <v>12</v>
      </c>
    </row>
    <row r="123" spans="1:22" x14ac:dyDescent="0.2">
      <c r="A123" s="114">
        <v>16</v>
      </c>
      <c r="B123" s="249">
        <v>5332</v>
      </c>
      <c r="C123" s="249">
        <v>5481</v>
      </c>
      <c r="D123" s="249">
        <v>5629</v>
      </c>
      <c r="E123" s="249">
        <v>5938</v>
      </c>
      <c r="F123" s="249">
        <v>6097</v>
      </c>
      <c r="G123" s="249">
        <v>6264</v>
      </c>
      <c r="H123" s="249">
        <v>6463</v>
      </c>
      <c r="I123" s="249">
        <v>6671</v>
      </c>
      <c r="J123" s="249">
        <v>6883</v>
      </c>
      <c r="K123" s="249">
        <v>7104</v>
      </c>
      <c r="L123" s="249">
        <v>7327</v>
      </c>
      <c r="M123" s="249">
        <v>7561</v>
      </c>
      <c r="N123" s="249"/>
      <c r="O123" s="249"/>
      <c r="P123" s="249"/>
      <c r="Q123" s="249"/>
      <c r="R123" s="249"/>
      <c r="S123" s="249"/>
      <c r="T123" s="255"/>
      <c r="U123" s="256"/>
      <c r="V123" s="117">
        <f t="shared" si="0"/>
        <v>12</v>
      </c>
    </row>
    <row r="125" spans="1:22" x14ac:dyDescent="0.2">
      <c r="A125" s="112" t="s">
        <v>0</v>
      </c>
      <c r="B125" s="430">
        <v>43466</v>
      </c>
      <c r="C125" s="430"/>
      <c r="D125" s="113"/>
      <c r="E125" s="114"/>
      <c r="F125" s="114"/>
      <c r="G125" s="114"/>
      <c r="H125" s="114"/>
      <c r="I125" s="114"/>
      <c r="J125" s="114"/>
      <c r="K125" s="114"/>
      <c r="L125" s="114"/>
      <c r="M125" s="114"/>
      <c r="N125" s="114"/>
      <c r="O125" s="114"/>
      <c r="P125" s="114"/>
      <c r="Q125" s="114"/>
      <c r="R125" s="114"/>
      <c r="S125" s="114"/>
      <c r="T125" s="114"/>
      <c r="U125" s="114"/>
      <c r="V125" s="114"/>
    </row>
    <row r="126" spans="1:22" x14ac:dyDescent="0.2">
      <c r="A126" s="113" t="s">
        <v>1</v>
      </c>
      <c r="B126" s="115">
        <v>1</v>
      </c>
      <c r="C126" s="115">
        <v>2</v>
      </c>
      <c r="D126" s="115">
        <v>3</v>
      </c>
      <c r="E126" s="115">
        <v>4</v>
      </c>
      <c r="F126" s="115">
        <v>5</v>
      </c>
      <c r="G126" s="115">
        <v>6</v>
      </c>
      <c r="H126" s="115">
        <v>7</v>
      </c>
      <c r="I126" s="115">
        <v>8</v>
      </c>
      <c r="J126" s="115">
        <v>9</v>
      </c>
      <c r="K126" s="115">
        <v>10</v>
      </c>
      <c r="L126" s="115">
        <v>11</v>
      </c>
      <c r="M126" s="115">
        <v>12</v>
      </c>
      <c r="N126" s="115">
        <v>13</v>
      </c>
      <c r="O126" s="115">
        <v>14</v>
      </c>
      <c r="P126" s="115">
        <v>15</v>
      </c>
      <c r="Q126" s="115">
        <v>16</v>
      </c>
      <c r="R126" s="115">
        <v>17</v>
      </c>
      <c r="S126" s="115">
        <v>18</v>
      </c>
      <c r="T126" s="115">
        <v>19</v>
      </c>
      <c r="U126" s="115">
        <v>20</v>
      </c>
      <c r="V126" s="115" t="s">
        <v>20</v>
      </c>
    </row>
    <row r="127" spans="1:22" x14ac:dyDescent="0.2">
      <c r="A127" s="116" t="s">
        <v>9</v>
      </c>
      <c r="B127" s="249">
        <v>2648</v>
      </c>
      <c r="C127" s="249">
        <v>2766</v>
      </c>
      <c r="D127" s="249">
        <v>2895</v>
      </c>
      <c r="E127" s="249">
        <v>3036</v>
      </c>
      <c r="F127" s="249">
        <v>3157</v>
      </c>
      <c r="G127" s="249">
        <v>3282</v>
      </c>
      <c r="H127" s="249">
        <v>3397</v>
      </c>
      <c r="I127" s="249">
        <v>3514</v>
      </c>
      <c r="J127" s="249">
        <v>3639</v>
      </c>
      <c r="K127" s="249">
        <v>3755</v>
      </c>
      <c r="L127" s="249">
        <v>3867</v>
      </c>
      <c r="M127" s="249">
        <v>3982</v>
      </c>
      <c r="N127" s="249">
        <v>4176</v>
      </c>
      <c r="O127" s="249"/>
      <c r="P127" s="249"/>
      <c r="Q127" s="249"/>
      <c r="R127" s="249"/>
      <c r="S127" s="249"/>
      <c r="T127" s="249"/>
      <c r="U127" s="249"/>
      <c r="V127" s="117">
        <f t="shared" ref="V127:V136" si="1">COUNTA(B127:U127)</f>
        <v>13</v>
      </c>
    </row>
    <row r="128" spans="1:22" x14ac:dyDescent="0.2">
      <c r="A128" s="116" t="s">
        <v>10</v>
      </c>
      <c r="B128" s="249">
        <v>2704</v>
      </c>
      <c r="C128" s="249">
        <v>2835</v>
      </c>
      <c r="D128" s="249">
        <v>2973</v>
      </c>
      <c r="E128" s="249">
        <v>3098</v>
      </c>
      <c r="F128" s="249">
        <v>3220</v>
      </c>
      <c r="G128" s="249">
        <v>3338</v>
      </c>
      <c r="H128" s="249">
        <v>3453</v>
      </c>
      <c r="I128" s="249">
        <v>3580</v>
      </c>
      <c r="J128" s="249">
        <v>3694</v>
      </c>
      <c r="K128" s="249">
        <v>3808</v>
      </c>
      <c r="L128" s="249">
        <v>3923</v>
      </c>
      <c r="M128" s="249">
        <v>4048</v>
      </c>
      <c r="N128" s="249">
        <v>4176</v>
      </c>
      <c r="O128" s="249">
        <v>4297</v>
      </c>
      <c r="P128" s="249">
        <v>4416</v>
      </c>
      <c r="Q128" s="249">
        <v>4533</v>
      </c>
      <c r="R128" s="249">
        <v>4649</v>
      </c>
      <c r="S128" s="249">
        <v>4709</v>
      </c>
      <c r="T128" s="249"/>
      <c r="U128" s="249"/>
      <c r="V128" s="117">
        <f t="shared" si="1"/>
        <v>18</v>
      </c>
    </row>
    <row r="129" spans="1:38" x14ac:dyDescent="0.2">
      <c r="A129" s="116" t="s">
        <v>11</v>
      </c>
      <c r="B129" s="249">
        <v>2835</v>
      </c>
      <c r="C129" s="249">
        <v>2973</v>
      </c>
      <c r="D129" s="249">
        <v>3220</v>
      </c>
      <c r="E129" s="249">
        <v>3453</v>
      </c>
      <c r="F129" s="249">
        <v>3580</v>
      </c>
      <c r="G129" s="249">
        <v>3694</v>
      </c>
      <c r="H129" s="249">
        <v>3808</v>
      </c>
      <c r="I129" s="249">
        <v>3923</v>
      </c>
      <c r="J129" s="249">
        <v>4048</v>
      </c>
      <c r="K129" s="249">
        <v>4176</v>
      </c>
      <c r="L129" s="249">
        <v>4297</v>
      </c>
      <c r="M129" s="249">
        <v>4416</v>
      </c>
      <c r="N129" s="249">
        <v>4533</v>
      </c>
      <c r="O129" s="249">
        <v>4649</v>
      </c>
      <c r="P129" s="249">
        <v>4770</v>
      </c>
      <c r="Q129" s="249">
        <v>4890</v>
      </c>
      <c r="R129" s="249">
        <v>5003</v>
      </c>
      <c r="S129" s="249">
        <v>5123</v>
      </c>
      <c r="T129" s="249">
        <v>5272</v>
      </c>
      <c r="U129" s="249">
        <v>5345</v>
      </c>
      <c r="V129" s="117">
        <f t="shared" si="1"/>
        <v>20</v>
      </c>
    </row>
    <row r="130" spans="1:38" x14ac:dyDescent="0.2">
      <c r="A130" s="116" t="s">
        <v>12</v>
      </c>
      <c r="B130" s="249">
        <v>2973</v>
      </c>
      <c r="C130" s="249">
        <v>3220</v>
      </c>
      <c r="D130" s="249">
        <v>3453</v>
      </c>
      <c r="E130" s="249">
        <v>3694</v>
      </c>
      <c r="F130" s="249">
        <v>3923</v>
      </c>
      <c r="G130" s="249">
        <v>4176</v>
      </c>
      <c r="H130" s="249">
        <v>4297</v>
      </c>
      <c r="I130" s="249">
        <v>4416</v>
      </c>
      <c r="J130" s="249">
        <v>4533</v>
      </c>
      <c r="K130" s="249">
        <v>4649</v>
      </c>
      <c r="L130" s="249">
        <v>4770</v>
      </c>
      <c r="M130" s="249">
        <v>4890</v>
      </c>
      <c r="N130" s="249">
        <v>5003</v>
      </c>
      <c r="O130" s="249">
        <v>5123</v>
      </c>
      <c r="P130" s="249">
        <v>5272</v>
      </c>
      <c r="Q130" s="249">
        <v>5420</v>
      </c>
      <c r="R130" s="249">
        <v>5569</v>
      </c>
      <c r="S130" s="249">
        <v>5718</v>
      </c>
      <c r="T130" s="249">
        <v>5789</v>
      </c>
      <c r="U130" s="249"/>
      <c r="V130" s="117">
        <f t="shared" si="1"/>
        <v>19</v>
      </c>
    </row>
    <row r="131" spans="1:38" x14ac:dyDescent="0.2">
      <c r="A131" s="116" t="s">
        <v>2</v>
      </c>
      <c r="B131" s="249">
        <v>2888</v>
      </c>
      <c r="C131" s="249">
        <v>2999</v>
      </c>
      <c r="D131" s="249">
        <v>3113</v>
      </c>
      <c r="E131" s="249">
        <v>3223</v>
      </c>
      <c r="F131" s="249">
        <v>3334</v>
      </c>
      <c r="G131" s="249">
        <v>3447</v>
      </c>
      <c r="H131" s="249">
        <v>3559</v>
      </c>
      <c r="I131" s="249">
        <v>3671</v>
      </c>
      <c r="J131" s="249">
        <v>3781</v>
      </c>
      <c r="K131" s="249">
        <v>3893</v>
      </c>
      <c r="L131" s="249">
        <v>4007</v>
      </c>
      <c r="M131" s="249">
        <v>4118</v>
      </c>
      <c r="N131" s="249">
        <v>4231</v>
      </c>
      <c r="O131" s="249"/>
      <c r="P131" s="249"/>
      <c r="Q131" s="249"/>
      <c r="R131" s="249"/>
      <c r="S131" s="249"/>
      <c r="T131" s="250"/>
      <c r="U131" s="250"/>
      <c r="V131" s="117">
        <f t="shared" si="1"/>
        <v>13</v>
      </c>
    </row>
    <row r="132" spans="1:38" x14ac:dyDescent="0.2">
      <c r="A132" s="116" t="s">
        <v>3</v>
      </c>
      <c r="B132" s="249">
        <v>2999</v>
      </c>
      <c r="C132" s="249">
        <v>3223</v>
      </c>
      <c r="D132" s="249">
        <v>3447</v>
      </c>
      <c r="E132" s="249">
        <v>3559</v>
      </c>
      <c r="F132" s="249">
        <v>3671</v>
      </c>
      <c r="G132" s="249">
        <v>3781</v>
      </c>
      <c r="H132" s="249">
        <v>3893</v>
      </c>
      <c r="I132" s="249">
        <v>4007</v>
      </c>
      <c r="J132" s="249">
        <v>4118</v>
      </c>
      <c r="K132" s="249">
        <v>4231</v>
      </c>
      <c r="L132" s="249">
        <v>4344</v>
      </c>
      <c r="M132" s="249">
        <v>4454</v>
      </c>
      <c r="N132" s="249">
        <v>4566</v>
      </c>
      <c r="O132" s="249">
        <v>4676</v>
      </c>
      <c r="P132" s="249">
        <v>4791</v>
      </c>
      <c r="Q132" s="249"/>
      <c r="R132" s="249"/>
      <c r="S132" s="249"/>
      <c r="T132" s="250"/>
      <c r="U132" s="250"/>
      <c r="V132" s="117">
        <f t="shared" si="1"/>
        <v>15</v>
      </c>
    </row>
    <row r="133" spans="1:38" x14ac:dyDescent="0.2">
      <c r="A133" s="116" t="s">
        <v>4</v>
      </c>
      <c r="B133" s="249">
        <v>2999</v>
      </c>
      <c r="C133" s="249">
        <v>3223</v>
      </c>
      <c r="D133" s="249">
        <v>3447</v>
      </c>
      <c r="E133" s="249">
        <v>3559</v>
      </c>
      <c r="F133" s="249">
        <v>3671</v>
      </c>
      <c r="G133" s="249">
        <v>3781</v>
      </c>
      <c r="H133" s="249">
        <v>3893</v>
      </c>
      <c r="I133" s="249">
        <v>4007</v>
      </c>
      <c r="J133" s="249">
        <v>4118</v>
      </c>
      <c r="K133" s="249">
        <v>4231</v>
      </c>
      <c r="L133" s="249">
        <v>4344</v>
      </c>
      <c r="M133" s="249">
        <v>4454</v>
      </c>
      <c r="N133" s="249">
        <v>4566</v>
      </c>
      <c r="O133" s="249">
        <v>4676</v>
      </c>
      <c r="P133" s="249">
        <v>4791</v>
      </c>
      <c r="Q133" s="249">
        <v>4902</v>
      </c>
      <c r="R133" s="249">
        <v>5014</v>
      </c>
      <c r="S133" s="249"/>
      <c r="T133" s="250"/>
      <c r="U133" s="250"/>
      <c r="V133" s="117">
        <f t="shared" si="1"/>
        <v>17</v>
      </c>
    </row>
    <row r="134" spans="1:38" x14ac:dyDescent="0.2">
      <c r="A134" s="116" t="s">
        <v>5</v>
      </c>
      <c r="B134" s="249">
        <v>3113</v>
      </c>
      <c r="C134" s="249">
        <v>3447</v>
      </c>
      <c r="D134" s="249">
        <v>3671</v>
      </c>
      <c r="E134" s="249">
        <v>3893</v>
      </c>
      <c r="F134" s="249">
        <v>4118</v>
      </c>
      <c r="G134" s="249">
        <v>4231</v>
      </c>
      <c r="H134" s="249">
        <v>4344</v>
      </c>
      <c r="I134" s="249">
        <v>4454</v>
      </c>
      <c r="J134" s="249">
        <v>4566</v>
      </c>
      <c r="K134" s="249">
        <v>4676</v>
      </c>
      <c r="L134" s="249">
        <v>4791</v>
      </c>
      <c r="M134" s="249">
        <v>4902</v>
      </c>
      <c r="N134" s="249">
        <v>5014</v>
      </c>
      <c r="O134" s="249">
        <v>5124</v>
      </c>
      <c r="P134" s="249">
        <v>5236</v>
      </c>
      <c r="Q134" s="249">
        <v>5350</v>
      </c>
      <c r="R134" s="249"/>
      <c r="S134" s="249"/>
      <c r="T134" s="250"/>
      <c r="U134" s="250"/>
      <c r="V134" s="117">
        <f t="shared" si="1"/>
        <v>16</v>
      </c>
    </row>
    <row r="135" spans="1:38" x14ac:dyDescent="0.2">
      <c r="A135" s="116" t="s">
        <v>6</v>
      </c>
      <c r="B135" s="249">
        <v>3113</v>
      </c>
      <c r="C135" s="249">
        <v>3447</v>
      </c>
      <c r="D135" s="249">
        <v>3671</v>
      </c>
      <c r="E135" s="249">
        <v>3893</v>
      </c>
      <c r="F135" s="249">
        <v>4118</v>
      </c>
      <c r="G135" s="249">
        <v>4231</v>
      </c>
      <c r="H135" s="249">
        <v>4344</v>
      </c>
      <c r="I135" s="249">
        <v>4454</v>
      </c>
      <c r="J135" s="249">
        <v>4566</v>
      </c>
      <c r="K135" s="249">
        <v>4676</v>
      </c>
      <c r="L135" s="249">
        <v>4791</v>
      </c>
      <c r="M135" s="249">
        <v>4902</v>
      </c>
      <c r="N135" s="249">
        <v>5014</v>
      </c>
      <c r="O135" s="249">
        <v>5124</v>
      </c>
      <c r="P135" s="249">
        <v>5236</v>
      </c>
      <c r="Q135" s="249">
        <v>5350</v>
      </c>
      <c r="R135" s="249">
        <v>5461</v>
      </c>
      <c r="S135" s="249">
        <v>5572</v>
      </c>
      <c r="T135" s="250"/>
      <c r="U135" s="250"/>
      <c r="V135" s="117">
        <f t="shared" si="1"/>
        <v>18</v>
      </c>
    </row>
    <row r="136" spans="1:38" x14ac:dyDescent="0.2">
      <c r="A136" s="116" t="s">
        <v>7</v>
      </c>
      <c r="B136" s="249">
        <v>3160</v>
      </c>
      <c r="C136" s="249">
        <v>3392</v>
      </c>
      <c r="D136" s="249">
        <v>3630</v>
      </c>
      <c r="E136" s="249">
        <v>3857</v>
      </c>
      <c r="F136" s="249">
        <v>4109</v>
      </c>
      <c r="G136" s="249">
        <v>4231</v>
      </c>
      <c r="H136" s="249">
        <v>4348</v>
      </c>
      <c r="I136" s="249">
        <v>4467</v>
      </c>
      <c r="J136" s="249">
        <v>4580</v>
      </c>
      <c r="K136" s="249">
        <v>4702</v>
      </c>
      <c r="L136" s="249">
        <v>4820</v>
      </c>
      <c r="M136" s="249">
        <v>4934</v>
      </c>
      <c r="N136" s="249">
        <v>5052</v>
      </c>
      <c r="O136" s="249">
        <v>5200</v>
      </c>
      <c r="P136" s="249">
        <v>5349</v>
      </c>
      <c r="Q136" s="249">
        <v>5496</v>
      </c>
      <c r="R136" s="249">
        <v>5644</v>
      </c>
      <c r="S136" s="249">
        <v>5715</v>
      </c>
      <c r="T136" s="250"/>
      <c r="U136" s="250"/>
      <c r="V136" s="117">
        <f t="shared" si="1"/>
        <v>18</v>
      </c>
    </row>
    <row r="137" spans="1:38" x14ac:dyDescent="0.2">
      <c r="A137" s="116" t="s">
        <v>8</v>
      </c>
      <c r="B137" s="249">
        <v>3276</v>
      </c>
      <c r="C137" s="249">
        <v>3517</v>
      </c>
      <c r="D137" s="249">
        <v>3744</v>
      </c>
      <c r="E137" s="249">
        <v>3983</v>
      </c>
      <c r="F137" s="249">
        <v>4231</v>
      </c>
      <c r="G137" s="249">
        <v>4467</v>
      </c>
      <c r="H137" s="249">
        <v>4702</v>
      </c>
      <c r="I137" s="249">
        <v>4820</v>
      </c>
      <c r="J137" s="249">
        <v>4934</v>
      </c>
      <c r="K137" s="249">
        <v>5052</v>
      </c>
      <c r="L137" s="249">
        <v>5200</v>
      </c>
      <c r="M137" s="249">
        <v>5349</v>
      </c>
      <c r="N137" s="249">
        <v>5496</v>
      </c>
      <c r="O137" s="249">
        <v>5644</v>
      </c>
      <c r="P137" s="249">
        <v>5794</v>
      </c>
      <c r="Q137" s="249">
        <v>5951</v>
      </c>
      <c r="R137" s="249">
        <v>6111</v>
      </c>
      <c r="S137" s="249">
        <v>6276</v>
      </c>
      <c r="T137" s="250"/>
      <c r="U137" s="250"/>
      <c r="V137" s="117">
        <f>COUNTA(B137:U137)</f>
        <v>18</v>
      </c>
    </row>
    <row r="138" spans="1:38" x14ac:dyDescent="0.2">
      <c r="A138" s="118" t="s">
        <v>52</v>
      </c>
      <c r="B138" s="250">
        <v>1635.6</v>
      </c>
      <c r="C138" s="250">
        <v>1635.6</v>
      </c>
      <c r="D138" s="250">
        <v>1677</v>
      </c>
      <c r="E138" s="250">
        <v>1707</v>
      </c>
      <c r="F138" s="250">
        <v>1742</v>
      </c>
      <c r="G138" s="250">
        <v>1778</v>
      </c>
      <c r="H138" s="250">
        <v>1825</v>
      </c>
      <c r="I138" s="250"/>
      <c r="J138" s="251"/>
      <c r="K138" s="251"/>
      <c r="L138" s="251"/>
      <c r="M138" s="251"/>
      <c r="N138" s="251"/>
      <c r="O138" s="251"/>
      <c r="P138" s="251"/>
      <c r="Q138" s="251"/>
      <c r="R138" s="251"/>
      <c r="S138" s="251"/>
      <c r="T138" s="251"/>
      <c r="U138" s="250"/>
      <c r="V138" s="117">
        <f t="shared" ref="V138:V168" si="2">COUNTA(B138:U138)</f>
        <v>7</v>
      </c>
    </row>
    <row r="139" spans="1:38" x14ac:dyDescent="0.2">
      <c r="A139" s="114" t="s">
        <v>53</v>
      </c>
      <c r="B139" s="250">
        <v>1635.6</v>
      </c>
      <c r="C139" s="250">
        <v>1644</v>
      </c>
      <c r="D139" s="250">
        <v>1707</v>
      </c>
      <c r="E139" s="250">
        <v>1778</v>
      </c>
      <c r="F139" s="250">
        <v>1825</v>
      </c>
      <c r="G139" s="250">
        <v>1878</v>
      </c>
      <c r="H139" s="250">
        <v>1944</v>
      </c>
      <c r="I139" s="250">
        <v>2006</v>
      </c>
      <c r="J139" s="251"/>
      <c r="K139" s="251"/>
      <c r="L139" s="251"/>
      <c r="M139" s="251"/>
      <c r="N139" s="251"/>
      <c r="O139" s="251"/>
      <c r="P139" s="251"/>
      <c r="Q139" s="251"/>
      <c r="R139" s="251"/>
      <c r="S139" s="251"/>
      <c r="T139" s="251"/>
      <c r="U139" s="250"/>
      <c r="V139" s="117">
        <f t="shared" si="2"/>
        <v>8</v>
      </c>
    </row>
    <row r="140" spans="1:38" x14ac:dyDescent="0.2">
      <c r="A140" s="114" t="s">
        <v>54</v>
      </c>
      <c r="B140" s="250">
        <v>1635.6</v>
      </c>
      <c r="C140" s="250">
        <v>1707</v>
      </c>
      <c r="D140" s="250">
        <v>1778</v>
      </c>
      <c r="E140" s="250">
        <v>1878</v>
      </c>
      <c r="F140" s="250">
        <v>1944</v>
      </c>
      <c r="G140" s="250">
        <v>2006</v>
      </c>
      <c r="H140" s="250">
        <v>2067</v>
      </c>
      <c r="I140" s="250"/>
      <c r="J140" s="251"/>
      <c r="K140" s="251"/>
      <c r="L140" s="251"/>
      <c r="M140" s="251"/>
      <c r="N140" s="251"/>
      <c r="O140" s="251"/>
      <c r="P140" s="251"/>
      <c r="Q140" s="251"/>
      <c r="R140" s="251"/>
      <c r="S140" s="251"/>
      <c r="T140" s="251"/>
      <c r="U140" s="250"/>
      <c r="V140" s="117">
        <f t="shared" si="2"/>
        <v>7</v>
      </c>
    </row>
    <row r="141" spans="1:38" x14ac:dyDescent="0.2">
      <c r="A141" s="116" t="s">
        <v>174</v>
      </c>
      <c r="B141" s="249">
        <v>2563</v>
      </c>
      <c r="C141" s="249">
        <v>2640</v>
      </c>
      <c r="D141" s="249">
        <v>2719</v>
      </c>
      <c r="E141" s="249">
        <v>2802</v>
      </c>
      <c r="F141" s="249">
        <v>2886</v>
      </c>
      <c r="G141" s="249">
        <v>2974</v>
      </c>
      <c r="H141" s="249">
        <v>3064</v>
      </c>
      <c r="I141" s="249">
        <v>3156</v>
      </c>
      <c r="J141" s="249">
        <v>3251</v>
      </c>
      <c r="K141" s="249">
        <v>3350</v>
      </c>
      <c r="L141" s="249">
        <v>3451</v>
      </c>
      <c r="M141" s="249">
        <v>3555</v>
      </c>
      <c r="N141" s="249">
        <v>3662</v>
      </c>
      <c r="O141" s="249">
        <v>3773</v>
      </c>
      <c r="P141" s="249">
        <v>3910</v>
      </c>
      <c r="Q141" s="251"/>
      <c r="R141" s="251"/>
      <c r="S141" s="251"/>
      <c r="T141" s="251"/>
      <c r="U141" s="250"/>
      <c r="V141" s="117">
        <f t="shared" si="2"/>
        <v>15</v>
      </c>
      <c r="X141" s="252">
        <f t="shared" ref="X141:AL144" si="3">B141-B96</f>
        <v>0</v>
      </c>
      <c r="Y141" s="252">
        <f t="shared" si="3"/>
        <v>2</v>
      </c>
      <c r="Z141" s="252">
        <f t="shared" si="3"/>
        <v>4</v>
      </c>
      <c r="AA141" s="252">
        <f t="shared" si="3"/>
        <v>7</v>
      </c>
      <c r="AB141" s="252">
        <f t="shared" si="3"/>
        <v>9</v>
      </c>
      <c r="AC141" s="252">
        <f t="shared" si="3"/>
        <v>12</v>
      </c>
      <c r="AD141" s="252">
        <f t="shared" si="3"/>
        <v>15</v>
      </c>
      <c r="AE141" s="252">
        <f t="shared" si="3"/>
        <v>17</v>
      </c>
      <c r="AF141" s="252">
        <f t="shared" si="3"/>
        <v>20</v>
      </c>
      <c r="AG141" s="252">
        <f t="shared" si="3"/>
        <v>24</v>
      </c>
      <c r="AH141" s="252">
        <f t="shared" si="3"/>
        <v>27</v>
      </c>
      <c r="AI141" s="252">
        <f t="shared" si="3"/>
        <v>31</v>
      </c>
      <c r="AJ141" s="252">
        <f t="shared" si="3"/>
        <v>33</v>
      </c>
      <c r="AK141" s="252">
        <f t="shared" si="3"/>
        <v>38</v>
      </c>
      <c r="AL141" s="252">
        <f t="shared" si="3"/>
        <v>35</v>
      </c>
    </row>
    <row r="142" spans="1:38" x14ac:dyDescent="0.2">
      <c r="A142" s="116" t="s">
        <v>175</v>
      </c>
      <c r="B142" s="249">
        <v>2639</v>
      </c>
      <c r="C142" s="249">
        <v>2729</v>
      </c>
      <c r="D142" s="249">
        <v>2821</v>
      </c>
      <c r="E142" s="249">
        <v>2916</v>
      </c>
      <c r="F142" s="249">
        <v>3015</v>
      </c>
      <c r="G142" s="249">
        <v>3117</v>
      </c>
      <c r="H142" s="249">
        <v>3222</v>
      </c>
      <c r="I142" s="249">
        <v>3331</v>
      </c>
      <c r="J142" s="249">
        <v>3443</v>
      </c>
      <c r="K142" s="249">
        <v>3560</v>
      </c>
      <c r="L142" s="249">
        <v>3680</v>
      </c>
      <c r="M142" s="249">
        <v>3805</v>
      </c>
      <c r="N142" s="249">
        <v>3933</v>
      </c>
      <c r="O142" s="249">
        <v>4066</v>
      </c>
      <c r="P142" s="249">
        <v>4228</v>
      </c>
      <c r="Q142" s="251"/>
      <c r="R142" s="251"/>
      <c r="S142" s="251"/>
      <c r="T142" s="251"/>
      <c r="U142" s="250"/>
      <c r="V142" s="117">
        <f t="shared" si="2"/>
        <v>15</v>
      </c>
      <c r="X142" s="252">
        <f t="shared" si="3"/>
        <v>0</v>
      </c>
      <c r="Y142" s="252">
        <f t="shared" si="3"/>
        <v>0</v>
      </c>
      <c r="Z142" s="252">
        <f t="shared" si="3"/>
        <v>0</v>
      </c>
      <c r="AA142" s="252">
        <f t="shared" si="3"/>
        <v>0</v>
      </c>
      <c r="AB142" s="252">
        <f t="shared" si="3"/>
        <v>0</v>
      </c>
      <c r="AC142" s="252">
        <f t="shared" si="3"/>
        <v>0</v>
      </c>
      <c r="AD142" s="252">
        <f t="shared" si="3"/>
        <v>0</v>
      </c>
      <c r="AE142" s="252">
        <f t="shared" si="3"/>
        <v>0</v>
      </c>
      <c r="AF142" s="252">
        <f t="shared" si="3"/>
        <v>0</v>
      </c>
      <c r="AG142" s="252">
        <f t="shared" si="3"/>
        <v>0</v>
      </c>
      <c r="AH142" s="252">
        <f t="shared" si="3"/>
        <v>0</v>
      </c>
      <c r="AI142" s="252">
        <f t="shared" si="3"/>
        <v>0</v>
      </c>
      <c r="AJ142" s="252">
        <f t="shared" si="3"/>
        <v>0</v>
      </c>
      <c r="AK142" s="252">
        <f t="shared" si="3"/>
        <v>0</v>
      </c>
      <c r="AL142" s="252">
        <f t="shared" si="3"/>
        <v>0</v>
      </c>
    </row>
    <row r="143" spans="1:38" x14ac:dyDescent="0.2">
      <c r="A143" s="116" t="s">
        <v>176</v>
      </c>
      <c r="B143" s="249">
        <v>2691</v>
      </c>
      <c r="C143" s="249">
        <v>2806</v>
      </c>
      <c r="D143" s="249">
        <v>2927</v>
      </c>
      <c r="E143" s="249">
        <v>3052</v>
      </c>
      <c r="F143" s="249">
        <v>3184</v>
      </c>
      <c r="G143" s="249">
        <v>3321</v>
      </c>
      <c r="H143" s="249">
        <v>3463</v>
      </c>
      <c r="I143" s="249">
        <v>3613</v>
      </c>
      <c r="J143" s="249">
        <v>3768</v>
      </c>
      <c r="K143" s="249">
        <v>3930</v>
      </c>
      <c r="L143" s="249">
        <v>4099</v>
      </c>
      <c r="M143" s="249">
        <v>4275</v>
      </c>
      <c r="N143" s="249">
        <v>4460</v>
      </c>
      <c r="O143" s="249">
        <v>4651</v>
      </c>
      <c r="P143" s="249">
        <v>4851</v>
      </c>
      <c r="Q143" s="251"/>
      <c r="R143" s="251"/>
      <c r="S143" s="251"/>
      <c r="T143" s="251"/>
      <c r="U143" s="250"/>
      <c r="V143" s="117">
        <f t="shared" si="2"/>
        <v>15</v>
      </c>
      <c r="X143" s="252">
        <f t="shared" si="3"/>
        <v>0</v>
      </c>
      <c r="Y143" s="252">
        <f t="shared" si="3"/>
        <v>0</v>
      </c>
      <c r="Z143" s="252">
        <f t="shared" si="3"/>
        <v>0</v>
      </c>
      <c r="AA143" s="252">
        <f t="shared" si="3"/>
        <v>0</v>
      </c>
      <c r="AB143" s="252">
        <f t="shared" si="3"/>
        <v>0</v>
      </c>
      <c r="AC143" s="252">
        <f t="shared" si="3"/>
        <v>0</v>
      </c>
      <c r="AD143" s="252">
        <f t="shared" si="3"/>
        <v>0</v>
      </c>
      <c r="AE143" s="252">
        <f t="shared" si="3"/>
        <v>0</v>
      </c>
      <c r="AF143" s="252">
        <f t="shared" si="3"/>
        <v>0</v>
      </c>
      <c r="AG143" s="252">
        <f t="shared" si="3"/>
        <v>0</v>
      </c>
      <c r="AH143" s="252">
        <f t="shared" si="3"/>
        <v>0</v>
      </c>
      <c r="AI143" s="252">
        <f t="shared" si="3"/>
        <v>0</v>
      </c>
      <c r="AJ143" s="252">
        <f t="shared" si="3"/>
        <v>0</v>
      </c>
      <c r="AK143" s="252">
        <f t="shared" si="3"/>
        <v>0</v>
      </c>
      <c r="AL143" s="252">
        <f t="shared" si="3"/>
        <v>0</v>
      </c>
    </row>
    <row r="144" spans="1:38" x14ac:dyDescent="0.2">
      <c r="A144" s="116" t="s">
        <v>177</v>
      </c>
      <c r="B144" s="249">
        <v>2691</v>
      </c>
      <c r="C144" s="249">
        <v>2806</v>
      </c>
      <c r="D144" s="249">
        <v>2961</v>
      </c>
      <c r="E144" s="249">
        <v>3124</v>
      </c>
      <c r="F144" s="249">
        <v>3288</v>
      </c>
      <c r="G144" s="249">
        <v>3459</v>
      </c>
      <c r="H144" s="249">
        <v>3637</v>
      </c>
      <c r="I144" s="249">
        <v>3817</v>
      </c>
      <c r="J144" s="249">
        <v>4007</v>
      </c>
      <c r="K144" s="249">
        <v>4204</v>
      </c>
      <c r="L144" s="249">
        <v>4406</v>
      </c>
      <c r="M144" s="249">
        <v>4616</v>
      </c>
      <c r="N144" s="249">
        <v>4833</v>
      </c>
      <c r="O144" s="249">
        <v>5055</v>
      </c>
      <c r="P144" s="249">
        <v>5294</v>
      </c>
      <c r="Q144" s="251"/>
      <c r="R144" s="251"/>
      <c r="S144" s="251"/>
      <c r="T144" s="251"/>
      <c r="U144" s="250"/>
      <c r="V144" s="117">
        <f t="shared" si="2"/>
        <v>15</v>
      </c>
      <c r="X144" s="252">
        <f t="shared" si="3"/>
        <v>0</v>
      </c>
      <c r="Y144" s="252">
        <f t="shared" si="3"/>
        <v>0</v>
      </c>
      <c r="Z144" s="252">
        <f t="shared" si="3"/>
        <v>0</v>
      </c>
      <c r="AA144" s="252">
        <f t="shared" si="3"/>
        <v>0</v>
      </c>
      <c r="AB144" s="252">
        <f t="shared" si="3"/>
        <v>0</v>
      </c>
      <c r="AC144" s="252">
        <f t="shared" si="3"/>
        <v>0</v>
      </c>
      <c r="AD144" s="252">
        <f t="shared" si="3"/>
        <v>0</v>
      </c>
      <c r="AE144" s="252">
        <f t="shared" si="3"/>
        <v>0</v>
      </c>
      <c r="AF144" s="252">
        <f t="shared" si="3"/>
        <v>0</v>
      </c>
      <c r="AG144" s="252">
        <f t="shared" si="3"/>
        <v>0</v>
      </c>
      <c r="AH144" s="252">
        <f t="shared" si="3"/>
        <v>0</v>
      </c>
      <c r="AI144" s="252">
        <f t="shared" si="3"/>
        <v>0</v>
      </c>
      <c r="AJ144" s="252">
        <f t="shared" si="3"/>
        <v>0</v>
      </c>
      <c r="AK144" s="252">
        <f t="shared" si="3"/>
        <v>0</v>
      </c>
      <c r="AL144" s="252">
        <f t="shared" si="3"/>
        <v>0</v>
      </c>
    </row>
    <row r="145" spans="1:22" x14ac:dyDescent="0.2">
      <c r="A145" s="116" t="s">
        <v>178</v>
      </c>
      <c r="B145" s="249">
        <v>3392</v>
      </c>
      <c r="C145" s="249">
        <v>3519</v>
      </c>
      <c r="D145" s="249">
        <v>3633</v>
      </c>
      <c r="E145" s="249">
        <v>3861</v>
      </c>
      <c r="F145" s="249">
        <v>4114</v>
      </c>
      <c r="G145" s="249">
        <v>4273</v>
      </c>
      <c r="H145" s="249">
        <v>4435</v>
      </c>
      <c r="I145" s="249">
        <v>4596</v>
      </c>
      <c r="J145" s="249">
        <v>4758</v>
      </c>
      <c r="K145" s="249">
        <v>4918</v>
      </c>
      <c r="L145" s="249">
        <v>5081</v>
      </c>
      <c r="M145" s="249">
        <v>5243</v>
      </c>
      <c r="N145" s="249">
        <v>5405</v>
      </c>
      <c r="O145" s="249">
        <v>5566</v>
      </c>
      <c r="P145" s="249">
        <v>5732</v>
      </c>
      <c r="Q145" s="251"/>
      <c r="R145" s="251"/>
      <c r="S145" s="251"/>
      <c r="T145" s="251"/>
      <c r="U145" s="250"/>
      <c r="V145" s="117">
        <f t="shared" si="2"/>
        <v>15</v>
      </c>
    </row>
    <row r="146" spans="1:22" x14ac:dyDescent="0.2">
      <c r="A146" s="114" t="s">
        <v>13</v>
      </c>
      <c r="B146" s="250">
        <v>1218</v>
      </c>
      <c r="C146" s="253"/>
      <c r="D146" s="253"/>
      <c r="E146" s="253"/>
      <c r="F146" s="253"/>
      <c r="G146" s="253"/>
      <c r="H146" s="253"/>
      <c r="I146" s="253"/>
      <c r="J146" s="253"/>
      <c r="K146" s="253"/>
      <c r="L146" s="253"/>
      <c r="M146" s="253"/>
      <c r="N146" s="253"/>
      <c r="O146" s="253"/>
      <c r="P146" s="253"/>
      <c r="Q146" s="251"/>
      <c r="R146" s="254"/>
      <c r="S146" s="254"/>
      <c r="T146" s="254"/>
      <c r="U146" s="253"/>
      <c r="V146" s="117">
        <f t="shared" si="2"/>
        <v>1</v>
      </c>
    </row>
    <row r="147" spans="1:22" x14ac:dyDescent="0.2">
      <c r="A147" s="114" t="s">
        <v>14</v>
      </c>
      <c r="B147" s="250">
        <v>1262.5</v>
      </c>
      <c r="C147" s="253"/>
      <c r="D147" s="253"/>
      <c r="E147" s="253"/>
      <c r="F147" s="253"/>
      <c r="G147" s="253"/>
      <c r="H147" s="253"/>
      <c r="I147" s="253"/>
      <c r="J147" s="253"/>
      <c r="K147" s="253"/>
      <c r="L147" s="253"/>
      <c r="M147" s="253"/>
      <c r="N147" s="253"/>
      <c r="O147" s="253"/>
      <c r="P147" s="253"/>
      <c r="Q147" s="251"/>
      <c r="R147" s="254"/>
      <c r="S147" s="254"/>
      <c r="T147" s="254"/>
      <c r="U147" s="253"/>
      <c r="V147" s="117">
        <f t="shared" si="2"/>
        <v>1</v>
      </c>
    </row>
    <row r="148" spans="1:22" x14ac:dyDescent="0.2">
      <c r="A148" s="114" t="s">
        <v>51</v>
      </c>
      <c r="B148" s="249">
        <v>2888</v>
      </c>
      <c r="C148" s="249">
        <v>2999</v>
      </c>
      <c r="D148" s="249">
        <v>3113</v>
      </c>
      <c r="E148" s="249">
        <v>3223</v>
      </c>
      <c r="F148" s="249">
        <v>3334</v>
      </c>
      <c r="G148" s="249">
        <v>3447</v>
      </c>
      <c r="H148" s="249">
        <v>3559</v>
      </c>
      <c r="I148" s="249">
        <v>3671</v>
      </c>
      <c r="J148" s="249">
        <v>3781</v>
      </c>
      <c r="K148" s="249">
        <v>3893</v>
      </c>
      <c r="L148" s="249">
        <v>4007</v>
      </c>
      <c r="M148" s="249"/>
      <c r="N148" s="249"/>
      <c r="O148" s="249"/>
      <c r="P148" s="249"/>
      <c r="Q148" s="251"/>
      <c r="R148" s="251"/>
      <c r="S148" s="251"/>
      <c r="T148" s="251"/>
      <c r="U148" s="250"/>
      <c r="V148" s="117">
        <f t="shared" si="2"/>
        <v>11</v>
      </c>
    </row>
    <row r="149" spans="1:22" x14ac:dyDescent="0.2">
      <c r="A149" s="114" t="s">
        <v>47</v>
      </c>
      <c r="B149" s="249">
        <v>2999</v>
      </c>
      <c r="C149" s="249">
        <v>3223</v>
      </c>
      <c r="D149" s="249">
        <v>3447</v>
      </c>
      <c r="E149" s="249">
        <v>3559</v>
      </c>
      <c r="F149" s="249">
        <v>3671</v>
      </c>
      <c r="G149" s="249">
        <v>3781</v>
      </c>
      <c r="H149" s="249">
        <v>3893</v>
      </c>
      <c r="I149" s="249">
        <v>4007</v>
      </c>
      <c r="J149" s="249">
        <v>4118</v>
      </c>
      <c r="K149" s="249">
        <v>4231</v>
      </c>
      <c r="L149" s="249"/>
      <c r="M149" s="249"/>
      <c r="N149" s="249"/>
      <c r="O149" s="249"/>
      <c r="P149" s="249"/>
      <c r="Q149" s="251"/>
      <c r="R149" s="251"/>
      <c r="S149" s="251"/>
      <c r="T149" s="251"/>
      <c r="U149" s="250"/>
      <c r="V149" s="117">
        <f t="shared" si="2"/>
        <v>10</v>
      </c>
    </row>
    <row r="150" spans="1:22" x14ac:dyDescent="0.2">
      <c r="A150" s="114" t="s">
        <v>48</v>
      </c>
      <c r="B150" s="249">
        <v>2999</v>
      </c>
      <c r="C150" s="249">
        <v>3223</v>
      </c>
      <c r="D150" s="249">
        <v>3447</v>
      </c>
      <c r="E150" s="249">
        <v>3559</v>
      </c>
      <c r="F150" s="249">
        <v>3671</v>
      </c>
      <c r="G150" s="249">
        <v>3781</v>
      </c>
      <c r="H150" s="249">
        <v>3893</v>
      </c>
      <c r="I150" s="249">
        <v>4007</v>
      </c>
      <c r="J150" s="249">
        <v>4118</v>
      </c>
      <c r="K150" s="249">
        <v>4231</v>
      </c>
      <c r="L150" s="249">
        <v>4344</v>
      </c>
      <c r="M150" s="249"/>
      <c r="N150" s="249"/>
      <c r="O150" s="249"/>
      <c r="P150" s="249"/>
      <c r="Q150" s="251"/>
      <c r="R150" s="251"/>
      <c r="S150" s="251"/>
      <c r="T150" s="251"/>
      <c r="U150" s="250"/>
      <c r="V150" s="117">
        <f t="shared" si="2"/>
        <v>11</v>
      </c>
    </row>
    <row r="151" spans="1:22" x14ac:dyDescent="0.2">
      <c r="A151" s="114" t="s">
        <v>49</v>
      </c>
      <c r="B151" s="249">
        <v>3113</v>
      </c>
      <c r="C151" s="249">
        <v>3447</v>
      </c>
      <c r="D151" s="249">
        <v>3671</v>
      </c>
      <c r="E151" s="249">
        <v>3893</v>
      </c>
      <c r="F151" s="249">
        <v>4118</v>
      </c>
      <c r="G151" s="249">
        <v>4231</v>
      </c>
      <c r="H151" s="249">
        <v>4344</v>
      </c>
      <c r="I151" s="249">
        <v>4454</v>
      </c>
      <c r="J151" s="249">
        <v>4566</v>
      </c>
      <c r="K151" s="249">
        <v>4676</v>
      </c>
      <c r="L151" s="249">
        <v>4791</v>
      </c>
      <c r="M151" s="249">
        <v>4902</v>
      </c>
      <c r="N151" s="249">
        <v>5014</v>
      </c>
      <c r="O151" s="249"/>
      <c r="P151" s="249"/>
      <c r="Q151" s="251"/>
      <c r="R151" s="251"/>
      <c r="S151" s="251"/>
      <c r="T151" s="251"/>
      <c r="U151" s="250"/>
      <c r="V151" s="117">
        <f t="shared" si="2"/>
        <v>13</v>
      </c>
    </row>
    <row r="152" spans="1:22" x14ac:dyDescent="0.2">
      <c r="A152" s="114" t="s">
        <v>50</v>
      </c>
      <c r="B152" s="249">
        <v>3113</v>
      </c>
      <c r="C152" s="249">
        <v>3447</v>
      </c>
      <c r="D152" s="249">
        <v>3671</v>
      </c>
      <c r="E152" s="249">
        <v>3893</v>
      </c>
      <c r="F152" s="249">
        <v>4118</v>
      </c>
      <c r="G152" s="249">
        <v>4231</v>
      </c>
      <c r="H152" s="249">
        <v>4344</v>
      </c>
      <c r="I152" s="249">
        <v>4454</v>
      </c>
      <c r="J152" s="249">
        <v>4566</v>
      </c>
      <c r="K152" s="249">
        <v>4676</v>
      </c>
      <c r="L152" s="249">
        <v>4791</v>
      </c>
      <c r="M152" s="249">
        <v>4902</v>
      </c>
      <c r="N152" s="249">
        <v>5014</v>
      </c>
      <c r="O152" s="249">
        <v>5124</v>
      </c>
      <c r="P152" s="249">
        <v>5236</v>
      </c>
      <c r="Q152" s="251"/>
      <c r="R152" s="251"/>
      <c r="S152" s="251"/>
      <c r="T152" s="251"/>
      <c r="U152" s="250"/>
      <c r="V152" s="117">
        <f t="shared" si="2"/>
        <v>15</v>
      </c>
    </row>
    <row r="153" spans="1:22" x14ac:dyDescent="0.2">
      <c r="A153" s="114">
        <v>1</v>
      </c>
      <c r="B153" s="250">
        <v>1635.6</v>
      </c>
      <c r="C153" s="250">
        <v>1635.6</v>
      </c>
      <c r="D153" s="249">
        <v>1677</v>
      </c>
      <c r="E153" s="249">
        <v>1707</v>
      </c>
      <c r="F153" s="249">
        <v>1742</v>
      </c>
      <c r="G153" s="249">
        <v>1778</v>
      </c>
      <c r="H153" s="249">
        <v>1825</v>
      </c>
      <c r="I153" s="249"/>
      <c r="J153" s="249"/>
      <c r="K153" s="249"/>
      <c r="L153" s="249"/>
      <c r="M153" s="249"/>
      <c r="N153" s="249"/>
      <c r="O153" s="249"/>
      <c r="P153" s="249"/>
      <c r="Q153" s="249"/>
      <c r="R153" s="249"/>
      <c r="S153" s="249"/>
      <c r="T153" s="251"/>
      <c r="U153" s="250"/>
      <c r="V153" s="117">
        <f t="shared" si="2"/>
        <v>7</v>
      </c>
    </row>
    <row r="154" spans="1:22" x14ac:dyDescent="0.2">
      <c r="A154" s="114">
        <v>2</v>
      </c>
      <c r="B154" s="250">
        <v>1635.6</v>
      </c>
      <c r="C154" s="249">
        <v>1644</v>
      </c>
      <c r="D154" s="249">
        <v>1707</v>
      </c>
      <c r="E154" s="249">
        <v>1778</v>
      </c>
      <c r="F154" s="249">
        <v>1825</v>
      </c>
      <c r="G154" s="249">
        <v>1878</v>
      </c>
      <c r="H154" s="249">
        <v>1944</v>
      </c>
      <c r="I154" s="249">
        <v>2006</v>
      </c>
      <c r="J154" s="249"/>
      <c r="K154" s="249"/>
      <c r="L154" s="249"/>
      <c r="M154" s="249"/>
      <c r="N154" s="249"/>
      <c r="O154" s="249"/>
      <c r="P154" s="249"/>
      <c r="Q154" s="249"/>
      <c r="R154" s="249"/>
      <c r="S154" s="249"/>
      <c r="T154" s="251"/>
      <c r="U154" s="250"/>
      <c r="V154" s="117">
        <f t="shared" si="2"/>
        <v>8</v>
      </c>
    </row>
    <row r="155" spans="1:22" x14ac:dyDescent="0.2">
      <c r="A155" s="114">
        <v>3</v>
      </c>
      <c r="B155" s="250">
        <v>1635.6</v>
      </c>
      <c r="C155" s="249">
        <v>1707</v>
      </c>
      <c r="D155" s="249">
        <v>1778</v>
      </c>
      <c r="E155" s="249">
        <v>1878</v>
      </c>
      <c r="F155" s="249">
        <v>1944</v>
      </c>
      <c r="G155" s="249">
        <v>2006</v>
      </c>
      <c r="H155" s="249">
        <v>2067</v>
      </c>
      <c r="I155" s="249">
        <v>2126</v>
      </c>
      <c r="J155" s="249">
        <v>2185</v>
      </c>
      <c r="K155" s="249"/>
      <c r="L155" s="249"/>
      <c r="M155" s="249"/>
      <c r="N155" s="249"/>
      <c r="O155" s="249"/>
      <c r="P155" s="249"/>
      <c r="Q155" s="249"/>
      <c r="R155" s="249"/>
      <c r="S155" s="249"/>
      <c r="T155" s="251"/>
      <c r="U155" s="250"/>
      <c r="V155" s="117">
        <f t="shared" si="2"/>
        <v>9</v>
      </c>
    </row>
    <row r="156" spans="1:22" x14ac:dyDescent="0.2">
      <c r="A156" s="114">
        <v>4</v>
      </c>
      <c r="B156" s="250">
        <v>1635.6</v>
      </c>
      <c r="C156" s="249">
        <v>1677</v>
      </c>
      <c r="D156" s="249">
        <v>1742</v>
      </c>
      <c r="E156" s="249">
        <v>1825</v>
      </c>
      <c r="F156" s="249">
        <v>1944</v>
      </c>
      <c r="G156" s="249">
        <v>2006</v>
      </c>
      <c r="H156" s="249">
        <v>2067</v>
      </c>
      <c r="I156" s="249">
        <v>2126</v>
      </c>
      <c r="J156" s="249">
        <v>2185</v>
      </c>
      <c r="K156" s="249">
        <v>2241</v>
      </c>
      <c r="L156" s="249">
        <v>2298</v>
      </c>
      <c r="M156" s="249"/>
      <c r="N156" s="249"/>
      <c r="O156" s="249"/>
      <c r="P156" s="249"/>
      <c r="Q156" s="249"/>
      <c r="R156" s="249"/>
      <c r="S156" s="249"/>
      <c r="T156" s="251"/>
      <c r="U156" s="250"/>
      <c r="V156" s="117">
        <f t="shared" si="2"/>
        <v>11</v>
      </c>
    </row>
    <row r="157" spans="1:22" x14ac:dyDescent="0.2">
      <c r="A157" s="114">
        <v>5</v>
      </c>
      <c r="B157" s="249">
        <v>1644</v>
      </c>
      <c r="C157" s="249">
        <v>1677</v>
      </c>
      <c r="D157" s="249">
        <v>1778</v>
      </c>
      <c r="E157" s="249">
        <v>1878</v>
      </c>
      <c r="F157" s="249">
        <v>2006</v>
      </c>
      <c r="G157" s="249">
        <v>2067</v>
      </c>
      <c r="H157" s="249">
        <v>2126</v>
      </c>
      <c r="I157" s="249">
        <v>2185</v>
      </c>
      <c r="J157" s="249">
        <v>2241</v>
      </c>
      <c r="K157" s="249">
        <v>2298</v>
      </c>
      <c r="L157" s="249">
        <v>2353</v>
      </c>
      <c r="M157" s="249">
        <v>2416</v>
      </c>
      <c r="N157" s="249"/>
      <c r="O157" s="249"/>
      <c r="P157" s="249"/>
      <c r="Q157" s="249"/>
      <c r="R157" s="249"/>
      <c r="S157" s="249"/>
      <c r="T157" s="251"/>
      <c r="U157" s="250"/>
      <c r="V157" s="117">
        <f t="shared" si="2"/>
        <v>12</v>
      </c>
    </row>
    <row r="158" spans="1:22" x14ac:dyDescent="0.2">
      <c r="A158" s="114">
        <v>6</v>
      </c>
      <c r="B158" s="249">
        <v>1707</v>
      </c>
      <c r="C158" s="249">
        <v>1778</v>
      </c>
      <c r="D158" s="249">
        <v>2006</v>
      </c>
      <c r="E158" s="249">
        <v>2126</v>
      </c>
      <c r="F158" s="249">
        <v>2185</v>
      </c>
      <c r="G158" s="249">
        <v>2241</v>
      </c>
      <c r="H158" s="249">
        <v>2298</v>
      </c>
      <c r="I158" s="249">
        <v>2353</v>
      </c>
      <c r="J158" s="249">
        <v>2416</v>
      </c>
      <c r="K158" s="249">
        <v>2475</v>
      </c>
      <c r="L158" s="249">
        <v>2531</v>
      </c>
      <c r="M158" s="249"/>
      <c r="N158" s="249"/>
      <c r="O158" s="249"/>
      <c r="P158" s="249"/>
      <c r="Q158" s="249"/>
      <c r="R158" s="249"/>
      <c r="S158" s="249"/>
      <c r="T158" s="251"/>
      <c r="U158" s="250"/>
      <c r="V158" s="117">
        <f t="shared" si="2"/>
        <v>11</v>
      </c>
    </row>
    <row r="159" spans="1:22" x14ac:dyDescent="0.2">
      <c r="A159" s="114">
        <v>7</v>
      </c>
      <c r="B159" s="249">
        <v>1825</v>
      </c>
      <c r="C159" s="249">
        <v>1878</v>
      </c>
      <c r="D159" s="249">
        <v>2006</v>
      </c>
      <c r="E159" s="249">
        <v>2241</v>
      </c>
      <c r="F159" s="249">
        <v>2353</v>
      </c>
      <c r="G159" s="249">
        <v>2416</v>
      </c>
      <c r="H159" s="249">
        <v>2475</v>
      </c>
      <c r="I159" s="249">
        <v>2531</v>
      </c>
      <c r="J159" s="249">
        <v>2590</v>
      </c>
      <c r="K159" s="249">
        <v>2653</v>
      </c>
      <c r="L159" s="249">
        <v>2719</v>
      </c>
      <c r="M159" s="249">
        <v>2791</v>
      </c>
      <c r="N159" s="249"/>
      <c r="O159" s="249"/>
      <c r="P159" s="249"/>
      <c r="Q159" s="249"/>
      <c r="R159" s="249"/>
      <c r="S159" s="249"/>
      <c r="T159" s="251"/>
      <c r="U159" s="250"/>
      <c r="V159" s="117">
        <f t="shared" si="2"/>
        <v>12</v>
      </c>
    </row>
    <row r="160" spans="1:22" x14ac:dyDescent="0.2">
      <c r="A160" s="114">
        <v>8</v>
      </c>
      <c r="B160" s="249">
        <v>2067</v>
      </c>
      <c r="C160" s="249">
        <v>2126</v>
      </c>
      <c r="D160" s="249">
        <v>2241</v>
      </c>
      <c r="E160" s="249">
        <v>2475</v>
      </c>
      <c r="F160" s="249">
        <v>2590</v>
      </c>
      <c r="G160" s="249">
        <v>2719</v>
      </c>
      <c r="H160" s="249">
        <v>2791</v>
      </c>
      <c r="I160" s="249">
        <v>2857</v>
      </c>
      <c r="J160" s="249">
        <v>2916</v>
      </c>
      <c r="K160" s="249">
        <v>2979</v>
      </c>
      <c r="L160" s="249">
        <v>3043</v>
      </c>
      <c r="M160" s="249">
        <v>3102</v>
      </c>
      <c r="N160" s="249">
        <v>3157</v>
      </c>
      <c r="O160" s="249"/>
      <c r="P160" s="249"/>
      <c r="Q160" s="249"/>
      <c r="R160" s="249"/>
      <c r="S160" s="249"/>
      <c r="T160" s="251"/>
      <c r="U160" s="250"/>
      <c r="V160" s="117">
        <f t="shared" si="2"/>
        <v>13</v>
      </c>
    </row>
    <row r="161" spans="1:22" x14ac:dyDescent="0.2">
      <c r="A161" s="114">
        <v>9</v>
      </c>
      <c r="B161" s="249">
        <v>2394</v>
      </c>
      <c r="C161" s="249">
        <v>2516</v>
      </c>
      <c r="D161" s="249">
        <v>2762</v>
      </c>
      <c r="E161" s="249">
        <v>2903</v>
      </c>
      <c r="F161" s="249">
        <v>3025</v>
      </c>
      <c r="G161" s="249">
        <v>3149</v>
      </c>
      <c r="H161" s="249">
        <v>3266</v>
      </c>
      <c r="I161" s="249">
        <v>3383</v>
      </c>
      <c r="J161" s="249">
        <v>3510</v>
      </c>
      <c r="K161" s="249">
        <v>3622</v>
      </c>
      <c r="L161" s="249"/>
      <c r="M161" s="249"/>
      <c r="N161" s="249"/>
      <c r="O161" s="249"/>
      <c r="P161" s="249"/>
      <c r="Q161" s="249"/>
      <c r="R161" s="249"/>
      <c r="S161" s="249"/>
      <c r="T161" s="251"/>
      <c r="U161" s="250"/>
      <c r="V161" s="117">
        <f t="shared" si="2"/>
        <v>10</v>
      </c>
    </row>
    <row r="162" spans="1:22" x14ac:dyDescent="0.2">
      <c r="A162" s="114">
        <v>10</v>
      </c>
      <c r="B162" s="249">
        <v>2377</v>
      </c>
      <c r="C162" s="249">
        <v>2616</v>
      </c>
      <c r="D162" s="249">
        <v>2745</v>
      </c>
      <c r="E162" s="249">
        <v>2886</v>
      </c>
      <c r="F162" s="249">
        <v>3008</v>
      </c>
      <c r="G162" s="249">
        <v>3232</v>
      </c>
      <c r="H162" s="249">
        <v>3249</v>
      </c>
      <c r="I162" s="249">
        <v>3365</v>
      </c>
      <c r="J162" s="249">
        <v>3493</v>
      </c>
      <c r="K162" s="249">
        <v>3604</v>
      </c>
      <c r="L162" s="249">
        <v>3721</v>
      </c>
      <c r="M162" s="249">
        <v>3833</v>
      </c>
      <c r="N162" s="249">
        <v>3961</v>
      </c>
      <c r="O162" s="249"/>
      <c r="P162" s="249"/>
      <c r="Q162" s="249"/>
      <c r="R162" s="249"/>
      <c r="S162" s="249"/>
      <c r="T162" s="251"/>
      <c r="U162" s="250"/>
      <c r="V162" s="117">
        <f t="shared" si="2"/>
        <v>13</v>
      </c>
    </row>
    <row r="163" spans="1:22" x14ac:dyDescent="0.2">
      <c r="A163" s="114">
        <v>11</v>
      </c>
      <c r="B163" s="249">
        <v>2499</v>
      </c>
      <c r="C163" s="249">
        <v>2616</v>
      </c>
      <c r="D163" s="249">
        <v>2745</v>
      </c>
      <c r="E163" s="249">
        <v>2886</v>
      </c>
      <c r="F163" s="249">
        <v>3008</v>
      </c>
      <c r="G163" s="249">
        <v>3132</v>
      </c>
      <c r="H163" s="249">
        <v>3249</v>
      </c>
      <c r="I163" s="249">
        <v>3493</v>
      </c>
      <c r="J163" s="249">
        <v>3604</v>
      </c>
      <c r="K163" s="249">
        <v>3721</v>
      </c>
      <c r="L163" s="249">
        <v>3833</v>
      </c>
      <c r="M163" s="249">
        <v>3961</v>
      </c>
      <c r="N163" s="249">
        <v>4086</v>
      </c>
      <c r="O163" s="249">
        <v>4209</v>
      </c>
      <c r="P163" s="249">
        <v>4326</v>
      </c>
      <c r="Q163" s="249">
        <v>4446</v>
      </c>
      <c r="R163" s="249">
        <v>4559</v>
      </c>
      <c r="S163" s="249">
        <v>4621</v>
      </c>
      <c r="T163" s="251"/>
      <c r="U163" s="250"/>
      <c r="V163" s="117">
        <f t="shared" si="2"/>
        <v>18</v>
      </c>
    </row>
    <row r="164" spans="1:22" x14ac:dyDescent="0.2">
      <c r="A164" s="114">
        <v>12</v>
      </c>
      <c r="B164" s="249">
        <v>3365</v>
      </c>
      <c r="C164" s="249">
        <v>3493</v>
      </c>
      <c r="D164" s="249">
        <v>3604</v>
      </c>
      <c r="E164" s="249">
        <v>3721</v>
      </c>
      <c r="F164" s="249">
        <v>3833</v>
      </c>
      <c r="G164" s="249">
        <v>3961</v>
      </c>
      <c r="H164" s="249">
        <v>4209</v>
      </c>
      <c r="I164" s="249">
        <v>4326</v>
      </c>
      <c r="J164" s="249">
        <v>4446</v>
      </c>
      <c r="K164" s="249">
        <v>4559</v>
      </c>
      <c r="L164" s="249">
        <v>4682</v>
      </c>
      <c r="M164" s="249">
        <v>4802</v>
      </c>
      <c r="N164" s="249">
        <v>4916</v>
      </c>
      <c r="O164" s="249">
        <v>5036</v>
      </c>
      <c r="P164" s="249">
        <v>5183</v>
      </c>
      <c r="Q164" s="249">
        <v>5258</v>
      </c>
      <c r="R164" s="249"/>
      <c r="S164" s="249"/>
      <c r="T164" s="251"/>
      <c r="U164" s="250"/>
      <c r="V164" s="117">
        <f t="shared" si="2"/>
        <v>16</v>
      </c>
    </row>
    <row r="165" spans="1:22" x14ac:dyDescent="0.2">
      <c r="A165" s="114">
        <v>13</v>
      </c>
      <c r="B165" s="249">
        <v>4086</v>
      </c>
      <c r="C165" s="249">
        <v>4209</v>
      </c>
      <c r="D165" s="249">
        <v>4326</v>
      </c>
      <c r="E165" s="249">
        <v>4446</v>
      </c>
      <c r="F165" s="249">
        <v>4559</v>
      </c>
      <c r="G165" s="249">
        <v>4802</v>
      </c>
      <c r="H165" s="249">
        <v>4916</v>
      </c>
      <c r="I165" s="249">
        <v>5036</v>
      </c>
      <c r="J165" s="249">
        <v>5183</v>
      </c>
      <c r="K165" s="249">
        <v>5332</v>
      </c>
      <c r="L165" s="249">
        <v>5481</v>
      </c>
      <c r="M165" s="249">
        <v>5629</v>
      </c>
      <c r="N165" s="249">
        <v>5702</v>
      </c>
      <c r="O165" s="249"/>
      <c r="P165" s="249"/>
      <c r="Q165" s="249"/>
      <c r="R165" s="249"/>
      <c r="S165" s="249"/>
      <c r="T165" s="251"/>
      <c r="U165" s="250"/>
      <c r="V165" s="117">
        <f t="shared" si="2"/>
        <v>13</v>
      </c>
    </row>
    <row r="166" spans="1:22" x14ac:dyDescent="0.2">
      <c r="A166" s="114">
        <v>14</v>
      </c>
      <c r="B166" s="249">
        <v>4682</v>
      </c>
      <c r="C166" s="249">
        <v>4802</v>
      </c>
      <c r="D166" s="249">
        <v>5036</v>
      </c>
      <c r="E166" s="249">
        <v>5183</v>
      </c>
      <c r="F166" s="249">
        <v>5332</v>
      </c>
      <c r="G166" s="249">
        <v>5481</v>
      </c>
      <c r="H166" s="249">
        <v>5629</v>
      </c>
      <c r="I166" s="249">
        <v>5779</v>
      </c>
      <c r="J166" s="249">
        <v>5938</v>
      </c>
      <c r="K166" s="249">
        <v>6097</v>
      </c>
      <c r="L166" s="249">
        <v>6264</v>
      </c>
      <c r="M166" s="249"/>
      <c r="N166" s="249"/>
      <c r="O166" s="249"/>
      <c r="P166" s="249"/>
      <c r="Q166" s="249"/>
      <c r="R166" s="249"/>
      <c r="S166" s="249"/>
      <c r="T166" s="251"/>
      <c r="U166" s="250"/>
      <c r="V166" s="117">
        <f t="shared" si="2"/>
        <v>11</v>
      </c>
    </row>
    <row r="167" spans="1:22" x14ac:dyDescent="0.2">
      <c r="A167" s="114">
        <v>15</v>
      </c>
      <c r="B167" s="249">
        <v>4916</v>
      </c>
      <c r="C167" s="249">
        <v>5036</v>
      </c>
      <c r="D167" s="249">
        <v>5183</v>
      </c>
      <c r="E167" s="249">
        <v>5481</v>
      </c>
      <c r="F167" s="249">
        <v>5629</v>
      </c>
      <c r="G167" s="249">
        <v>5779</v>
      </c>
      <c r="H167" s="249">
        <v>5938</v>
      </c>
      <c r="I167" s="249">
        <v>6097</v>
      </c>
      <c r="J167" s="249">
        <v>6264</v>
      </c>
      <c r="K167" s="249">
        <v>6463</v>
      </c>
      <c r="L167" s="249">
        <v>6671</v>
      </c>
      <c r="M167" s="249">
        <v>6883</v>
      </c>
      <c r="N167" s="249"/>
      <c r="O167" s="249"/>
      <c r="P167" s="249"/>
      <c r="Q167" s="249"/>
      <c r="R167" s="249"/>
      <c r="S167" s="249"/>
      <c r="T167" s="255"/>
      <c r="U167" s="256"/>
      <c r="V167" s="117">
        <f t="shared" si="2"/>
        <v>12</v>
      </c>
    </row>
    <row r="168" spans="1:22" x14ac:dyDescent="0.2">
      <c r="A168" s="114">
        <v>16</v>
      </c>
      <c r="B168" s="249">
        <v>5332</v>
      </c>
      <c r="C168" s="249">
        <v>5481</v>
      </c>
      <c r="D168" s="249">
        <v>5629</v>
      </c>
      <c r="E168" s="249">
        <v>5938</v>
      </c>
      <c r="F168" s="249">
        <v>6097</v>
      </c>
      <c r="G168" s="249">
        <v>6264</v>
      </c>
      <c r="H168" s="249">
        <v>6463</v>
      </c>
      <c r="I168" s="249">
        <v>6671</v>
      </c>
      <c r="J168" s="249">
        <v>6883</v>
      </c>
      <c r="K168" s="249">
        <v>7104</v>
      </c>
      <c r="L168" s="249">
        <v>7327</v>
      </c>
      <c r="M168" s="249">
        <v>7561</v>
      </c>
      <c r="N168" s="249"/>
      <c r="O168" s="249"/>
      <c r="P168" s="249"/>
      <c r="Q168" s="249"/>
      <c r="R168" s="249"/>
      <c r="S168" s="249"/>
      <c r="T168" s="255"/>
      <c r="U168" s="256"/>
      <c r="V168" s="117">
        <f t="shared" si="2"/>
        <v>12</v>
      </c>
    </row>
    <row r="170" spans="1:22" x14ac:dyDescent="0.2">
      <c r="A170" s="112" t="s">
        <v>0</v>
      </c>
      <c r="B170" s="430">
        <v>43831</v>
      </c>
      <c r="C170" s="430"/>
      <c r="D170" s="113"/>
      <c r="E170" s="114"/>
      <c r="F170" s="114"/>
      <c r="G170" s="114"/>
      <c r="H170" s="114"/>
      <c r="I170" s="114"/>
      <c r="J170" s="114"/>
      <c r="K170" s="114"/>
      <c r="L170" s="114"/>
      <c r="M170" s="114"/>
      <c r="N170" s="114"/>
      <c r="O170" s="114"/>
      <c r="P170" s="114"/>
      <c r="Q170" s="114"/>
      <c r="R170" s="114"/>
      <c r="S170" s="114"/>
      <c r="T170" s="114"/>
      <c r="U170" s="114"/>
      <c r="V170" s="114"/>
    </row>
    <row r="171" spans="1:22" x14ac:dyDescent="0.2">
      <c r="A171" s="113" t="s">
        <v>1</v>
      </c>
      <c r="B171" s="115">
        <v>1</v>
      </c>
      <c r="C171" s="115">
        <v>2</v>
      </c>
      <c r="D171" s="115">
        <v>3</v>
      </c>
      <c r="E171" s="115">
        <v>4</v>
      </c>
      <c r="F171" s="115">
        <v>5</v>
      </c>
      <c r="G171" s="115">
        <v>6</v>
      </c>
      <c r="H171" s="115">
        <v>7</v>
      </c>
      <c r="I171" s="115">
        <v>8</v>
      </c>
      <c r="J171" s="115">
        <v>9</v>
      </c>
      <c r="K171" s="115">
        <v>10</v>
      </c>
      <c r="L171" s="115">
        <v>11</v>
      </c>
      <c r="M171" s="115">
        <v>12</v>
      </c>
      <c r="N171" s="115">
        <v>13</v>
      </c>
      <c r="O171" s="115">
        <v>14</v>
      </c>
      <c r="P171" s="115">
        <v>15</v>
      </c>
      <c r="Q171" s="115">
        <v>16</v>
      </c>
      <c r="R171" s="115">
        <v>17</v>
      </c>
      <c r="S171" s="115">
        <v>18</v>
      </c>
      <c r="T171" s="115">
        <v>19</v>
      </c>
      <c r="U171" s="115">
        <v>20</v>
      </c>
      <c r="V171" s="115" t="s">
        <v>20</v>
      </c>
    </row>
    <row r="172" spans="1:22" x14ac:dyDescent="0.2">
      <c r="A172" s="116" t="s">
        <v>9</v>
      </c>
      <c r="B172" s="249">
        <v>2648</v>
      </c>
      <c r="C172" s="249">
        <v>2766</v>
      </c>
      <c r="D172" s="249">
        <v>2895</v>
      </c>
      <c r="E172" s="249">
        <v>3036</v>
      </c>
      <c r="F172" s="249">
        <v>3157</v>
      </c>
      <c r="G172" s="249">
        <v>3282</v>
      </c>
      <c r="H172" s="249">
        <v>3397</v>
      </c>
      <c r="I172" s="249">
        <v>3514</v>
      </c>
      <c r="J172" s="249">
        <v>3639</v>
      </c>
      <c r="K172" s="249">
        <v>3755</v>
      </c>
      <c r="L172" s="249">
        <v>3867</v>
      </c>
      <c r="M172" s="249">
        <v>3982</v>
      </c>
      <c r="N172" s="249">
        <v>4176</v>
      </c>
      <c r="O172" s="249"/>
      <c r="P172" s="249"/>
      <c r="Q172" s="249"/>
      <c r="R172" s="249"/>
      <c r="S172" s="249"/>
      <c r="T172" s="249"/>
      <c r="U172" s="249"/>
      <c r="V172" s="117">
        <f t="shared" ref="V172:V181" si="4">COUNTA(B172:U172)</f>
        <v>13</v>
      </c>
    </row>
    <row r="173" spans="1:22" x14ac:dyDescent="0.2">
      <c r="A173" s="116" t="s">
        <v>10</v>
      </c>
      <c r="B173" s="249">
        <v>2704</v>
      </c>
      <c r="C173" s="249">
        <v>2835</v>
      </c>
      <c r="D173" s="249">
        <v>2973</v>
      </c>
      <c r="E173" s="249">
        <v>3098</v>
      </c>
      <c r="F173" s="249">
        <v>3220</v>
      </c>
      <c r="G173" s="249">
        <v>3338</v>
      </c>
      <c r="H173" s="249">
        <v>3453</v>
      </c>
      <c r="I173" s="249">
        <v>3580</v>
      </c>
      <c r="J173" s="249">
        <v>3694</v>
      </c>
      <c r="K173" s="249">
        <v>3808</v>
      </c>
      <c r="L173" s="249">
        <v>3923</v>
      </c>
      <c r="M173" s="249">
        <v>4048</v>
      </c>
      <c r="N173" s="249">
        <v>4176</v>
      </c>
      <c r="O173" s="249">
        <v>4297</v>
      </c>
      <c r="P173" s="249">
        <v>4416</v>
      </c>
      <c r="Q173" s="249">
        <v>4533</v>
      </c>
      <c r="R173" s="249">
        <v>4649</v>
      </c>
      <c r="S173" s="249">
        <v>4709</v>
      </c>
      <c r="T173" s="249"/>
      <c r="U173" s="249"/>
      <c r="V173" s="117">
        <f t="shared" si="4"/>
        <v>18</v>
      </c>
    </row>
    <row r="174" spans="1:22" x14ac:dyDescent="0.2">
      <c r="A174" s="116" t="s">
        <v>11</v>
      </c>
      <c r="B174" s="249">
        <v>2835</v>
      </c>
      <c r="C174" s="249">
        <v>2973</v>
      </c>
      <c r="D174" s="249">
        <v>3220</v>
      </c>
      <c r="E174" s="249">
        <v>3453</v>
      </c>
      <c r="F174" s="249">
        <v>3580</v>
      </c>
      <c r="G174" s="249">
        <v>3694</v>
      </c>
      <c r="H174" s="249">
        <v>3808</v>
      </c>
      <c r="I174" s="249">
        <v>3923</v>
      </c>
      <c r="J174" s="249">
        <v>4048</v>
      </c>
      <c r="K174" s="249">
        <v>4176</v>
      </c>
      <c r="L174" s="249">
        <v>4297</v>
      </c>
      <c r="M174" s="249">
        <v>4416</v>
      </c>
      <c r="N174" s="249">
        <v>4533</v>
      </c>
      <c r="O174" s="249">
        <v>4649</v>
      </c>
      <c r="P174" s="249">
        <v>4770</v>
      </c>
      <c r="Q174" s="249">
        <v>4890</v>
      </c>
      <c r="R174" s="249">
        <v>5003</v>
      </c>
      <c r="S174" s="249">
        <v>5123</v>
      </c>
      <c r="T174" s="249">
        <v>5272</v>
      </c>
      <c r="U174" s="249">
        <v>5345</v>
      </c>
      <c r="V174" s="117">
        <f t="shared" si="4"/>
        <v>20</v>
      </c>
    </row>
    <row r="175" spans="1:22" x14ac:dyDescent="0.2">
      <c r="A175" s="116" t="s">
        <v>12</v>
      </c>
      <c r="B175" s="249">
        <v>2973</v>
      </c>
      <c r="C175" s="249">
        <v>3220</v>
      </c>
      <c r="D175" s="249">
        <v>3453</v>
      </c>
      <c r="E175" s="249">
        <v>3694</v>
      </c>
      <c r="F175" s="249">
        <v>3923</v>
      </c>
      <c r="G175" s="249">
        <v>4176</v>
      </c>
      <c r="H175" s="249">
        <v>4297</v>
      </c>
      <c r="I175" s="249">
        <v>4416</v>
      </c>
      <c r="J175" s="249">
        <v>4533</v>
      </c>
      <c r="K175" s="249">
        <v>4649</v>
      </c>
      <c r="L175" s="249">
        <v>4770</v>
      </c>
      <c r="M175" s="249">
        <v>4890</v>
      </c>
      <c r="N175" s="249">
        <v>5003</v>
      </c>
      <c r="O175" s="249">
        <v>5123</v>
      </c>
      <c r="P175" s="249">
        <v>5272</v>
      </c>
      <c r="Q175" s="249">
        <v>5420</v>
      </c>
      <c r="R175" s="249">
        <v>5569</v>
      </c>
      <c r="S175" s="249">
        <v>5718</v>
      </c>
      <c r="T175" s="249">
        <v>5789</v>
      </c>
      <c r="U175" s="249"/>
      <c r="V175" s="117">
        <f t="shared" si="4"/>
        <v>19</v>
      </c>
    </row>
    <row r="176" spans="1:22" x14ac:dyDescent="0.2">
      <c r="A176" s="116" t="s">
        <v>2</v>
      </c>
      <c r="B176" s="249">
        <v>2888</v>
      </c>
      <c r="C176" s="249">
        <v>2999</v>
      </c>
      <c r="D176" s="249">
        <v>3113</v>
      </c>
      <c r="E176" s="249">
        <v>3223</v>
      </c>
      <c r="F176" s="249">
        <v>3334</v>
      </c>
      <c r="G176" s="249">
        <v>3447</v>
      </c>
      <c r="H176" s="249">
        <v>3559</v>
      </c>
      <c r="I176" s="249">
        <v>3671</v>
      </c>
      <c r="J176" s="249">
        <v>3781</v>
      </c>
      <c r="K176" s="249">
        <v>3893</v>
      </c>
      <c r="L176" s="249">
        <v>4007</v>
      </c>
      <c r="M176" s="249">
        <v>4118</v>
      </c>
      <c r="N176" s="249">
        <v>4231</v>
      </c>
      <c r="O176" s="249"/>
      <c r="P176" s="249"/>
      <c r="Q176" s="249"/>
      <c r="R176" s="249"/>
      <c r="S176" s="249"/>
      <c r="T176" s="250"/>
      <c r="U176" s="250"/>
      <c r="V176" s="117">
        <f t="shared" si="4"/>
        <v>13</v>
      </c>
    </row>
    <row r="177" spans="1:39" x14ac:dyDescent="0.2">
      <c r="A177" s="116" t="s">
        <v>3</v>
      </c>
      <c r="B177" s="249">
        <v>2999</v>
      </c>
      <c r="C177" s="249">
        <v>3223</v>
      </c>
      <c r="D177" s="249">
        <v>3447</v>
      </c>
      <c r="E177" s="249">
        <v>3559</v>
      </c>
      <c r="F177" s="249">
        <v>3671</v>
      </c>
      <c r="G177" s="249">
        <v>3781</v>
      </c>
      <c r="H177" s="249">
        <v>3893</v>
      </c>
      <c r="I177" s="249">
        <v>4007</v>
      </c>
      <c r="J177" s="249">
        <v>4118</v>
      </c>
      <c r="K177" s="249">
        <v>4231</v>
      </c>
      <c r="L177" s="249">
        <v>4344</v>
      </c>
      <c r="M177" s="249">
        <v>4454</v>
      </c>
      <c r="N177" s="249">
        <v>4566</v>
      </c>
      <c r="O177" s="249">
        <v>4676</v>
      </c>
      <c r="P177" s="249">
        <v>4791</v>
      </c>
      <c r="Q177" s="249"/>
      <c r="R177" s="249"/>
      <c r="S177" s="249"/>
      <c r="T177" s="250"/>
      <c r="U177" s="250"/>
      <c r="V177" s="117">
        <f t="shared" si="4"/>
        <v>15</v>
      </c>
    </row>
    <row r="178" spans="1:39" x14ac:dyDescent="0.2">
      <c r="A178" s="116" t="s">
        <v>4</v>
      </c>
      <c r="B178" s="249">
        <v>2999</v>
      </c>
      <c r="C178" s="249">
        <v>3223</v>
      </c>
      <c r="D178" s="249">
        <v>3447</v>
      </c>
      <c r="E178" s="249">
        <v>3559</v>
      </c>
      <c r="F178" s="249">
        <v>3671</v>
      </c>
      <c r="G178" s="249">
        <v>3781</v>
      </c>
      <c r="H178" s="249">
        <v>3893</v>
      </c>
      <c r="I178" s="249">
        <v>4007</v>
      </c>
      <c r="J178" s="249">
        <v>4118</v>
      </c>
      <c r="K178" s="249">
        <v>4231</v>
      </c>
      <c r="L178" s="249">
        <v>4344</v>
      </c>
      <c r="M178" s="249">
        <v>4454</v>
      </c>
      <c r="N178" s="249">
        <v>4566</v>
      </c>
      <c r="O178" s="249">
        <v>4676</v>
      </c>
      <c r="P178" s="249">
        <v>4791</v>
      </c>
      <c r="Q178" s="249">
        <v>4902</v>
      </c>
      <c r="R178" s="249">
        <v>5014</v>
      </c>
      <c r="S178" s="249"/>
      <c r="T178" s="250"/>
      <c r="U178" s="250"/>
      <c r="V178" s="117">
        <f t="shared" si="4"/>
        <v>17</v>
      </c>
    </row>
    <row r="179" spans="1:39" x14ac:dyDescent="0.2">
      <c r="A179" s="116" t="s">
        <v>5</v>
      </c>
      <c r="B179" s="249">
        <v>3113</v>
      </c>
      <c r="C179" s="249">
        <v>3447</v>
      </c>
      <c r="D179" s="249">
        <v>3671</v>
      </c>
      <c r="E179" s="249">
        <v>3893</v>
      </c>
      <c r="F179" s="249">
        <v>4118</v>
      </c>
      <c r="G179" s="249">
        <v>4231</v>
      </c>
      <c r="H179" s="249">
        <v>4344</v>
      </c>
      <c r="I179" s="249">
        <v>4454</v>
      </c>
      <c r="J179" s="249">
        <v>4566</v>
      </c>
      <c r="K179" s="249">
        <v>4676</v>
      </c>
      <c r="L179" s="249">
        <v>4791</v>
      </c>
      <c r="M179" s="249">
        <v>4902</v>
      </c>
      <c r="N179" s="249">
        <v>5014</v>
      </c>
      <c r="O179" s="249">
        <v>5124</v>
      </c>
      <c r="P179" s="249">
        <v>5236</v>
      </c>
      <c r="Q179" s="249">
        <v>5350</v>
      </c>
      <c r="R179" s="249"/>
      <c r="S179" s="249"/>
      <c r="T179" s="250"/>
      <c r="U179" s="250"/>
      <c r="V179" s="117">
        <f t="shared" si="4"/>
        <v>16</v>
      </c>
    </row>
    <row r="180" spans="1:39" x14ac:dyDescent="0.2">
      <c r="A180" s="116" t="s">
        <v>6</v>
      </c>
      <c r="B180" s="249">
        <v>3113</v>
      </c>
      <c r="C180" s="249">
        <v>3447</v>
      </c>
      <c r="D180" s="249">
        <v>3671</v>
      </c>
      <c r="E180" s="249">
        <v>3893</v>
      </c>
      <c r="F180" s="249">
        <v>4118</v>
      </c>
      <c r="G180" s="249">
        <v>4231</v>
      </c>
      <c r="H180" s="249">
        <v>4344</v>
      </c>
      <c r="I180" s="249">
        <v>4454</v>
      </c>
      <c r="J180" s="249">
        <v>4566</v>
      </c>
      <c r="K180" s="249">
        <v>4676</v>
      </c>
      <c r="L180" s="249">
        <v>4791</v>
      </c>
      <c r="M180" s="249">
        <v>4902</v>
      </c>
      <c r="N180" s="249">
        <v>5014</v>
      </c>
      <c r="O180" s="249">
        <v>5124</v>
      </c>
      <c r="P180" s="249">
        <v>5236</v>
      </c>
      <c r="Q180" s="249">
        <v>5350</v>
      </c>
      <c r="R180" s="249">
        <v>5461</v>
      </c>
      <c r="S180" s="249">
        <v>5572</v>
      </c>
      <c r="T180" s="250"/>
      <c r="U180" s="250"/>
      <c r="V180" s="117">
        <f t="shared" si="4"/>
        <v>18</v>
      </c>
    </row>
    <row r="181" spans="1:39" x14ac:dyDescent="0.2">
      <c r="A181" s="116" t="s">
        <v>7</v>
      </c>
      <c r="B181" s="249">
        <v>3160</v>
      </c>
      <c r="C181" s="249">
        <v>3392</v>
      </c>
      <c r="D181" s="249">
        <v>3630</v>
      </c>
      <c r="E181" s="249">
        <v>3857</v>
      </c>
      <c r="F181" s="249">
        <v>4109</v>
      </c>
      <c r="G181" s="249">
        <v>4231</v>
      </c>
      <c r="H181" s="249">
        <v>4348</v>
      </c>
      <c r="I181" s="249">
        <v>4467</v>
      </c>
      <c r="J181" s="249">
        <v>4580</v>
      </c>
      <c r="K181" s="249">
        <v>4702</v>
      </c>
      <c r="L181" s="249">
        <v>4820</v>
      </c>
      <c r="M181" s="249">
        <v>4934</v>
      </c>
      <c r="N181" s="249">
        <v>5052</v>
      </c>
      <c r="O181" s="249">
        <v>5200</v>
      </c>
      <c r="P181" s="249">
        <v>5349</v>
      </c>
      <c r="Q181" s="249">
        <v>5496</v>
      </c>
      <c r="R181" s="249">
        <v>5644</v>
      </c>
      <c r="S181" s="249">
        <v>5715</v>
      </c>
      <c r="T181" s="250"/>
      <c r="U181" s="250"/>
      <c r="V181" s="117">
        <f t="shared" si="4"/>
        <v>18</v>
      </c>
    </row>
    <row r="182" spans="1:39" x14ac:dyDescent="0.2">
      <c r="A182" s="116" t="s">
        <v>8</v>
      </c>
      <c r="B182" s="249">
        <v>3276</v>
      </c>
      <c r="C182" s="249">
        <v>3517</v>
      </c>
      <c r="D182" s="249">
        <v>3744</v>
      </c>
      <c r="E182" s="249">
        <v>3983</v>
      </c>
      <c r="F182" s="249">
        <v>4231</v>
      </c>
      <c r="G182" s="249">
        <v>4467</v>
      </c>
      <c r="H182" s="249">
        <v>4702</v>
      </c>
      <c r="I182" s="249">
        <v>4820</v>
      </c>
      <c r="J182" s="249">
        <v>4934</v>
      </c>
      <c r="K182" s="249">
        <v>5052</v>
      </c>
      <c r="L182" s="249">
        <v>5200</v>
      </c>
      <c r="M182" s="249">
        <v>5349</v>
      </c>
      <c r="N182" s="249">
        <v>5496</v>
      </c>
      <c r="O182" s="249">
        <v>5644</v>
      </c>
      <c r="P182" s="249">
        <v>5794</v>
      </c>
      <c r="Q182" s="249">
        <v>5951</v>
      </c>
      <c r="R182" s="249">
        <v>6111</v>
      </c>
      <c r="S182" s="249">
        <v>6276</v>
      </c>
      <c r="T182" s="250"/>
      <c r="U182" s="250"/>
      <c r="V182" s="117">
        <f>COUNTA(B182:U182)</f>
        <v>18</v>
      </c>
    </row>
    <row r="183" spans="1:39" x14ac:dyDescent="0.2">
      <c r="A183" s="118" t="s">
        <v>52</v>
      </c>
      <c r="B183" s="250">
        <v>1635.6</v>
      </c>
      <c r="C183" s="250">
        <v>1635.6</v>
      </c>
      <c r="D183" s="250">
        <v>1677</v>
      </c>
      <c r="E183" s="250">
        <v>1707</v>
      </c>
      <c r="F183" s="250">
        <v>1742</v>
      </c>
      <c r="G183" s="250">
        <v>1778</v>
      </c>
      <c r="H183" s="250">
        <v>1825</v>
      </c>
      <c r="I183" s="250"/>
      <c r="J183" s="251"/>
      <c r="K183" s="251"/>
      <c r="L183" s="251"/>
      <c r="M183" s="251"/>
      <c r="N183" s="251"/>
      <c r="O183" s="251"/>
      <c r="P183" s="251"/>
      <c r="Q183" s="251"/>
      <c r="R183" s="251"/>
      <c r="S183" s="251"/>
      <c r="T183" s="251"/>
      <c r="U183" s="250"/>
      <c r="V183" s="117">
        <f t="shared" ref="V183:V213" si="5">COUNTA(B183:U183)</f>
        <v>7</v>
      </c>
    </row>
    <row r="184" spans="1:39" x14ac:dyDescent="0.2">
      <c r="A184" s="114" t="s">
        <v>53</v>
      </c>
      <c r="B184" s="250">
        <v>1635.6</v>
      </c>
      <c r="C184" s="250">
        <v>1644</v>
      </c>
      <c r="D184" s="250">
        <v>1707</v>
      </c>
      <c r="E184" s="250">
        <v>1778</v>
      </c>
      <c r="F184" s="250">
        <v>1825</v>
      </c>
      <c r="G184" s="250">
        <v>1878</v>
      </c>
      <c r="H184" s="250">
        <v>1944</v>
      </c>
      <c r="I184" s="250">
        <v>2006</v>
      </c>
      <c r="J184" s="251"/>
      <c r="K184" s="251"/>
      <c r="L184" s="251"/>
      <c r="M184" s="251"/>
      <c r="N184" s="251"/>
      <c r="O184" s="251"/>
      <c r="P184" s="251"/>
      <c r="Q184" s="251"/>
      <c r="R184" s="251"/>
      <c r="S184" s="251"/>
      <c r="T184" s="251"/>
      <c r="U184" s="250"/>
      <c r="V184" s="117">
        <f t="shared" si="5"/>
        <v>8</v>
      </c>
    </row>
    <row r="185" spans="1:39" x14ac:dyDescent="0.2">
      <c r="A185" s="114" t="s">
        <v>54</v>
      </c>
      <c r="B185" s="250">
        <v>1635.6</v>
      </c>
      <c r="C185" s="250">
        <v>1707</v>
      </c>
      <c r="D185" s="250">
        <v>1778</v>
      </c>
      <c r="E185" s="250">
        <v>1878</v>
      </c>
      <c r="F185" s="250">
        <v>1944</v>
      </c>
      <c r="G185" s="250">
        <v>2006</v>
      </c>
      <c r="H185" s="250">
        <v>2067</v>
      </c>
      <c r="I185" s="250"/>
      <c r="J185" s="251"/>
      <c r="K185" s="251"/>
      <c r="L185" s="251"/>
      <c r="M185" s="251"/>
      <c r="N185" s="251"/>
      <c r="O185" s="251"/>
      <c r="P185" s="251"/>
      <c r="Q185" s="251"/>
      <c r="R185" s="251"/>
      <c r="S185" s="251"/>
      <c r="T185" s="251"/>
      <c r="U185" s="250"/>
      <c r="V185" s="117">
        <f t="shared" si="5"/>
        <v>7</v>
      </c>
    </row>
    <row r="186" spans="1:39" x14ac:dyDescent="0.2">
      <c r="A186" s="116" t="s">
        <v>174</v>
      </c>
      <c r="B186" s="249">
        <v>2563</v>
      </c>
      <c r="C186" s="249">
        <v>2642</v>
      </c>
      <c r="D186" s="249">
        <v>2723</v>
      </c>
      <c r="E186" s="249">
        <v>2809</v>
      </c>
      <c r="F186" s="249">
        <v>2896</v>
      </c>
      <c r="G186" s="249">
        <v>2985</v>
      </c>
      <c r="H186" s="249">
        <v>3078</v>
      </c>
      <c r="I186" s="249">
        <v>3173</v>
      </c>
      <c r="J186" s="249">
        <v>3272</v>
      </c>
      <c r="K186" s="249">
        <v>3373</v>
      </c>
      <c r="L186" s="249">
        <v>3478</v>
      </c>
      <c r="M186" s="249">
        <v>3585</v>
      </c>
      <c r="N186" s="249">
        <v>3696</v>
      </c>
      <c r="O186" s="249">
        <v>3811</v>
      </c>
      <c r="P186" s="249">
        <v>3936</v>
      </c>
      <c r="Q186" s="251"/>
      <c r="R186" s="251"/>
      <c r="S186" s="251"/>
      <c r="T186" s="251"/>
      <c r="U186" s="250"/>
      <c r="V186" s="117">
        <f t="shared" si="5"/>
        <v>15</v>
      </c>
      <c r="X186" s="252">
        <f t="shared" ref="X186:AL189" si="6">B186-B141</f>
        <v>0</v>
      </c>
      <c r="Y186" s="252">
        <f t="shared" si="6"/>
        <v>2</v>
      </c>
      <c r="Z186" s="252">
        <f t="shared" si="6"/>
        <v>4</v>
      </c>
      <c r="AA186" s="252">
        <f t="shared" si="6"/>
        <v>7</v>
      </c>
      <c r="AB186" s="252">
        <f t="shared" si="6"/>
        <v>10</v>
      </c>
      <c r="AC186" s="252">
        <f t="shared" si="6"/>
        <v>11</v>
      </c>
      <c r="AD186" s="252">
        <f t="shared" si="6"/>
        <v>14</v>
      </c>
      <c r="AE186" s="252">
        <f t="shared" si="6"/>
        <v>17</v>
      </c>
      <c r="AF186" s="252">
        <f t="shared" si="6"/>
        <v>21</v>
      </c>
      <c r="AG186" s="252">
        <f t="shared" si="6"/>
        <v>23</v>
      </c>
      <c r="AH186" s="252">
        <f t="shared" si="6"/>
        <v>27</v>
      </c>
      <c r="AI186" s="252">
        <f t="shared" si="6"/>
        <v>30</v>
      </c>
      <c r="AJ186" s="252">
        <f t="shared" si="6"/>
        <v>34</v>
      </c>
      <c r="AK186" s="252">
        <f t="shared" si="6"/>
        <v>38</v>
      </c>
      <c r="AL186" s="252">
        <f t="shared" si="6"/>
        <v>26</v>
      </c>
      <c r="AM186" s="52"/>
    </row>
    <row r="187" spans="1:39" x14ac:dyDescent="0.2">
      <c r="A187" s="116" t="s">
        <v>175</v>
      </c>
      <c r="B187" s="249">
        <v>2639</v>
      </c>
      <c r="C187" s="249">
        <v>2729</v>
      </c>
      <c r="D187" s="249">
        <v>2821</v>
      </c>
      <c r="E187" s="249">
        <v>2916</v>
      </c>
      <c r="F187" s="249">
        <v>3015</v>
      </c>
      <c r="G187" s="249">
        <v>3117</v>
      </c>
      <c r="H187" s="249">
        <v>3222</v>
      </c>
      <c r="I187" s="249">
        <v>3331</v>
      </c>
      <c r="J187" s="249">
        <v>3443</v>
      </c>
      <c r="K187" s="249">
        <v>3560</v>
      </c>
      <c r="L187" s="249">
        <v>3680</v>
      </c>
      <c r="M187" s="249">
        <v>3805</v>
      </c>
      <c r="N187" s="249">
        <v>3933</v>
      </c>
      <c r="O187" s="249">
        <v>4066</v>
      </c>
      <c r="P187" s="249">
        <v>4244</v>
      </c>
      <c r="Q187" s="251"/>
      <c r="R187" s="251"/>
      <c r="S187" s="251"/>
      <c r="T187" s="251"/>
      <c r="U187" s="250"/>
      <c r="V187" s="117">
        <f t="shared" si="5"/>
        <v>15</v>
      </c>
      <c r="X187" s="252">
        <f t="shared" si="6"/>
        <v>0</v>
      </c>
      <c r="Y187" s="252">
        <f t="shared" si="6"/>
        <v>0</v>
      </c>
      <c r="Z187" s="252">
        <f t="shared" si="6"/>
        <v>0</v>
      </c>
      <c r="AA187" s="252">
        <f t="shared" si="6"/>
        <v>0</v>
      </c>
      <c r="AB187" s="252">
        <f t="shared" si="6"/>
        <v>0</v>
      </c>
      <c r="AC187" s="252">
        <f t="shared" si="6"/>
        <v>0</v>
      </c>
      <c r="AD187" s="252">
        <f t="shared" si="6"/>
        <v>0</v>
      </c>
      <c r="AE187" s="252">
        <f t="shared" si="6"/>
        <v>0</v>
      </c>
      <c r="AF187" s="252">
        <f t="shared" si="6"/>
        <v>0</v>
      </c>
      <c r="AG187" s="252">
        <f t="shared" si="6"/>
        <v>0</v>
      </c>
      <c r="AH187" s="252">
        <f t="shared" si="6"/>
        <v>0</v>
      </c>
      <c r="AI187" s="252">
        <f t="shared" si="6"/>
        <v>0</v>
      </c>
      <c r="AJ187" s="252">
        <f t="shared" si="6"/>
        <v>0</v>
      </c>
      <c r="AK187" s="252">
        <f t="shared" si="6"/>
        <v>0</v>
      </c>
      <c r="AL187" s="252">
        <f t="shared" si="6"/>
        <v>16</v>
      </c>
      <c r="AM187" s="52"/>
    </row>
    <row r="188" spans="1:39" x14ac:dyDescent="0.2">
      <c r="A188" s="116" t="s">
        <v>176</v>
      </c>
      <c r="B188" s="249">
        <v>2691</v>
      </c>
      <c r="C188" s="249">
        <v>2806</v>
      </c>
      <c r="D188" s="249">
        <v>2927</v>
      </c>
      <c r="E188" s="249">
        <v>3052</v>
      </c>
      <c r="F188" s="249">
        <v>3184</v>
      </c>
      <c r="G188" s="249">
        <v>3321</v>
      </c>
      <c r="H188" s="249">
        <v>3463</v>
      </c>
      <c r="I188" s="249">
        <v>3613</v>
      </c>
      <c r="J188" s="249">
        <v>3768</v>
      </c>
      <c r="K188" s="249">
        <v>3930</v>
      </c>
      <c r="L188" s="249">
        <v>4099</v>
      </c>
      <c r="M188" s="249">
        <v>4275</v>
      </c>
      <c r="N188" s="249">
        <v>4460</v>
      </c>
      <c r="O188" s="249">
        <v>4651</v>
      </c>
      <c r="P188" s="249">
        <v>4851</v>
      </c>
      <c r="Q188" s="251"/>
      <c r="R188" s="251"/>
      <c r="S188" s="251"/>
      <c r="T188" s="251"/>
      <c r="U188" s="250"/>
      <c r="V188" s="117">
        <f t="shared" si="5"/>
        <v>15</v>
      </c>
      <c r="X188" s="252">
        <f t="shared" si="6"/>
        <v>0</v>
      </c>
      <c r="Y188" s="252">
        <f t="shared" si="6"/>
        <v>0</v>
      </c>
      <c r="Z188" s="252">
        <f t="shared" si="6"/>
        <v>0</v>
      </c>
      <c r="AA188" s="252">
        <f t="shared" si="6"/>
        <v>0</v>
      </c>
      <c r="AB188" s="252">
        <f t="shared" si="6"/>
        <v>0</v>
      </c>
      <c r="AC188" s="252">
        <f t="shared" si="6"/>
        <v>0</v>
      </c>
      <c r="AD188" s="252">
        <f t="shared" si="6"/>
        <v>0</v>
      </c>
      <c r="AE188" s="252">
        <f t="shared" si="6"/>
        <v>0</v>
      </c>
      <c r="AF188" s="252">
        <f t="shared" si="6"/>
        <v>0</v>
      </c>
      <c r="AG188" s="252">
        <f t="shared" si="6"/>
        <v>0</v>
      </c>
      <c r="AH188" s="252">
        <f t="shared" si="6"/>
        <v>0</v>
      </c>
      <c r="AI188" s="252">
        <f t="shared" si="6"/>
        <v>0</v>
      </c>
      <c r="AJ188" s="252">
        <f t="shared" si="6"/>
        <v>0</v>
      </c>
      <c r="AK188" s="252">
        <f t="shared" si="6"/>
        <v>0</v>
      </c>
      <c r="AL188" s="252">
        <f t="shared" si="6"/>
        <v>0</v>
      </c>
      <c r="AM188" s="52"/>
    </row>
    <row r="189" spans="1:39" x14ac:dyDescent="0.2">
      <c r="A189" s="116" t="s">
        <v>177</v>
      </c>
      <c r="B189" s="249">
        <v>2691</v>
      </c>
      <c r="C189" s="249">
        <v>2806</v>
      </c>
      <c r="D189" s="249">
        <v>2961</v>
      </c>
      <c r="E189" s="249">
        <v>3124</v>
      </c>
      <c r="F189" s="249">
        <v>3288</v>
      </c>
      <c r="G189" s="249">
        <v>3459</v>
      </c>
      <c r="H189" s="249">
        <v>3637</v>
      </c>
      <c r="I189" s="249">
        <v>3817</v>
      </c>
      <c r="J189" s="249">
        <v>4007</v>
      </c>
      <c r="K189" s="249">
        <v>4204</v>
      </c>
      <c r="L189" s="249">
        <v>4406</v>
      </c>
      <c r="M189" s="249">
        <v>4616</v>
      </c>
      <c r="N189" s="249">
        <v>4833</v>
      </c>
      <c r="O189" s="249">
        <v>5055</v>
      </c>
      <c r="P189" s="249">
        <v>5294</v>
      </c>
      <c r="Q189" s="251"/>
      <c r="R189" s="251"/>
      <c r="S189" s="251"/>
      <c r="T189" s="251"/>
      <c r="U189" s="250"/>
      <c r="V189" s="117">
        <f t="shared" si="5"/>
        <v>15</v>
      </c>
      <c r="X189" s="252">
        <f t="shared" si="6"/>
        <v>0</v>
      </c>
      <c r="Y189" s="252">
        <f t="shared" si="6"/>
        <v>0</v>
      </c>
      <c r="Z189" s="252">
        <f t="shared" si="6"/>
        <v>0</v>
      </c>
      <c r="AA189" s="252">
        <f t="shared" si="6"/>
        <v>0</v>
      </c>
      <c r="AB189" s="252">
        <f t="shared" si="6"/>
        <v>0</v>
      </c>
      <c r="AC189" s="252">
        <f t="shared" si="6"/>
        <v>0</v>
      </c>
      <c r="AD189" s="252">
        <f t="shared" si="6"/>
        <v>0</v>
      </c>
      <c r="AE189" s="252">
        <f t="shared" si="6"/>
        <v>0</v>
      </c>
      <c r="AF189" s="252">
        <f t="shared" si="6"/>
        <v>0</v>
      </c>
      <c r="AG189" s="252">
        <f t="shared" si="6"/>
        <v>0</v>
      </c>
      <c r="AH189" s="252">
        <f t="shared" si="6"/>
        <v>0</v>
      </c>
      <c r="AI189" s="252">
        <f t="shared" si="6"/>
        <v>0</v>
      </c>
      <c r="AJ189" s="252">
        <f t="shared" si="6"/>
        <v>0</v>
      </c>
      <c r="AK189" s="252">
        <f t="shared" si="6"/>
        <v>0</v>
      </c>
      <c r="AL189" s="252">
        <f t="shared" si="6"/>
        <v>0</v>
      </c>
      <c r="AM189" s="52"/>
    </row>
    <row r="190" spans="1:39" x14ac:dyDescent="0.2">
      <c r="A190" s="116" t="s">
        <v>178</v>
      </c>
      <c r="B190" s="249">
        <v>3392</v>
      </c>
      <c r="C190" s="249">
        <v>3519</v>
      </c>
      <c r="D190" s="249">
        <v>3633</v>
      </c>
      <c r="E190" s="249">
        <v>3861</v>
      </c>
      <c r="F190" s="249">
        <v>4114</v>
      </c>
      <c r="G190" s="249">
        <v>4273</v>
      </c>
      <c r="H190" s="249">
        <v>4435</v>
      </c>
      <c r="I190" s="249">
        <v>4596</v>
      </c>
      <c r="J190" s="249">
        <v>4758</v>
      </c>
      <c r="K190" s="249">
        <v>4918</v>
      </c>
      <c r="L190" s="249">
        <v>5081</v>
      </c>
      <c r="M190" s="249">
        <v>5243</v>
      </c>
      <c r="N190" s="249">
        <v>5405</v>
      </c>
      <c r="O190" s="249">
        <v>5566</v>
      </c>
      <c r="P190" s="249">
        <v>5732</v>
      </c>
      <c r="Q190" s="251"/>
      <c r="R190" s="251"/>
      <c r="S190" s="251"/>
      <c r="T190" s="251"/>
      <c r="U190" s="250"/>
      <c r="V190" s="117">
        <f t="shared" si="5"/>
        <v>15</v>
      </c>
    </row>
    <row r="191" spans="1:39" x14ac:dyDescent="0.2">
      <c r="A191" s="114" t="s">
        <v>13</v>
      </c>
      <c r="B191" s="250">
        <v>1218</v>
      </c>
      <c r="C191" s="253"/>
      <c r="D191" s="253"/>
      <c r="E191" s="253"/>
      <c r="F191" s="253"/>
      <c r="G191" s="253"/>
      <c r="H191" s="253"/>
      <c r="I191" s="253"/>
      <c r="J191" s="253"/>
      <c r="K191" s="253"/>
      <c r="L191" s="253"/>
      <c r="M191" s="253"/>
      <c r="N191" s="253"/>
      <c r="O191" s="253"/>
      <c r="P191" s="253"/>
      <c r="Q191" s="251"/>
      <c r="R191" s="254"/>
      <c r="S191" s="254"/>
      <c r="T191" s="254"/>
      <c r="U191" s="253"/>
      <c r="V191" s="117">
        <f t="shared" si="5"/>
        <v>1</v>
      </c>
    </row>
    <row r="192" spans="1:39" x14ac:dyDescent="0.2">
      <c r="A192" s="114" t="s">
        <v>14</v>
      </c>
      <c r="B192" s="250">
        <v>1262.5</v>
      </c>
      <c r="C192" s="253"/>
      <c r="D192" s="253"/>
      <c r="E192" s="253"/>
      <c r="F192" s="253"/>
      <c r="G192" s="253"/>
      <c r="H192" s="253"/>
      <c r="I192" s="253"/>
      <c r="J192" s="253"/>
      <c r="K192" s="253"/>
      <c r="L192" s="253"/>
      <c r="M192" s="253"/>
      <c r="N192" s="253"/>
      <c r="O192" s="253"/>
      <c r="P192" s="253"/>
      <c r="Q192" s="251"/>
      <c r="R192" s="254"/>
      <c r="S192" s="254"/>
      <c r="T192" s="254"/>
      <c r="U192" s="253"/>
      <c r="V192" s="117">
        <f t="shared" si="5"/>
        <v>1</v>
      </c>
    </row>
    <row r="193" spans="1:22" x14ac:dyDescent="0.2">
      <c r="A193" s="114" t="s">
        <v>51</v>
      </c>
      <c r="B193" s="249">
        <v>2888</v>
      </c>
      <c r="C193" s="249">
        <v>2999</v>
      </c>
      <c r="D193" s="249">
        <v>3113</v>
      </c>
      <c r="E193" s="249">
        <v>3223</v>
      </c>
      <c r="F193" s="249">
        <v>3334</v>
      </c>
      <c r="G193" s="249">
        <v>3447</v>
      </c>
      <c r="H193" s="249">
        <v>3559</v>
      </c>
      <c r="I193" s="249">
        <v>3671</v>
      </c>
      <c r="J193" s="249">
        <v>3781</v>
      </c>
      <c r="K193" s="249">
        <v>3893</v>
      </c>
      <c r="L193" s="249">
        <v>4007</v>
      </c>
      <c r="M193" s="249"/>
      <c r="N193" s="249"/>
      <c r="O193" s="249"/>
      <c r="P193" s="249"/>
      <c r="Q193" s="251"/>
      <c r="R193" s="251"/>
      <c r="S193" s="251"/>
      <c r="T193" s="251"/>
      <c r="U193" s="250"/>
      <c r="V193" s="117">
        <f t="shared" si="5"/>
        <v>11</v>
      </c>
    </row>
    <row r="194" spans="1:22" x14ac:dyDescent="0.2">
      <c r="A194" s="114" t="s">
        <v>47</v>
      </c>
      <c r="B194" s="249">
        <v>2999</v>
      </c>
      <c r="C194" s="249">
        <v>3223</v>
      </c>
      <c r="D194" s="249">
        <v>3447</v>
      </c>
      <c r="E194" s="249">
        <v>3559</v>
      </c>
      <c r="F194" s="249">
        <v>3671</v>
      </c>
      <c r="G194" s="249">
        <v>3781</v>
      </c>
      <c r="H194" s="249">
        <v>3893</v>
      </c>
      <c r="I194" s="249">
        <v>4007</v>
      </c>
      <c r="J194" s="249">
        <v>4118</v>
      </c>
      <c r="K194" s="249">
        <v>4231</v>
      </c>
      <c r="L194" s="249"/>
      <c r="M194" s="249"/>
      <c r="N194" s="249"/>
      <c r="O194" s="249"/>
      <c r="P194" s="249"/>
      <c r="Q194" s="251"/>
      <c r="R194" s="251"/>
      <c r="S194" s="251"/>
      <c r="T194" s="251"/>
      <c r="U194" s="250"/>
      <c r="V194" s="117">
        <f t="shared" si="5"/>
        <v>10</v>
      </c>
    </row>
    <row r="195" spans="1:22" x14ac:dyDescent="0.2">
      <c r="A195" s="114" t="s">
        <v>48</v>
      </c>
      <c r="B195" s="249">
        <v>2999</v>
      </c>
      <c r="C195" s="249">
        <v>3223</v>
      </c>
      <c r="D195" s="249">
        <v>3447</v>
      </c>
      <c r="E195" s="249">
        <v>3559</v>
      </c>
      <c r="F195" s="249">
        <v>3671</v>
      </c>
      <c r="G195" s="249">
        <v>3781</v>
      </c>
      <c r="H195" s="249">
        <v>3893</v>
      </c>
      <c r="I195" s="249">
        <v>4007</v>
      </c>
      <c r="J195" s="249">
        <v>4118</v>
      </c>
      <c r="K195" s="249">
        <v>4231</v>
      </c>
      <c r="L195" s="249">
        <v>4344</v>
      </c>
      <c r="M195" s="249"/>
      <c r="N195" s="249"/>
      <c r="O195" s="249"/>
      <c r="P195" s="249"/>
      <c r="Q195" s="251"/>
      <c r="R195" s="251"/>
      <c r="S195" s="251"/>
      <c r="T195" s="251"/>
      <c r="U195" s="250"/>
      <c r="V195" s="117">
        <f t="shared" si="5"/>
        <v>11</v>
      </c>
    </row>
    <row r="196" spans="1:22" x14ac:dyDescent="0.2">
      <c r="A196" s="114" t="s">
        <v>49</v>
      </c>
      <c r="B196" s="249">
        <v>3113</v>
      </c>
      <c r="C196" s="249">
        <v>3447</v>
      </c>
      <c r="D196" s="249">
        <v>3671</v>
      </c>
      <c r="E196" s="249">
        <v>3893</v>
      </c>
      <c r="F196" s="249">
        <v>4118</v>
      </c>
      <c r="G196" s="249">
        <v>4231</v>
      </c>
      <c r="H196" s="249">
        <v>4344</v>
      </c>
      <c r="I196" s="249">
        <v>4454</v>
      </c>
      <c r="J196" s="249">
        <v>4566</v>
      </c>
      <c r="K196" s="249">
        <v>4676</v>
      </c>
      <c r="L196" s="249">
        <v>4791</v>
      </c>
      <c r="M196" s="249">
        <v>4902</v>
      </c>
      <c r="N196" s="249">
        <v>5014</v>
      </c>
      <c r="O196" s="249"/>
      <c r="P196" s="249"/>
      <c r="Q196" s="251"/>
      <c r="R196" s="251"/>
      <c r="S196" s="251"/>
      <c r="T196" s="251"/>
      <c r="U196" s="250"/>
      <c r="V196" s="117">
        <f t="shared" si="5"/>
        <v>13</v>
      </c>
    </row>
    <row r="197" spans="1:22" x14ac:dyDescent="0.2">
      <c r="A197" s="114" t="s">
        <v>50</v>
      </c>
      <c r="B197" s="249">
        <v>3113</v>
      </c>
      <c r="C197" s="249">
        <v>3447</v>
      </c>
      <c r="D197" s="249">
        <v>3671</v>
      </c>
      <c r="E197" s="249">
        <v>3893</v>
      </c>
      <c r="F197" s="249">
        <v>4118</v>
      </c>
      <c r="G197" s="249">
        <v>4231</v>
      </c>
      <c r="H197" s="249">
        <v>4344</v>
      </c>
      <c r="I197" s="249">
        <v>4454</v>
      </c>
      <c r="J197" s="249">
        <v>4566</v>
      </c>
      <c r="K197" s="249">
        <v>4676</v>
      </c>
      <c r="L197" s="249">
        <v>4791</v>
      </c>
      <c r="M197" s="249">
        <v>4902</v>
      </c>
      <c r="N197" s="249">
        <v>5014</v>
      </c>
      <c r="O197" s="249">
        <v>5124</v>
      </c>
      <c r="P197" s="249">
        <v>5236</v>
      </c>
      <c r="Q197" s="251"/>
      <c r="R197" s="251"/>
      <c r="S197" s="251"/>
      <c r="T197" s="251"/>
      <c r="U197" s="250"/>
      <c r="V197" s="117">
        <f t="shared" si="5"/>
        <v>15</v>
      </c>
    </row>
    <row r="198" spans="1:22" x14ac:dyDescent="0.2">
      <c r="A198" s="114">
        <v>1</v>
      </c>
      <c r="B198" s="250">
        <v>1635.6</v>
      </c>
      <c r="C198" s="250">
        <v>1635.6</v>
      </c>
      <c r="D198" s="249">
        <v>1677</v>
      </c>
      <c r="E198" s="249">
        <v>1707</v>
      </c>
      <c r="F198" s="249">
        <v>1742</v>
      </c>
      <c r="G198" s="249">
        <v>1778</v>
      </c>
      <c r="H198" s="249">
        <v>1825</v>
      </c>
      <c r="I198" s="249"/>
      <c r="J198" s="249"/>
      <c r="K198" s="249"/>
      <c r="L198" s="249"/>
      <c r="M198" s="249"/>
      <c r="N198" s="249"/>
      <c r="O198" s="249"/>
      <c r="P198" s="249"/>
      <c r="Q198" s="249"/>
      <c r="R198" s="249"/>
      <c r="S198" s="249"/>
      <c r="T198" s="251"/>
      <c r="U198" s="250"/>
      <c r="V198" s="117">
        <f t="shared" si="5"/>
        <v>7</v>
      </c>
    </row>
    <row r="199" spans="1:22" x14ac:dyDescent="0.2">
      <c r="A199" s="114">
        <v>2</v>
      </c>
      <c r="B199" s="250">
        <v>1635.6</v>
      </c>
      <c r="C199" s="249">
        <v>1644</v>
      </c>
      <c r="D199" s="249">
        <v>1707</v>
      </c>
      <c r="E199" s="249">
        <v>1778</v>
      </c>
      <c r="F199" s="249">
        <v>1825</v>
      </c>
      <c r="G199" s="249">
        <v>1878</v>
      </c>
      <c r="H199" s="249">
        <v>1944</v>
      </c>
      <c r="I199" s="249">
        <v>2006</v>
      </c>
      <c r="J199" s="249"/>
      <c r="K199" s="249"/>
      <c r="L199" s="249"/>
      <c r="M199" s="249"/>
      <c r="N199" s="249"/>
      <c r="O199" s="249"/>
      <c r="P199" s="249"/>
      <c r="Q199" s="249"/>
      <c r="R199" s="249"/>
      <c r="S199" s="249"/>
      <c r="T199" s="251"/>
      <c r="U199" s="250"/>
      <c r="V199" s="117">
        <f t="shared" si="5"/>
        <v>8</v>
      </c>
    </row>
    <row r="200" spans="1:22" x14ac:dyDescent="0.2">
      <c r="A200" s="114">
        <v>3</v>
      </c>
      <c r="B200" s="250">
        <v>1635.6</v>
      </c>
      <c r="C200" s="249">
        <v>1707</v>
      </c>
      <c r="D200" s="249">
        <v>1778</v>
      </c>
      <c r="E200" s="249">
        <v>1878</v>
      </c>
      <c r="F200" s="249">
        <v>1944</v>
      </c>
      <c r="G200" s="249">
        <v>2006</v>
      </c>
      <c r="H200" s="249">
        <v>2067</v>
      </c>
      <c r="I200" s="249">
        <v>2126</v>
      </c>
      <c r="J200" s="249">
        <v>2185</v>
      </c>
      <c r="K200" s="249"/>
      <c r="L200" s="249"/>
      <c r="M200" s="249"/>
      <c r="N200" s="249"/>
      <c r="O200" s="249"/>
      <c r="P200" s="249"/>
      <c r="Q200" s="249"/>
      <c r="R200" s="249"/>
      <c r="S200" s="249"/>
      <c r="T200" s="251"/>
      <c r="U200" s="250"/>
      <c r="V200" s="117">
        <f t="shared" si="5"/>
        <v>9</v>
      </c>
    </row>
    <row r="201" spans="1:22" x14ac:dyDescent="0.2">
      <c r="A201" s="114">
        <v>4</v>
      </c>
      <c r="B201" s="250">
        <v>1635.6</v>
      </c>
      <c r="C201" s="249">
        <v>1677</v>
      </c>
      <c r="D201" s="249">
        <v>1742</v>
      </c>
      <c r="E201" s="249">
        <v>1825</v>
      </c>
      <c r="F201" s="249">
        <v>1944</v>
      </c>
      <c r="G201" s="249">
        <v>2006</v>
      </c>
      <c r="H201" s="249">
        <v>2067</v>
      </c>
      <c r="I201" s="249">
        <v>2126</v>
      </c>
      <c r="J201" s="249">
        <v>2185</v>
      </c>
      <c r="K201" s="249">
        <v>2241</v>
      </c>
      <c r="L201" s="249">
        <v>2298</v>
      </c>
      <c r="M201" s="249"/>
      <c r="N201" s="249"/>
      <c r="O201" s="249"/>
      <c r="P201" s="249"/>
      <c r="Q201" s="249"/>
      <c r="R201" s="249"/>
      <c r="S201" s="249"/>
      <c r="T201" s="251"/>
      <c r="U201" s="250"/>
      <c r="V201" s="117">
        <f t="shared" si="5"/>
        <v>11</v>
      </c>
    </row>
    <row r="202" spans="1:22" x14ac:dyDescent="0.2">
      <c r="A202" s="114">
        <v>5</v>
      </c>
      <c r="B202" s="249">
        <v>1644</v>
      </c>
      <c r="C202" s="249">
        <v>1677</v>
      </c>
      <c r="D202" s="249">
        <v>1778</v>
      </c>
      <c r="E202" s="249">
        <v>1878</v>
      </c>
      <c r="F202" s="249">
        <v>2006</v>
      </c>
      <c r="G202" s="249">
        <v>2067</v>
      </c>
      <c r="H202" s="249">
        <v>2126</v>
      </c>
      <c r="I202" s="249">
        <v>2185</v>
      </c>
      <c r="J202" s="249">
        <v>2241</v>
      </c>
      <c r="K202" s="249">
        <v>2298</v>
      </c>
      <c r="L202" s="249">
        <v>2353</v>
      </c>
      <c r="M202" s="249">
        <v>2416</v>
      </c>
      <c r="N202" s="249"/>
      <c r="O202" s="249"/>
      <c r="P202" s="249"/>
      <c r="Q202" s="249"/>
      <c r="R202" s="249"/>
      <c r="S202" s="249"/>
      <c r="T202" s="251"/>
      <c r="U202" s="250"/>
      <c r="V202" s="117">
        <f t="shared" si="5"/>
        <v>12</v>
      </c>
    </row>
    <row r="203" spans="1:22" x14ac:dyDescent="0.2">
      <c r="A203" s="114">
        <v>6</v>
      </c>
      <c r="B203" s="249">
        <v>1707</v>
      </c>
      <c r="C203" s="249">
        <v>1778</v>
      </c>
      <c r="D203" s="249">
        <v>2006</v>
      </c>
      <c r="E203" s="249">
        <v>2126</v>
      </c>
      <c r="F203" s="249">
        <v>2185</v>
      </c>
      <c r="G203" s="249">
        <v>2241</v>
      </c>
      <c r="H203" s="249">
        <v>2298</v>
      </c>
      <c r="I203" s="249">
        <v>2353</v>
      </c>
      <c r="J203" s="249">
        <v>2416</v>
      </c>
      <c r="K203" s="249">
        <v>2475</v>
      </c>
      <c r="L203" s="249">
        <v>2531</v>
      </c>
      <c r="M203" s="249"/>
      <c r="N203" s="249"/>
      <c r="O203" s="249"/>
      <c r="P203" s="249"/>
      <c r="Q203" s="249"/>
      <c r="R203" s="249"/>
      <c r="S203" s="249"/>
      <c r="T203" s="251"/>
      <c r="U203" s="250"/>
      <c r="V203" s="117">
        <f t="shared" si="5"/>
        <v>11</v>
      </c>
    </row>
    <row r="204" spans="1:22" x14ac:dyDescent="0.2">
      <c r="A204" s="114">
        <v>7</v>
      </c>
      <c r="B204" s="249">
        <v>1825</v>
      </c>
      <c r="C204" s="249">
        <v>1878</v>
      </c>
      <c r="D204" s="249">
        <v>2006</v>
      </c>
      <c r="E204" s="249">
        <v>2241</v>
      </c>
      <c r="F204" s="249">
        <v>2353</v>
      </c>
      <c r="G204" s="249">
        <v>2416</v>
      </c>
      <c r="H204" s="249">
        <v>2475</v>
      </c>
      <c r="I204" s="249">
        <v>2531</v>
      </c>
      <c r="J204" s="249">
        <v>2590</v>
      </c>
      <c r="K204" s="249">
        <v>2653</v>
      </c>
      <c r="L204" s="249">
        <v>2719</v>
      </c>
      <c r="M204" s="249">
        <v>2791</v>
      </c>
      <c r="N204" s="249"/>
      <c r="O204" s="249"/>
      <c r="P204" s="249"/>
      <c r="Q204" s="249"/>
      <c r="R204" s="249"/>
      <c r="S204" s="249"/>
      <c r="T204" s="251"/>
      <c r="U204" s="250"/>
      <c r="V204" s="117">
        <f t="shared" si="5"/>
        <v>12</v>
      </c>
    </row>
    <row r="205" spans="1:22" x14ac:dyDescent="0.2">
      <c r="A205" s="114">
        <v>8</v>
      </c>
      <c r="B205" s="249">
        <v>2067</v>
      </c>
      <c r="C205" s="249">
        <v>2126</v>
      </c>
      <c r="D205" s="249">
        <v>2241</v>
      </c>
      <c r="E205" s="249">
        <v>2475</v>
      </c>
      <c r="F205" s="249">
        <v>2590</v>
      </c>
      <c r="G205" s="249">
        <v>2719</v>
      </c>
      <c r="H205" s="249">
        <v>2791</v>
      </c>
      <c r="I205" s="249">
        <v>2857</v>
      </c>
      <c r="J205" s="249">
        <v>2916</v>
      </c>
      <c r="K205" s="249">
        <v>2979</v>
      </c>
      <c r="L205" s="249">
        <v>3043</v>
      </c>
      <c r="M205" s="249">
        <v>3102</v>
      </c>
      <c r="N205" s="249">
        <v>3157</v>
      </c>
      <c r="O205" s="249"/>
      <c r="P205" s="249"/>
      <c r="Q205" s="249"/>
      <c r="R205" s="249"/>
      <c r="S205" s="249"/>
      <c r="T205" s="251"/>
      <c r="U205" s="250"/>
      <c r="V205" s="117">
        <f t="shared" si="5"/>
        <v>13</v>
      </c>
    </row>
    <row r="206" spans="1:22" x14ac:dyDescent="0.2">
      <c r="A206" s="114">
        <v>9</v>
      </c>
      <c r="B206" s="249">
        <v>2394</v>
      </c>
      <c r="C206" s="249">
        <v>2516</v>
      </c>
      <c r="D206" s="249">
        <v>2762</v>
      </c>
      <c r="E206" s="249">
        <v>2903</v>
      </c>
      <c r="F206" s="249">
        <v>3025</v>
      </c>
      <c r="G206" s="249">
        <v>3149</v>
      </c>
      <c r="H206" s="249">
        <v>3266</v>
      </c>
      <c r="I206" s="249">
        <v>3383</v>
      </c>
      <c r="J206" s="249">
        <v>3510</v>
      </c>
      <c r="K206" s="249">
        <v>3622</v>
      </c>
      <c r="L206" s="249"/>
      <c r="M206" s="249"/>
      <c r="N206" s="249"/>
      <c r="O206" s="249"/>
      <c r="P206" s="249"/>
      <c r="Q206" s="249"/>
      <c r="R206" s="249"/>
      <c r="S206" s="249"/>
      <c r="T206" s="251"/>
      <c r="U206" s="250"/>
      <c r="V206" s="117">
        <f t="shared" si="5"/>
        <v>10</v>
      </c>
    </row>
    <row r="207" spans="1:22" x14ac:dyDescent="0.2">
      <c r="A207" s="114">
        <v>10</v>
      </c>
      <c r="B207" s="249">
        <v>2377</v>
      </c>
      <c r="C207" s="249">
        <v>2616</v>
      </c>
      <c r="D207" s="249">
        <v>2745</v>
      </c>
      <c r="E207" s="249">
        <v>2886</v>
      </c>
      <c r="F207" s="249">
        <v>3008</v>
      </c>
      <c r="G207" s="249">
        <v>3232</v>
      </c>
      <c r="H207" s="249">
        <v>3249</v>
      </c>
      <c r="I207" s="249">
        <v>3365</v>
      </c>
      <c r="J207" s="249">
        <v>3493</v>
      </c>
      <c r="K207" s="249">
        <v>3604</v>
      </c>
      <c r="L207" s="249">
        <v>3721</v>
      </c>
      <c r="M207" s="249">
        <v>3833</v>
      </c>
      <c r="N207" s="249">
        <v>3961</v>
      </c>
      <c r="O207" s="249"/>
      <c r="P207" s="249"/>
      <c r="Q207" s="249"/>
      <c r="R207" s="249"/>
      <c r="S207" s="249"/>
      <c r="T207" s="251"/>
      <c r="U207" s="250"/>
      <c r="V207" s="117">
        <f t="shared" si="5"/>
        <v>13</v>
      </c>
    </row>
    <row r="208" spans="1:22" x14ac:dyDescent="0.2">
      <c r="A208" s="114">
        <v>11</v>
      </c>
      <c r="B208" s="249">
        <v>2499</v>
      </c>
      <c r="C208" s="249">
        <v>2616</v>
      </c>
      <c r="D208" s="249">
        <v>2745</v>
      </c>
      <c r="E208" s="249">
        <v>2886</v>
      </c>
      <c r="F208" s="249">
        <v>3008</v>
      </c>
      <c r="G208" s="249">
        <v>3132</v>
      </c>
      <c r="H208" s="249">
        <v>3249</v>
      </c>
      <c r="I208" s="249">
        <v>3493</v>
      </c>
      <c r="J208" s="249">
        <v>3604</v>
      </c>
      <c r="K208" s="249">
        <v>3721</v>
      </c>
      <c r="L208" s="249">
        <v>3833</v>
      </c>
      <c r="M208" s="249">
        <v>3961</v>
      </c>
      <c r="N208" s="249">
        <v>4086</v>
      </c>
      <c r="O208" s="249">
        <v>4209</v>
      </c>
      <c r="P208" s="249">
        <v>4326</v>
      </c>
      <c r="Q208" s="249">
        <v>4446</v>
      </c>
      <c r="R208" s="249">
        <v>4559</v>
      </c>
      <c r="S208" s="249">
        <v>4621</v>
      </c>
      <c r="T208" s="251"/>
      <c r="U208" s="250"/>
      <c r="V208" s="117">
        <f t="shared" si="5"/>
        <v>18</v>
      </c>
    </row>
    <row r="209" spans="1:22" x14ac:dyDescent="0.2">
      <c r="A209" s="114">
        <v>12</v>
      </c>
      <c r="B209" s="249">
        <v>3365</v>
      </c>
      <c r="C209" s="249">
        <v>3493</v>
      </c>
      <c r="D209" s="249">
        <v>3604</v>
      </c>
      <c r="E209" s="249">
        <v>3721</v>
      </c>
      <c r="F209" s="249">
        <v>3833</v>
      </c>
      <c r="G209" s="249">
        <v>3961</v>
      </c>
      <c r="H209" s="249">
        <v>4209</v>
      </c>
      <c r="I209" s="249">
        <v>4326</v>
      </c>
      <c r="J209" s="249">
        <v>4446</v>
      </c>
      <c r="K209" s="249">
        <v>4559</v>
      </c>
      <c r="L209" s="249">
        <v>4682</v>
      </c>
      <c r="M209" s="249">
        <v>4802</v>
      </c>
      <c r="N209" s="249">
        <v>4916</v>
      </c>
      <c r="O209" s="249">
        <v>5036</v>
      </c>
      <c r="P209" s="249">
        <v>5183</v>
      </c>
      <c r="Q209" s="249">
        <v>5258</v>
      </c>
      <c r="R209" s="249"/>
      <c r="S209" s="249"/>
      <c r="T209" s="251"/>
      <c r="U209" s="250"/>
      <c r="V209" s="117">
        <f t="shared" si="5"/>
        <v>16</v>
      </c>
    </row>
    <row r="210" spans="1:22" x14ac:dyDescent="0.2">
      <c r="A210" s="114">
        <v>13</v>
      </c>
      <c r="B210" s="249">
        <v>4086</v>
      </c>
      <c r="C210" s="249">
        <v>4209</v>
      </c>
      <c r="D210" s="249">
        <v>4326</v>
      </c>
      <c r="E210" s="249">
        <v>4446</v>
      </c>
      <c r="F210" s="249">
        <v>4559</v>
      </c>
      <c r="G210" s="249">
        <v>4802</v>
      </c>
      <c r="H210" s="249">
        <v>4916</v>
      </c>
      <c r="I210" s="249">
        <v>5036</v>
      </c>
      <c r="J210" s="249">
        <v>5183</v>
      </c>
      <c r="K210" s="249">
        <v>5332</v>
      </c>
      <c r="L210" s="249">
        <v>5481</v>
      </c>
      <c r="M210" s="249">
        <v>5629</v>
      </c>
      <c r="N210" s="249">
        <v>5702</v>
      </c>
      <c r="O210" s="249"/>
      <c r="P210" s="249"/>
      <c r="Q210" s="249"/>
      <c r="R210" s="249"/>
      <c r="S210" s="249"/>
      <c r="T210" s="251"/>
      <c r="U210" s="250"/>
      <c r="V210" s="117">
        <f t="shared" si="5"/>
        <v>13</v>
      </c>
    </row>
    <row r="211" spans="1:22" x14ac:dyDescent="0.2">
      <c r="A211" s="114">
        <v>14</v>
      </c>
      <c r="B211" s="249">
        <v>4682</v>
      </c>
      <c r="C211" s="249">
        <v>4802</v>
      </c>
      <c r="D211" s="249">
        <v>5036</v>
      </c>
      <c r="E211" s="249">
        <v>5183</v>
      </c>
      <c r="F211" s="249">
        <v>5332</v>
      </c>
      <c r="G211" s="249">
        <v>5481</v>
      </c>
      <c r="H211" s="249">
        <v>5629</v>
      </c>
      <c r="I211" s="249">
        <v>5779</v>
      </c>
      <c r="J211" s="249">
        <v>5938</v>
      </c>
      <c r="K211" s="249">
        <v>6097</v>
      </c>
      <c r="L211" s="249">
        <v>6264</v>
      </c>
      <c r="M211" s="249"/>
      <c r="N211" s="249"/>
      <c r="O211" s="249"/>
      <c r="P211" s="249"/>
      <c r="Q211" s="249"/>
      <c r="R211" s="249"/>
      <c r="S211" s="249"/>
      <c r="T211" s="251"/>
      <c r="U211" s="250"/>
      <c r="V211" s="117">
        <f t="shared" si="5"/>
        <v>11</v>
      </c>
    </row>
    <row r="212" spans="1:22" x14ac:dyDescent="0.2">
      <c r="A212" s="114">
        <v>15</v>
      </c>
      <c r="B212" s="249">
        <v>4916</v>
      </c>
      <c r="C212" s="249">
        <v>5036</v>
      </c>
      <c r="D212" s="249">
        <v>5183</v>
      </c>
      <c r="E212" s="249">
        <v>5481</v>
      </c>
      <c r="F212" s="249">
        <v>5629</v>
      </c>
      <c r="G212" s="249">
        <v>5779</v>
      </c>
      <c r="H212" s="249">
        <v>5938</v>
      </c>
      <c r="I212" s="249">
        <v>6097</v>
      </c>
      <c r="J212" s="249">
        <v>6264</v>
      </c>
      <c r="K212" s="249">
        <v>6463</v>
      </c>
      <c r="L212" s="249">
        <v>6671</v>
      </c>
      <c r="M212" s="249">
        <v>6883</v>
      </c>
      <c r="N212" s="249"/>
      <c r="O212" s="249"/>
      <c r="P212" s="249"/>
      <c r="Q212" s="249"/>
      <c r="R212" s="249"/>
      <c r="S212" s="249"/>
      <c r="T212" s="255"/>
      <c r="U212" s="256"/>
      <c r="V212" s="117">
        <f t="shared" si="5"/>
        <v>12</v>
      </c>
    </row>
    <row r="213" spans="1:22" x14ac:dyDescent="0.2">
      <c r="A213" s="114">
        <v>16</v>
      </c>
      <c r="B213" s="249">
        <v>5332</v>
      </c>
      <c r="C213" s="249">
        <v>5481</v>
      </c>
      <c r="D213" s="249">
        <v>5629</v>
      </c>
      <c r="E213" s="249">
        <v>5938</v>
      </c>
      <c r="F213" s="249">
        <v>6097</v>
      </c>
      <c r="G213" s="249">
        <v>6264</v>
      </c>
      <c r="H213" s="249">
        <v>6463</v>
      </c>
      <c r="I213" s="249">
        <v>6671</v>
      </c>
      <c r="J213" s="249">
        <v>6883</v>
      </c>
      <c r="K213" s="249">
        <v>7104</v>
      </c>
      <c r="L213" s="249">
        <v>7327</v>
      </c>
      <c r="M213" s="249">
        <v>7561</v>
      </c>
      <c r="N213" s="249"/>
      <c r="O213" s="249"/>
      <c r="P213" s="249"/>
      <c r="Q213" s="249"/>
      <c r="R213" s="249"/>
      <c r="S213" s="249"/>
      <c r="T213" s="255"/>
      <c r="U213" s="256"/>
      <c r="V213" s="117">
        <f t="shared" si="5"/>
        <v>12</v>
      </c>
    </row>
  </sheetData>
  <sheetProtection algorithmName="SHA-512" hashValue="cNPboqkzCPyEtQl+VJPRShvq2rCEptUEt4IrEvOWsznOFLLAEVERfXN+wrdb6ir/1LZivZrBrqGQRKPk6mEVZw==" saltValue="2J5fZuBnN0MtBPLGpZqurQ==" spinCount="100000" sheet="1" objects="1" scenarios="1"/>
  <mergeCells count="3">
    <mergeCell ref="B80:C80"/>
    <mergeCell ref="B125:C125"/>
    <mergeCell ref="B170:C170"/>
  </mergeCells>
  <phoneticPr fontId="0" type="noConversion"/>
  <hyperlinks>
    <hyperlink ref="J6" r:id="rId1"/>
    <hyperlink ref="J9" r:id="rId2"/>
    <hyperlink ref="J10" r:id="rId3"/>
    <hyperlink ref="J11" r:id="rId4"/>
    <hyperlink ref="J12" r:id="rId5"/>
    <hyperlink ref="J13" r:id="rId6"/>
    <hyperlink ref="J17" r:id="rId7"/>
    <hyperlink ref="J25" r:id="rId8"/>
    <hyperlink ref="F65" r:id="rId9"/>
  </hyperlinks>
  <printOptions gridLines="1"/>
  <pageMargins left="0.74803149606299213" right="0.74803149606299213" top="0.98425196850393704" bottom="0.98425196850393704" header="0.51181102362204722" footer="0.51181102362204722"/>
  <pageSetup paperSize="9" scale="54" orientation="portrait" r:id="rId10"/>
  <headerFooter alignWithMargins="0">
    <oddHeader>&amp;L&amp;"Arial,Vet"&amp;A&amp;R&amp;"Arial,Vet"&amp;F</oddHeader>
    <oddFooter>&amp;L&amp;"Arial,Vet"&amp;8PO-Raad&amp;R&amp;"Arial,Vet"&amp;P</oddFooter>
  </headerFooter>
  <legacy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30"/>
  <sheetViews>
    <sheetView workbookViewId="0">
      <selection activeCell="B32" sqref="B32"/>
    </sheetView>
  </sheetViews>
  <sheetFormatPr defaultRowHeight="12.75" x14ac:dyDescent="0.2"/>
  <cols>
    <col min="2" max="2" width="18.42578125" customWidth="1"/>
  </cols>
  <sheetData>
    <row r="3" spans="2:2" ht="15" x14ac:dyDescent="0.2">
      <c r="B3" s="390" t="s">
        <v>334</v>
      </c>
    </row>
    <row r="4" spans="2:2" ht="15" x14ac:dyDescent="0.2">
      <c r="B4" s="391" t="s">
        <v>341</v>
      </c>
    </row>
    <row r="5" spans="2:2" ht="15" x14ac:dyDescent="0.2">
      <c r="B5" s="391" t="s">
        <v>342</v>
      </c>
    </row>
    <row r="6" spans="2:2" x14ac:dyDescent="0.2">
      <c r="B6" s="394" t="s">
        <v>343</v>
      </c>
    </row>
    <row r="7" spans="2:2" s="394" customFormat="1" x14ac:dyDescent="0.2">
      <c r="B7" s="395" t="s">
        <v>344</v>
      </c>
    </row>
    <row r="8" spans="2:2" s="394" customFormat="1" x14ac:dyDescent="0.2">
      <c r="B8" s="395" t="s">
        <v>345</v>
      </c>
    </row>
    <row r="9" spans="2:2" s="394" customFormat="1" x14ac:dyDescent="0.2">
      <c r="B9" s="395"/>
    </row>
    <row r="10" spans="2:2" ht="15" x14ac:dyDescent="0.2">
      <c r="B10" s="390" t="s">
        <v>335</v>
      </c>
    </row>
    <row r="11" spans="2:2" ht="15" x14ac:dyDescent="0.2">
      <c r="B11" s="391" t="s">
        <v>317</v>
      </c>
    </row>
    <row r="12" spans="2:2" ht="15" x14ac:dyDescent="0.2">
      <c r="B12" s="391" t="s">
        <v>346</v>
      </c>
    </row>
    <row r="13" spans="2:2" ht="15" x14ac:dyDescent="0.2">
      <c r="B13" s="391" t="s">
        <v>347</v>
      </c>
    </row>
    <row r="14" spans="2:2" ht="15" x14ac:dyDescent="0.2">
      <c r="B14" s="391" t="s">
        <v>336</v>
      </c>
    </row>
    <row r="15" spans="2:2" ht="15" x14ac:dyDescent="0.2">
      <c r="B15" s="391" t="s">
        <v>337</v>
      </c>
    </row>
    <row r="16" spans="2:2" ht="15" x14ac:dyDescent="0.2">
      <c r="B16" s="391" t="s">
        <v>348</v>
      </c>
    </row>
    <row r="17" spans="2:2" ht="15" x14ac:dyDescent="0.2">
      <c r="B17" s="391" t="s">
        <v>349</v>
      </c>
    </row>
    <row r="18" spans="2:2" ht="15" x14ac:dyDescent="0.2">
      <c r="B18" s="391" t="s">
        <v>338</v>
      </c>
    </row>
    <row r="19" spans="2:2" ht="15" x14ac:dyDescent="0.2">
      <c r="B19" s="391" t="s">
        <v>339</v>
      </c>
    </row>
    <row r="20" spans="2:2" ht="15" x14ac:dyDescent="0.2">
      <c r="B20" s="391" t="s">
        <v>340</v>
      </c>
    </row>
    <row r="21" spans="2:2" ht="15" x14ac:dyDescent="0.2">
      <c r="B21" s="391"/>
    </row>
    <row r="22" spans="2:2" ht="17.25" x14ac:dyDescent="0.2">
      <c r="B22" s="393" t="s">
        <v>350</v>
      </c>
    </row>
    <row r="23" spans="2:2" x14ac:dyDescent="0.2">
      <c r="B23" s="396" t="s">
        <v>328</v>
      </c>
    </row>
    <row r="24" spans="2:2" x14ac:dyDescent="0.2">
      <c r="B24" s="396" t="s">
        <v>351</v>
      </c>
    </row>
    <row r="25" spans="2:2" x14ac:dyDescent="0.2">
      <c r="B25" s="396" t="s">
        <v>352</v>
      </c>
    </row>
    <row r="26" spans="2:2" x14ac:dyDescent="0.2">
      <c r="B26" s="396"/>
    </row>
    <row r="27" spans="2:2" ht="15" x14ac:dyDescent="0.25">
      <c r="B27" s="392" t="s">
        <v>353</v>
      </c>
    </row>
    <row r="28" spans="2:2" x14ac:dyDescent="0.2">
      <c r="B28" s="394" t="s">
        <v>354</v>
      </c>
    </row>
    <row r="29" spans="2:2" x14ac:dyDescent="0.2">
      <c r="B29" s="394" t="s">
        <v>355</v>
      </c>
    </row>
    <row r="30" spans="2:2" x14ac:dyDescent="0.2">
      <c r="B30" s="394" t="s">
        <v>356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G 6 I u T m z p z s u m A A A A + A A A A B I A H A B D b 2 5 m a W c v U G F j a 2 F n Z S 5 4 b W w g o h g A K K A U A A A A A A A A A A A A A A A A A A A A A A A A A A A A h Y + 9 D o I w G E V f h X S n P x A M I R 9 l c A V j Y m J c m 1 q h E Y q h x f J u D j 6 S r y C J o m 6 O 9 + Q M 5 z 5 u d y i m r g 2 u a r C 6 N z l i m K J A G d k f t a l z N L p T m K K C w 1 b I s 6 h V M M v G Z p M 9 5 q h x 7 p I R 4 r 3 H P s b 9 U J O I U k Y O V b m T j e o E + s j 6 v x x q Y 5 0 w U i E O + 1 c M j / A q w U n M Y s x S B m T B U G n z V a K 5 G F M g P x D W Y + v G Q X H T h p s S y D K B v F / w J 1 B L A w Q U A A I A C A A b o i 5 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6 I u T i i K R 7 g O A A A A E Q A A A B M A H A B G b 3 J t d W x h c y 9 T Z W N 0 a W 9 u M S 5 t I K I Y A C i g F A A A A A A A A A A A A A A A A A A A A A A A A A A A A C t O T S 7 J z M 9 T C I b Q h t Y A U E s B A i 0 A F A A C A A g A G 6 I u T m z p z s u m A A A A + A A A A B I A A A A A A A A A A A A A A A A A A A A A A E N v b m Z p Z y 9 Q Y W N r Y W d l L n h t b F B L A Q I t A B Q A A g A I A B u i L k 4 P y u m r p A A A A O k A A A A T A A A A A A A A A A A A A A A A A P I A A A B b Q 2 9 u d G V u d F 9 U e X B l c 1 0 u e G 1 s U E s B A i 0 A F A A C A A g A G 6 I u 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f Y m T 6 e e q V O k d g V E v U i v n s A A A A A A g A A A A A A A 2 Y A A M A A A A A Q A A A A + g Q + M W J L 4 U i E y g 1 5 O + A L u g A A A A A E g A A A o A A A A B A A A A D B j l c b n z 5 b 1 k B T C 3 b W 7 m V i U A A A A J 5 e J / 9 C n a 5 O X V 9 L Y 4 q P 5 H f U 4 u c k C d H s u F J t 5 Q 9 C o t h A m h O R L c h v M 9 h G G i M n x U 2 M H u p i f X 5 q / Z m 9 + Q v 0 K i 7 7 z s 5 M X T f t m I Y e T v E x A l / I + 6 P o F A A A A F 0 l K I e X o j j a s S G J t M a n 6 a n C 6 W 0 Q < / D a t a M a s h u p > 
</file>

<file path=customXml/itemProps1.xml><?xml version="1.0" encoding="utf-8"?>
<ds:datastoreItem xmlns:ds="http://schemas.openxmlformats.org/officeDocument/2006/customXml" ds:itemID="{E57E7D4B-8705-4861-AC96-7A04EC5B98F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15</vt:i4>
      </vt:variant>
    </vt:vector>
  </HeadingPairs>
  <TitlesOfParts>
    <vt:vector size="21" baseType="lpstr">
      <vt:lpstr>toel</vt:lpstr>
      <vt:lpstr>wgl</vt:lpstr>
      <vt:lpstr>Blad1</vt:lpstr>
      <vt:lpstr>wgl tot</vt:lpstr>
      <vt:lpstr>tabellen</vt:lpstr>
      <vt:lpstr>Blad2</vt:lpstr>
      <vt:lpstr>Blad2!_ftnref1</vt:lpstr>
      <vt:lpstr>tabellen!Afdrukbereik</vt:lpstr>
      <vt:lpstr>toel!Afdrukbereik</vt:lpstr>
      <vt:lpstr>wgl!Afdrukbereik</vt:lpstr>
      <vt:lpstr>'wgl tot'!Afdrukbereik</vt:lpstr>
      <vt:lpstr>Afdrukbereik</vt:lpstr>
      <vt:lpstr>arbeidskorting</vt:lpstr>
      <vt:lpstr>toel!d17e101</vt:lpstr>
      <vt:lpstr>eindejaarsuitkering_OOP</vt:lpstr>
      <vt:lpstr>premie_Vervaningsfonds__Vf</vt:lpstr>
      <vt:lpstr>premies</vt:lpstr>
      <vt:lpstr>saltab2018sept</vt:lpstr>
      <vt:lpstr>saltab2019</vt:lpstr>
      <vt:lpstr>saltab2020</vt:lpstr>
      <vt:lpstr>uitlooptoeslag</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Personele kosten onder LS PO</dc:title>
  <dc:creator>Keizer</dc:creator>
  <cp:lastModifiedBy>B Keizer</cp:lastModifiedBy>
  <cp:lastPrinted>2019-03-14T12:11:16Z</cp:lastPrinted>
  <dcterms:created xsi:type="dcterms:W3CDTF">2002-04-23T20:54:25Z</dcterms:created>
  <dcterms:modified xsi:type="dcterms:W3CDTF">2019-09-14T15:51:52Z</dcterms:modified>
</cp:coreProperties>
</file>