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B. Keizer\Documents\Instrumenten\toolbox 2016\sbo\"/>
    </mc:Choice>
  </mc:AlternateContent>
  <bookViews>
    <workbookView xWindow="0" yWindow="0" windowWidth="19200" windowHeight="13725" tabRatio="686" activeTab="1"/>
  </bookViews>
  <sheets>
    <sheet name="toelichting" sheetId="19" r:id="rId1"/>
    <sheet name="bekostiging materieel" sheetId="2" r:id="rId2"/>
    <sheet name="tab" sheetId="17" r:id="rId3"/>
    <sheet name="Module1" sheetId="18" state="veryHidden" r:id="rId4"/>
  </sheets>
  <definedNames>
    <definedName name="_xlnm.Print_Area" localSheetId="1">'bekostiging materieel'!$B$2:$R$60</definedName>
    <definedName name="_xlnm.Print_Area" localSheetId="2">tab!$A$1:$R$73</definedName>
    <definedName name="_xlnm.Print_Area" localSheetId="0">toelichting!$A$2:$M$51</definedName>
    <definedName name="groepenleerlingennu">tab!$D$59:$D$108</definedName>
    <definedName name="vloeroppervlaknu">tab!$E$59:$E$108</definedName>
  </definedNames>
  <calcPr calcId="152511"/>
</workbook>
</file>

<file path=xl/calcChain.xml><?xml version="1.0" encoding="utf-8"?>
<calcChain xmlns="http://schemas.openxmlformats.org/spreadsheetml/2006/main">
  <c r="D34" i="17" l="1"/>
  <c r="O50" i="2" l="1"/>
  <c r="G44" i="2" l="1"/>
  <c r="G41" i="2"/>
  <c r="G18" i="2"/>
  <c r="G17" i="2"/>
  <c r="G16" i="2"/>
  <c r="G10" i="2" l="1"/>
  <c r="C4" i="2" l="1"/>
  <c r="C5" i="2" l="1"/>
  <c r="G25" i="2"/>
  <c r="G32" i="2" s="1"/>
  <c r="F46" i="2"/>
  <c r="F40" i="2"/>
  <c r="F42" i="2" s="1"/>
  <c r="F47" i="2" s="1"/>
  <c r="F48" i="2"/>
  <c r="G48" i="2" s="1"/>
  <c r="G26" i="2"/>
  <c r="G33" i="2" s="1"/>
  <c r="G27" i="2"/>
  <c r="G34" i="2" s="1"/>
  <c r="G23" i="2"/>
  <c r="G30" i="2" s="1"/>
  <c r="H65" i="17"/>
  <c r="J66" i="17"/>
  <c r="J67" i="17" s="1"/>
  <c r="J68" i="17" s="1"/>
  <c r="J69" i="17" s="1"/>
  <c r="J70" i="17" s="1"/>
  <c r="J71" i="17" s="1"/>
  <c r="J72" i="17" s="1"/>
  <c r="J73" i="17" s="1"/>
  <c r="J74" i="17" s="1"/>
  <c r="J75" i="17" s="1"/>
  <c r="J76" i="17" s="1"/>
  <c r="J77" i="17" s="1"/>
  <c r="J78" i="17" s="1"/>
  <c r="J79" i="17" s="1"/>
  <c r="J80" i="17" s="1"/>
  <c r="J81" i="17" s="1"/>
  <c r="J82" i="17" s="1"/>
  <c r="J83" i="17" s="1"/>
  <c r="J84" i="17" s="1"/>
  <c r="J85" i="17" s="1"/>
  <c r="J86" i="17" s="1"/>
  <c r="J87" i="17" s="1"/>
  <c r="J88" i="17" s="1"/>
  <c r="J89" i="17" s="1"/>
  <c r="J90" i="17" s="1"/>
  <c r="J91" i="17" s="1"/>
  <c r="J92" i="17" s="1"/>
  <c r="J93" i="17" s="1"/>
  <c r="J94" i="17" s="1"/>
  <c r="J95" i="17" s="1"/>
  <c r="J96" i="17" s="1"/>
  <c r="J97" i="17" s="1"/>
  <c r="J98" i="17" s="1"/>
  <c r="J99" i="17" s="1"/>
  <c r="J100" i="17" s="1"/>
  <c r="J101" i="17" s="1"/>
  <c r="J102" i="17" s="1"/>
  <c r="J103" i="17" s="1"/>
  <c r="J104" i="17" s="1"/>
  <c r="J105" i="17" s="1"/>
  <c r="J106" i="17" s="1"/>
  <c r="J107" i="17" s="1"/>
  <c r="J108" i="17" s="1"/>
  <c r="P50" i="2"/>
  <c r="P29" i="2"/>
  <c r="P30" i="2"/>
  <c r="P31" i="2"/>
  <c r="P32" i="2"/>
  <c r="P33" i="2"/>
  <c r="P34" i="2"/>
  <c r="F34" i="17"/>
  <c r="P35" i="2"/>
  <c r="P36" i="2"/>
  <c r="P37" i="2"/>
  <c r="P38" i="2"/>
  <c r="P39" i="2"/>
  <c r="P40" i="2"/>
  <c r="P43" i="2"/>
  <c r="P44" i="2"/>
  <c r="P45" i="2"/>
  <c r="F15" i="2"/>
  <c r="F24" i="2" s="1"/>
  <c r="F31" i="2" s="1"/>
  <c r="F25" i="2"/>
  <c r="F32" i="2" s="1"/>
  <c r="F26" i="2"/>
  <c r="F33" i="2" s="1"/>
  <c r="F27" i="2"/>
  <c r="F34" i="2" s="1"/>
  <c r="F23" i="2"/>
  <c r="F30" i="2" s="1"/>
  <c r="O13" i="2" s="1"/>
  <c r="O29" i="2"/>
  <c r="O30" i="2"/>
  <c r="O31" i="2"/>
  <c r="O32" i="2"/>
  <c r="O33" i="2"/>
  <c r="O35" i="2"/>
  <c r="O36" i="2"/>
  <c r="O37" i="2"/>
  <c r="O38" i="2"/>
  <c r="O39" i="2"/>
  <c r="O40" i="2"/>
  <c r="O43" i="2"/>
  <c r="O44" i="2"/>
  <c r="O45" i="2"/>
  <c r="G40" i="2"/>
  <c r="G42" i="2" s="1"/>
  <c r="G47" i="2" s="1"/>
  <c r="P10" i="2"/>
  <c r="E94" i="17"/>
  <c r="E95" i="17" s="1"/>
  <c r="E96" i="17" s="1"/>
  <c r="E97" i="17" s="1"/>
  <c r="E98" i="17" s="1"/>
  <c r="E99" i="17" s="1"/>
  <c r="E100" i="17" s="1"/>
  <c r="E101" i="17" s="1"/>
  <c r="E102" i="17" s="1"/>
  <c r="E103" i="17" s="1"/>
  <c r="E104" i="17" s="1"/>
  <c r="E105" i="17" s="1"/>
  <c r="E106" i="17" s="1"/>
  <c r="E107" i="17" s="1"/>
  <c r="E108" i="17" s="1"/>
  <c r="F38" i="17"/>
  <c r="F10" i="2"/>
  <c r="O10" i="2" s="1"/>
  <c r="O9" i="2"/>
  <c r="D27" i="2"/>
  <c r="D34" i="2" s="1"/>
  <c r="D26" i="2"/>
  <c r="D33" i="2" s="1"/>
  <c r="D25" i="2"/>
  <c r="D32" i="2" s="1"/>
  <c r="D24" i="2"/>
  <c r="D31" i="2" s="1"/>
  <c r="C40" i="17"/>
  <c r="C46" i="17"/>
  <c r="D46" i="17"/>
  <c r="I65" i="17"/>
  <c r="I64" i="17"/>
  <c r="I63" i="17"/>
  <c r="I62" i="17"/>
  <c r="I61" i="17"/>
  <c r="C14" i="17"/>
  <c r="D14" i="17"/>
  <c r="C20" i="17"/>
  <c r="D20" i="17"/>
  <c r="D40" i="17"/>
  <c r="G34" i="17"/>
  <c r="G38" i="17"/>
  <c r="O34" i="2"/>
  <c r="G46" i="2" l="1"/>
  <c r="O57" i="2"/>
  <c r="C48" i="17"/>
  <c r="C24" i="17"/>
  <c r="D24" i="17"/>
  <c r="H66" i="17"/>
  <c r="H67" i="17" s="1"/>
  <c r="D48" i="17"/>
  <c r="P41" i="2"/>
  <c r="G15" i="2"/>
  <c r="O41" i="2"/>
  <c r="F35" i="2"/>
  <c r="P46" i="2"/>
  <c r="P23" i="2"/>
  <c r="P13" i="2"/>
  <c r="P20" i="2"/>
  <c r="P14" i="2"/>
  <c r="O19" i="2"/>
  <c r="O20" i="2"/>
  <c r="O15" i="2"/>
  <c r="O23" i="2"/>
  <c r="O18" i="2"/>
  <c r="O14" i="2"/>
  <c r="P18" i="2"/>
  <c r="P19" i="2"/>
  <c r="P15" i="2"/>
  <c r="O46" i="2"/>
  <c r="O48" i="2" l="1"/>
  <c r="I66" i="17"/>
  <c r="H68" i="17"/>
  <c r="I67" i="17"/>
  <c r="P48" i="2"/>
  <c r="P16" i="2"/>
  <c r="G35" i="2"/>
  <c r="G24" i="2"/>
  <c r="G31" i="2" s="1"/>
  <c r="O16" i="2"/>
  <c r="O21" i="2"/>
  <c r="P21" i="2"/>
  <c r="H69" i="17" l="1"/>
  <c r="I68" i="17"/>
  <c r="I69" i="17" l="1"/>
  <c r="H70" i="17"/>
  <c r="H71" i="17" l="1"/>
  <c r="I70" i="17"/>
  <c r="H72" i="17" l="1"/>
  <c r="I71" i="17"/>
  <c r="O25" i="2"/>
  <c r="O52" i="2" s="1"/>
  <c r="M52" i="2" l="1"/>
  <c r="O55" i="2" s="1"/>
  <c r="P25" i="2"/>
  <c r="P52" i="2" s="1"/>
  <c r="O56" i="2" s="1"/>
  <c r="I72" i="17"/>
  <c r="H73" i="17"/>
  <c r="I73" i="17" l="1"/>
  <c r="H74" i="17"/>
  <c r="I74" i="17" l="1"/>
  <c r="H75" i="17"/>
  <c r="I75" i="17" l="1"/>
  <c r="H76" i="17"/>
  <c r="I76" i="17" l="1"/>
  <c r="H77" i="17"/>
  <c r="I77" i="17" l="1"/>
  <c r="H78" i="17"/>
  <c r="I78" i="17" l="1"/>
  <c r="H79" i="17"/>
  <c r="I79" i="17" l="1"/>
  <c r="H80" i="17"/>
  <c r="H81" i="17" l="1"/>
  <c r="I80" i="17"/>
  <c r="I81" i="17" l="1"/>
  <c r="H82" i="17"/>
  <c r="H83" i="17" l="1"/>
  <c r="I82" i="17"/>
  <c r="I83" i="17" l="1"/>
  <c r="H84" i="17"/>
  <c r="H85" i="17" l="1"/>
  <c r="I84" i="17"/>
  <c r="I85" i="17" l="1"/>
  <c r="H86" i="17"/>
  <c r="I86" i="17" l="1"/>
  <c r="H87" i="17"/>
  <c r="I87" i="17" l="1"/>
  <c r="H88" i="17"/>
  <c r="H89" i="17" l="1"/>
  <c r="I88" i="17"/>
  <c r="I89" i="17" l="1"/>
  <c r="H90" i="17"/>
  <c r="I90" i="17" l="1"/>
  <c r="H91" i="17"/>
  <c r="I91" i="17" l="1"/>
  <c r="H92" i="17"/>
  <c r="H93" i="17" l="1"/>
  <c r="I92" i="17"/>
  <c r="I93" i="17" l="1"/>
  <c r="H94" i="17"/>
  <c r="I94" i="17" l="1"/>
  <c r="H95" i="17"/>
  <c r="H96" i="17" l="1"/>
  <c r="I95" i="17"/>
  <c r="H97" i="17" l="1"/>
  <c r="I96" i="17"/>
  <c r="I97" i="17" l="1"/>
  <c r="H98" i="17"/>
  <c r="H99" i="17" l="1"/>
  <c r="I98" i="17"/>
  <c r="H100" i="17" l="1"/>
  <c r="I99" i="17"/>
  <c r="H101" i="17" l="1"/>
  <c r="I100" i="17"/>
  <c r="I101" i="17" l="1"/>
  <c r="H102" i="17"/>
  <c r="H103" i="17" l="1"/>
  <c r="I102" i="17"/>
  <c r="H104" i="17" l="1"/>
  <c r="I103" i="17"/>
  <c r="I104" i="17" l="1"/>
  <c r="H105" i="17"/>
  <c r="I105" i="17" l="1"/>
  <c r="H106" i="17"/>
  <c r="H107" i="17" l="1"/>
  <c r="I106" i="17"/>
  <c r="H108" i="17" l="1"/>
  <c r="I108" i="17" s="1"/>
  <c r="I107" i="17"/>
</calcChain>
</file>

<file path=xl/comments1.xml><?xml version="1.0" encoding="utf-8"?>
<comments xmlns="http://schemas.openxmlformats.org/spreadsheetml/2006/main">
  <authors>
    <author>Goedhart, R.</author>
    <author>Keizer</author>
  </authors>
  <commentList>
    <comment ref="E14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Slechts invullen indien er sprake is van (een) officieel erkende nevenvestiging(en).</t>
        </r>
      </text>
    </comment>
    <comment ref="K5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Dit is exclusief de betaling door het SWV van de zorgformatie voor het aantal leerlingen boven de 2% van het samenwerkingsverband.
Zie verder de toelichting.</t>
        </r>
      </text>
    </comment>
  </commentList>
</comments>
</file>

<file path=xl/sharedStrings.xml><?xml version="1.0" encoding="utf-8"?>
<sst xmlns="http://schemas.openxmlformats.org/spreadsheetml/2006/main" count="156" uniqueCount="128">
  <si>
    <t>Rijksbijdrage OCW - materieel</t>
  </si>
  <si>
    <t>Leerlingtelling</t>
  </si>
  <si>
    <t>Genormeerd bruto grondoppervlak (A)</t>
  </si>
  <si>
    <t>Genormeerd aantal groepen (G)</t>
  </si>
  <si>
    <t>aantal vestigingen (incl. hoofdvestiging)</t>
  </si>
  <si>
    <t>e. (1) Overige kosten</t>
  </si>
  <si>
    <t>e. (2) Tussenschoolse opvang</t>
  </si>
  <si>
    <t>e. (1) Overige uitgaven</t>
  </si>
  <si>
    <t>e. (2) tussenschoolse opvang</t>
  </si>
  <si>
    <t>School zonder nevenvestiging</t>
  </si>
  <si>
    <t>e. (3) BGZ</t>
  </si>
  <si>
    <t>Groepsafhankelijke PvE's</t>
  </si>
  <si>
    <t xml:space="preserve"> </t>
  </si>
  <si>
    <t>1. Onderhoud</t>
  </si>
  <si>
    <t>a. gebouw</t>
  </si>
  <si>
    <t>b. tuin</t>
  </si>
  <si>
    <t>c. schoonmaak</t>
  </si>
  <si>
    <t>2. Energie en water</t>
  </si>
  <si>
    <t>a. Electriciteitsverbruik</t>
  </si>
  <si>
    <t>b. Verwarming</t>
  </si>
  <si>
    <t>c. Waterverbruik</t>
  </si>
  <si>
    <t>3. Publiekrechtelijke heffingen</t>
  </si>
  <si>
    <t>Leerlingafhankelijke PvE's</t>
  </si>
  <si>
    <t>Middelen</t>
  </si>
  <si>
    <t>a. Medezeggenschap</t>
  </si>
  <si>
    <t>c. WA-verzekering</t>
  </si>
  <si>
    <t>d. Culturele vorming</t>
  </si>
  <si>
    <t>f. Dienstreizen</t>
  </si>
  <si>
    <t>h. Vervanging en aanpassing meubilair</t>
  </si>
  <si>
    <t>Administratie, beheer en bestuur</t>
  </si>
  <si>
    <t>a. Administratie</t>
  </si>
  <si>
    <t>b. Onderhoudsbeheer</t>
  </si>
  <si>
    <t>c. Beheer en bestuur</t>
  </si>
  <si>
    <t>subtotaal</t>
  </si>
  <si>
    <t>Extra vergoeding</t>
  </si>
  <si>
    <t>c.Waterverbruik</t>
  </si>
  <si>
    <t>3. Publiekrechtelijke heffingen (met uitzondering van OZB)</t>
  </si>
  <si>
    <t>Totaal</t>
  </si>
  <si>
    <t>b.Ouderbijdrage ihk medezeggenschap</t>
  </si>
  <si>
    <t>T</t>
  </si>
  <si>
    <t>C</t>
  </si>
  <si>
    <t>1. Middelen</t>
  </si>
  <si>
    <t>2. Administratie, beheer en bestuur</t>
  </si>
  <si>
    <t>2. Energie/ water</t>
  </si>
  <si>
    <t>totaal administratie</t>
  </si>
  <si>
    <t>b. Ouderbijdrage ihk van medezeggenschap</t>
  </si>
  <si>
    <t xml:space="preserve">totaal </t>
  </si>
  <si>
    <t>bedrag</t>
  </si>
  <si>
    <t xml:space="preserve">br. grondopp. </t>
  </si>
  <si>
    <t>groepen lln.</t>
  </si>
  <si>
    <t>Hoofdvestiging</t>
  </si>
  <si>
    <t>teldatum</t>
  </si>
  <si>
    <t>totaal conform afrondingswijze CFI</t>
  </si>
  <si>
    <t>totaal leerlingafhankelijk</t>
  </si>
  <si>
    <t>groepen</t>
  </si>
  <si>
    <t>toename</t>
  </si>
  <si>
    <t>norm na 6</t>
  </si>
  <si>
    <t>extra na 13</t>
  </si>
  <si>
    <t>g.(1) Onderh., vervang. en vernieuw. meerjaarlijks</t>
  </si>
  <si>
    <t>g.(3) Onderh., vervang. en vernieuw. ICT</t>
  </si>
  <si>
    <t>g.(2) Onderh., vervang. en vernieuw. jaarlijks</t>
  </si>
  <si>
    <t>Nevenvestiging 1</t>
  </si>
  <si>
    <t>Nevenvestiging 2</t>
  </si>
  <si>
    <t>Nevenvestiging 3</t>
  </si>
  <si>
    <t>Zorgbedrag</t>
  </si>
  <si>
    <t>Leerlingen hoofd- en nevenvestiging</t>
  </si>
  <si>
    <t>aantal leerlingen</t>
  </si>
  <si>
    <t>bij bepalen 'G' van SBO</t>
  </si>
  <si>
    <t>versie</t>
  </si>
  <si>
    <t>Algemeen</t>
  </si>
  <si>
    <t xml:space="preserve">Voor de groepsafhankelijke vergoeding geldt dat voor de bepaling van het aantal groepen als norm het aantal van 14 leerlingen geldt. </t>
  </si>
  <si>
    <t xml:space="preserve">De uitkomst wordt naar boven op een geheel getal afgerond. </t>
  </si>
  <si>
    <t>Desgewenst kunt u het model dus aanpassen, maar kennis van Excel is dan wel vereist.</t>
  </si>
  <si>
    <t>Bekostigingsbronnen</t>
  </si>
  <si>
    <t>Het Rijk bekostigt de sbo volgens de normen van de basisschool voor alle leerlingen die op de school op de teldatum staan ingeschreven.</t>
  </si>
  <si>
    <t xml:space="preserve">De 2% bepaling van het aantal leerlingen van het samenwerkingsverband is gebaseerd op basis van het feitelijk aantal leerlingen dat op </t>
  </si>
  <si>
    <t xml:space="preserve">de teldatum toegerekend wordt aan het samenwerkingsverband. De leerlingen van een sbo die in meerdere verbanden deelneemt, wordt </t>
  </si>
  <si>
    <t xml:space="preserve">naar rato van het aantal basisschoolleerlingen van de betrokken verbanden toegerekend. </t>
  </si>
  <si>
    <t>Zijn er meerdere sbo in één samenwerkingsverband dan wordt de 2% leerlingen naar rato van het aantal leerlingen per sbo toegedeeld.</t>
  </si>
  <si>
    <t>Het zal duidelijk zijn dat dit een complexe berekening kan zijn, zeker als men ook nog correct wil afronden.</t>
  </si>
  <si>
    <t xml:space="preserve">In de situaties dat er op de sbo minder dan 2% leerlingen aanwezig zijn, betekent het dat het Rijk voor een aantal leerlingen een </t>
  </si>
  <si>
    <t>Invoer</t>
  </si>
  <si>
    <t xml:space="preserve">De invoer bij de aangegeven cellen spreekt voor zich. </t>
  </si>
  <si>
    <t>Alleen een kanttekening bij die invoer waar dat nodig is.</t>
  </si>
  <si>
    <t xml:space="preserve">Hebt u vragen of opmerkingen, adviezen enzovoorts dan zijn we daar nieuwsgierig naar. </t>
  </si>
  <si>
    <t>Voor nadere informatie:</t>
  </si>
  <si>
    <t>De bekostiging van de materiële instandhouding voor een sbo is gebaseerd op de normen van de basisschool.</t>
  </si>
  <si>
    <t>Info over bekostigingsbron</t>
  </si>
  <si>
    <t>Aantal leerlingen boven de 2% bepaling</t>
  </si>
  <si>
    <t>peildatum</t>
  </si>
  <si>
    <t>groepsgrootte (afronden naar boven, tenminste 2)</t>
  </si>
  <si>
    <t>www.poraad.nl</t>
  </si>
  <si>
    <t>% bovenschools</t>
  </si>
  <si>
    <t xml:space="preserve">Reinier Goedhart,e-mail: </t>
  </si>
  <si>
    <t>r.goedhart@poraad.nl</t>
  </si>
  <si>
    <r>
      <t xml:space="preserve">Het model is beveiligd met het wachtwoord: </t>
    </r>
    <r>
      <rPr>
        <b/>
        <sz val="10"/>
        <rFont val="Calibri"/>
        <family val="2"/>
      </rPr>
      <t>poraad</t>
    </r>
    <r>
      <rPr>
        <sz val="10"/>
        <rFont val="Calibri"/>
        <family val="2"/>
      </rPr>
      <t xml:space="preserve"> onder Extra/Beveiliging/Blad beveiligen. </t>
    </r>
  </si>
  <si>
    <t xml:space="preserve"> 2% alle lln swv en toegerekend aan deze school</t>
  </si>
  <si>
    <t>Aantal basisschoolleerlingen SWV</t>
  </si>
  <si>
    <t>Totaal aantal leerlingen school (plus nevenvestigingen)</t>
  </si>
  <si>
    <t>Niet in totaal meegenomen</t>
  </si>
  <si>
    <t>Overdracht van SWV o.g.v. peildatum</t>
  </si>
  <si>
    <t>Naam school</t>
  </si>
  <si>
    <t>Speciale basisschool</t>
  </si>
  <si>
    <t>Overdracht naar bestuur</t>
  </si>
  <si>
    <t>Kalenderjaar</t>
  </si>
  <si>
    <t>Stijging t.o.v. vorig jaar</t>
  </si>
  <si>
    <t>teldatum 1</t>
  </si>
  <si>
    <t>Daarnaast wordt een ondersteuningsbedrag per leerling toegekend.</t>
  </si>
  <si>
    <t>De bekostiging MI voor de sbo gebeurt op basis van de teldatum 1 oktober van het voorafgaande schooljaar en de peildatum welke</t>
  </si>
  <si>
    <t>De bekostiging gebeurt voor een deel door het Rijk en voor een deel door het samenwerkingsverband passend onderwijs (SWV).</t>
  </si>
  <si>
    <t xml:space="preserve">Daarnaast ontvangt de school van het Rijk voor 2% van het aantal leerlingen van het samenwerkingsverband het ondersteuningsbedrag. </t>
  </si>
  <si>
    <t>Ondersteuningsbedrag Rijk</t>
  </si>
  <si>
    <t>Ondersteuningsbedrag van SWV</t>
  </si>
  <si>
    <t>Maximaal ondersteuningsbedrag o.g.v. aantal leerlingen SWV</t>
  </si>
  <si>
    <t>Overdracht van ondersteuningsbedrag vanuit SWV</t>
  </si>
  <si>
    <t>Ondersteuningsbudget materieel SBO</t>
  </si>
  <si>
    <t xml:space="preserve">Ondersteuningsbedrag </t>
  </si>
  <si>
    <t>Bekostiging Materiële Instandhouding SBO 2016</t>
  </si>
  <si>
    <r>
      <t xml:space="preserve">In deze applicatie zijn de bedragen van de pve's voor </t>
    </r>
    <r>
      <rPr>
        <b/>
        <sz val="10"/>
        <rFont val="Calibri"/>
        <family val="2"/>
      </rPr>
      <t>2016</t>
    </r>
    <r>
      <rPr>
        <sz val="10"/>
        <rFont val="Calibri"/>
        <family val="2"/>
      </rPr>
      <t xml:space="preserve"> verwerkt zoals die d.d. 29 september </t>
    </r>
    <r>
      <rPr>
        <b/>
        <sz val="10"/>
        <rFont val="Calibri"/>
        <family val="2"/>
      </rPr>
      <t>2015</t>
    </r>
    <r>
      <rPr>
        <sz val="10"/>
        <rFont val="Calibri"/>
        <family val="2"/>
      </rPr>
      <t xml:space="preserve"> zijn gepubliceerd. </t>
    </r>
  </si>
  <si>
    <t>De indexering is bepaald op een indexatie van 0,2%</t>
  </si>
  <si>
    <t>wettelijk is vastgesteld op 1 februari van het kalenderjaar.</t>
  </si>
  <si>
    <t>Voor het aantal leerlingen dat op de peildatum boven de 2% aanwezig is betaalt het samenwerkingsverband het ondersteuningsbedrag. Het</t>
  </si>
  <si>
    <t>SWV hoeft niet meer over te dragen dan het totaal dat het SWV heeft ontvangen als ondersteuningsbekostiging.</t>
  </si>
  <si>
    <t>Elk samenwerkingsverband dat hiermee te maken heeft moet in staat zijn deze gegevens te ontlenen aan de beschikking van DUO.</t>
  </si>
  <si>
    <t>Voor de sbo is het in principe echter niet essentieel om te weten, omdat de bekostiging zo geregeld is dat voor elke leerling het ondersteunings-</t>
  </si>
  <si>
    <t xml:space="preserve">bedrag wordt bekostigd: voor 2% door het Rijk en voor de overige leerlingen op de peildatum door het verband. </t>
  </si>
  <si>
    <t xml:space="preserve">ondersteuningsbedrag betaalt dat er niet is. Daarover zal nader overleg moeten worden gevoerd met het SWV die in het ondersteuningsplan </t>
  </si>
  <si>
    <t>immers de besteding van de middelen moet verantwoorden. In principe dient dan terugbetaling plaats te vinden.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</si>
</sst>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-&quot;€&quot;\ * #,##0_-;_-&quot;€&quot;\ * #,##0\-;_-&quot;€&quot;\ * &quot;-&quot;??_-;_-@_-"/>
    <numFmt numFmtId="167" formatCode="&quot;€&quot;\ #,##0.00_-"/>
    <numFmt numFmtId="168" formatCode="&quot;€&quot;\ #,##0_-"/>
    <numFmt numFmtId="169" formatCode="_-&quot;€&quot;\ * #,##0.00_-;_-&quot;€&quot;\ * #,##0.00\-;_-&quot;€&quot;\ * &quot;-&quot;_-;_-@_-"/>
    <numFmt numFmtId="170" formatCode="dd/mm/yy"/>
    <numFmt numFmtId="171" formatCode="0.0%"/>
    <numFmt numFmtId="172" formatCode="dd/mmm/yy"/>
    <numFmt numFmtId="173" formatCode="[$-413]d/mmm/yy;@"/>
    <numFmt numFmtId="174" formatCode="[$-413]d/mmm/yyyy;@"/>
  </numFmts>
  <fonts count="40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i/>
      <sz val="10"/>
      <color indexed="53"/>
      <name val="Calibri"/>
      <family val="2"/>
    </font>
    <font>
      <sz val="10"/>
      <color indexed="60"/>
      <name val="Calibri"/>
      <family val="2"/>
    </font>
    <font>
      <b/>
      <sz val="14"/>
      <color indexed="60"/>
      <name val="Calibri"/>
      <family val="2"/>
    </font>
    <font>
      <sz val="10"/>
      <color indexed="60"/>
      <name val="Calibri"/>
      <family val="2"/>
    </font>
    <font>
      <b/>
      <sz val="12"/>
      <color indexed="60"/>
      <name val="Calibri"/>
      <family val="2"/>
    </font>
    <font>
      <sz val="14"/>
      <name val="Calibri"/>
      <family val="2"/>
    </font>
    <font>
      <b/>
      <i/>
      <sz val="14"/>
      <color indexed="53"/>
      <name val="Calibri"/>
      <family val="2"/>
    </font>
    <font>
      <u/>
      <sz val="10"/>
      <color indexed="12"/>
      <name val="Arial"/>
      <family val="2"/>
    </font>
    <font>
      <sz val="10"/>
      <color indexed="81"/>
      <name val="Tahoma"/>
      <family val="2"/>
    </font>
    <font>
      <sz val="10"/>
      <color rgb="FFC00000"/>
      <name val="Calibri"/>
      <family val="2"/>
    </font>
    <font>
      <b/>
      <sz val="14"/>
      <color rgb="FFC00000"/>
      <name val="Calibri"/>
      <family val="2"/>
    </font>
    <font>
      <b/>
      <sz val="10"/>
      <color rgb="FFC00000"/>
      <name val="Calibri"/>
      <family val="2"/>
    </font>
    <font>
      <i/>
      <sz val="10"/>
      <color theme="0" tint="-4.9989318521683403E-2"/>
      <name val="Calibri"/>
      <family val="2"/>
    </font>
    <font>
      <sz val="14"/>
      <color rgb="FFC00000"/>
      <name val="Calibri"/>
      <family val="2"/>
    </font>
    <font>
      <b/>
      <sz val="10"/>
      <color theme="1" tint="0.34998626667073579"/>
      <name val="Calibri"/>
      <family val="2"/>
    </font>
    <font>
      <sz val="10"/>
      <color theme="1" tint="0.34998626667073579"/>
      <name val="Calibri"/>
      <family val="2"/>
    </font>
    <font>
      <i/>
      <sz val="10"/>
      <color theme="1" tint="0.34998626667073579"/>
      <name val="Calibri"/>
      <family val="2"/>
    </font>
    <font>
      <b/>
      <i/>
      <sz val="10"/>
      <color theme="1" tint="0.34998626667073579"/>
      <name val="Calibri"/>
      <family val="2"/>
    </font>
    <font>
      <sz val="10"/>
      <color theme="1" tint="0.34998626667073579"/>
      <name val="Arial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13" fillId="0" borderId="0" xfId="0" applyFont="1" applyFill="1" applyBorder="1" applyAlignment="1" applyProtection="1">
      <alignment horizontal="left"/>
    </xf>
    <xf numFmtId="165" fontId="6" fillId="2" borderId="0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9" fillId="3" borderId="0" xfId="0" applyFont="1" applyFill="1"/>
    <xf numFmtId="0" fontId="10" fillId="3" borderId="0" xfId="0" applyFont="1" applyFill="1"/>
    <xf numFmtId="0" fontId="21" fillId="3" borderId="0" xfId="2" applyFont="1" applyFill="1" applyAlignment="1" applyProtection="1"/>
    <xf numFmtId="173" fontId="10" fillId="3" borderId="0" xfId="0" applyNumberFormat="1" applyFont="1" applyFill="1"/>
    <xf numFmtId="0" fontId="13" fillId="3" borderId="0" xfId="0" applyFont="1" applyFill="1"/>
    <xf numFmtId="0" fontId="9" fillId="4" borderId="0" xfId="0" applyFont="1" applyFill="1" applyProtection="1"/>
    <xf numFmtId="0" fontId="9" fillId="4" borderId="0" xfId="0" applyFont="1" applyFill="1" applyBorder="1" applyProtection="1"/>
    <xf numFmtId="166" fontId="9" fillId="4" borderId="0" xfId="0" applyNumberFormat="1" applyFont="1" applyFill="1" applyBorder="1" applyProtection="1"/>
    <xf numFmtId="0" fontId="17" fillId="4" borderId="0" xfId="0" applyFont="1" applyFill="1" applyProtection="1"/>
    <xf numFmtId="0" fontId="19" fillId="4" borderId="0" xfId="0" applyFont="1" applyFill="1" applyProtection="1"/>
    <xf numFmtId="165" fontId="9" fillId="4" borderId="0" xfId="0" applyNumberFormat="1" applyFont="1" applyFill="1" applyBorder="1" applyProtection="1"/>
    <xf numFmtId="4" fontId="9" fillId="4" borderId="0" xfId="0" applyNumberFormat="1" applyFont="1" applyFill="1" applyBorder="1" applyProtection="1"/>
    <xf numFmtId="0" fontId="15" fillId="4" borderId="0" xfId="0" applyFont="1" applyFill="1" applyProtection="1"/>
    <xf numFmtId="0" fontId="9" fillId="5" borderId="1" xfId="0" applyFont="1" applyFill="1" applyBorder="1" applyProtection="1"/>
    <xf numFmtId="0" fontId="9" fillId="5" borderId="2" xfId="0" applyFont="1" applyFill="1" applyBorder="1" applyProtection="1"/>
    <xf numFmtId="0" fontId="12" fillId="5" borderId="2" xfId="0" applyFont="1" applyFill="1" applyBorder="1" applyAlignment="1" applyProtection="1">
      <alignment horizontal="right"/>
    </xf>
    <xf numFmtId="0" fontId="13" fillId="5" borderId="2" xfId="0" applyFont="1" applyFill="1" applyBorder="1" applyAlignment="1" applyProtection="1">
      <alignment horizontal="center"/>
    </xf>
    <xf numFmtId="166" fontId="9" fillId="5" borderId="2" xfId="0" applyNumberFormat="1" applyFont="1" applyFill="1" applyBorder="1" applyProtection="1"/>
    <xf numFmtId="0" fontId="9" fillId="5" borderId="5" xfId="0" applyFont="1" applyFill="1" applyBorder="1" applyProtection="1"/>
    <xf numFmtId="0" fontId="9" fillId="5" borderId="3" xfId="0" applyFont="1" applyFill="1" applyBorder="1" applyProtection="1"/>
    <xf numFmtId="0" fontId="9" fillId="5" borderId="0" xfId="0" applyFont="1" applyFill="1" applyBorder="1" applyProtection="1"/>
    <xf numFmtId="0" fontId="12" fillId="5" borderId="0" xfId="0" applyFont="1" applyFill="1" applyBorder="1" applyAlignment="1" applyProtection="1">
      <alignment horizontal="right"/>
    </xf>
    <xf numFmtId="0" fontId="13" fillId="5" borderId="0" xfId="0" applyFont="1" applyFill="1" applyBorder="1" applyAlignment="1" applyProtection="1">
      <alignment horizontal="center"/>
    </xf>
    <xf numFmtId="166" fontId="9" fillId="5" borderId="0" xfId="0" applyNumberFormat="1" applyFont="1" applyFill="1" applyBorder="1" applyProtection="1"/>
    <xf numFmtId="0" fontId="9" fillId="5" borderId="4" xfId="0" applyFont="1" applyFill="1" applyBorder="1" applyProtection="1"/>
    <xf numFmtId="0" fontId="17" fillId="5" borderId="0" xfId="0" applyFont="1" applyFill="1" applyBorder="1" applyProtection="1"/>
    <xf numFmtId="0" fontId="16" fillId="5" borderId="0" xfId="0" applyFont="1" applyFill="1" applyBorder="1" applyProtection="1"/>
    <xf numFmtId="166" fontId="17" fillId="5" borderId="0" xfId="0" applyNumberFormat="1" applyFont="1" applyFill="1" applyBorder="1" applyProtection="1"/>
    <xf numFmtId="166" fontId="18" fillId="5" borderId="0" xfId="0" applyNumberFormat="1" applyFont="1" applyFill="1" applyBorder="1" applyAlignment="1" applyProtection="1">
      <alignment horizontal="center"/>
    </xf>
    <xf numFmtId="0" fontId="17" fillId="5" borderId="4" xfId="0" applyFont="1" applyFill="1" applyBorder="1" applyProtection="1"/>
    <xf numFmtId="0" fontId="19" fillId="5" borderId="3" xfId="0" applyFont="1" applyFill="1" applyBorder="1" applyProtection="1"/>
    <xf numFmtId="0" fontId="19" fillId="5" borderId="0" xfId="0" applyFont="1" applyFill="1" applyBorder="1" applyProtection="1"/>
    <xf numFmtId="0" fontId="11" fillId="5" borderId="0" xfId="0" applyFont="1" applyFill="1" applyBorder="1" applyProtection="1"/>
    <xf numFmtId="0" fontId="20" fillId="5" borderId="0" xfId="0" applyFont="1" applyFill="1" applyBorder="1" applyAlignment="1" applyProtection="1">
      <alignment horizontal="left"/>
    </xf>
    <xf numFmtId="166" fontId="19" fillId="5" borderId="0" xfId="0" applyNumberFormat="1" applyFont="1" applyFill="1" applyBorder="1" applyProtection="1"/>
    <xf numFmtId="0" fontId="19" fillId="5" borderId="4" xfId="0" applyFont="1" applyFill="1" applyBorder="1" applyProtection="1"/>
    <xf numFmtId="0" fontId="14" fillId="5" borderId="0" xfId="0" applyFont="1" applyFill="1" applyBorder="1" applyAlignment="1" applyProtection="1">
      <alignment horizontal="left"/>
    </xf>
    <xf numFmtId="0" fontId="12" fillId="5" borderId="0" xfId="0" applyFont="1" applyFill="1" applyBorder="1" applyAlignment="1" applyProtection="1"/>
    <xf numFmtId="0" fontId="13" fillId="5" borderId="4" xfId="0" quotePrefix="1" applyNumberFormat="1" applyFont="1" applyFill="1" applyBorder="1" applyAlignment="1" applyProtection="1">
      <alignment horizontal="center"/>
    </xf>
    <xf numFmtId="164" fontId="9" fillId="5" borderId="4" xfId="4" applyNumberFormat="1" applyFont="1" applyFill="1" applyBorder="1" applyAlignment="1" applyProtection="1">
      <alignment horizontal="left"/>
    </xf>
    <xf numFmtId="164" fontId="12" fillId="5" borderId="4" xfId="4" applyNumberFormat="1" applyFont="1" applyFill="1" applyBorder="1" applyAlignment="1" applyProtection="1">
      <alignment horizontal="left"/>
    </xf>
    <xf numFmtId="164" fontId="10" fillId="5" borderId="4" xfId="4" applyNumberFormat="1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center"/>
    </xf>
    <xf numFmtId="164" fontId="13" fillId="5" borderId="4" xfId="4" applyNumberFormat="1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0" fontId="10" fillId="5" borderId="0" xfId="0" applyFont="1" applyFill="1" applyBorder="1" applyAlignment="1" applyProtection="1">
      <alignment horizontal="center"/>
    </xf>
    <xf numFmtId="0" fontId="9" fillId="5" borderId="6" xfId="0" applyFont="1" applyFill="1" applyBorder="1" applyProtection="1"/>
    <xf numFmtId="0" fontId="9" fillId="5" borderId="7" xfId="0" applyFont="1" applyFill="1" applyBorder="1" applyProtection="1"/>
    <xf numFmtId="0" fontId="9" fillId="5" borderId="7" xfId="0" applyFont="1" applyFill="1" applyBorder="1" applyAlignment="1" applyProtection="1">
      <alignment horizontal="left"/>
    </xf>
    <xf numFmtId="0" fontId="9" fillId="5" borderId="7" xfId="0" applyFont="1" applyFill="1" applyBorder="1" applyAlignment="1" applyProtection="1">
      <alignment horizontal="center"/>
    </xf>
    <xf numFmtId="166" fontId="9" fillId="5" borderId="7" xfId="0" applyNumberFormat="1" applyFont="1" applyFill="1" applyBorder="1" applyProtection="1"/>
    <xf numFmtId="0" fontId="5" fillId="5" borderId="7" xfId="0" applyFont="1" applyFill="1" applyBorder="1" applyAlignment="1" applyProtection="1">
      <alignment horizontal="right"/>
    </xf>
    <xf numFmtId="0" fontId="9" fillId="5" borderId="8" xfId="0" applyFont="1" applyFill="1" applyBorder="1" applyProtection="1"/>
    <xf numFmtId="0" fontId="9" fillId="4" borderId="9" xfId="0" applyFont="1" applyFill="1" applyBorder="1" applyProtection="1"/>
    <xf numFmtId="0" fontId="9" fillId="4" borderId="10" xfId="0" applyFont="1" applyFill="1" applyBorder="1" applyProtection="1"/>
    <xf numFmtId="0" fontId="12" fillId="4" borderId="10" xfId="0" applyNumberFormat="1" applyFont="1" applyFill="1" applyBorder="1" applyAlignment="1" applyProtection="1">
      <alignment horizontal="right"/>
    </xf>
    <xf numFmtId="0" fontId="13" fillId="4" borderId="10" xfId="0" applyNumberFormat="1" applyFont="1" applyFill="1" applyBorder="1" applyProtection="1"/>
    <xf numFmtId="166" fontId="9" fillId="4" borderId="10" xfId="0" applyNumberFormat="1" applyFont="1" applyFill="1" applyBorder="1" applyProtection="1"/>
    <xf numFmtId="0" fontId="13" fillId="4" borderId="11" xfId="0" applyNumberFormat="1" applyFont="1" applyFill="1" applyBorder="1" applyProtection="1"/>
    <xf numFmtId="0" fontId="9" fillId="4" borderId="12" xfId="0" applyFont="1" applyFill="1" applyBorder="1" applyProtection="1"/>
    <xf numFmtId="0" fontId="9" fillId="4" borderId="13" xfId="0" applyFont="1" applyFill="1" applyBorder="1" applyAlignment="1" applyProtection="1">
      <alignment horizontal="right"/>
    </xf>
    <xf numFmtId="0" fontId="13" fillId="4" borderId="13" xfId="0" applyFont="1" applyFill="1" applyBorder="1" applyAlignment="1" applyProtection="1">
      <alignment horizontal="center"/>
    </xf>
    <xf numFmtId="0" fontId="9" fillId="4" borderId="13" xfId="0" applyFont="1" applyFill="1" applyBorder="1" applyProtection="1"/>
    <xf numFmtId="0" fontId="10" fillId="4" borderId="13" xfId="0" applyFont="1" applyFill="1" applyBorder="1" applyProtection="1"/>
    <xf numFmtId="0" fontId="9" fillId="4" borderId="14" xfId="0" applyFont="1" applyFill="1" applyBorder="1" applyProtection="1"/>
    <xf numFmtId="0" fontId="9" fillId="4" borderId="13" xfId="0" applyFont="1" applyFill="1" applyBorder="1" applyAlignment="1" applyProtection="1">
      <alignment horizontal="left"/>
    </xf>
    <xf numFmtId="0" fontId="9" fillId="4" borderId="14" xfId="0" applyFont="1" applyFill="1" applyBorder="1" applyAlignment="1" applyProtection="1">
      <alignment horizontal="left"/>
    </xf>
    <xf numFmtId="166" fontId="9" fillId="4" borderId="13" xfId="0" applyNumberFormat="1" applyFont="1" applyFill="1" applyBorder="1" applyProtection="1"/>
    <xf numFmtId="165" fontId="9" fillId="4" borderId="13" xfId="4" applyNumberFormat="1" applyFont="1" applyFill="1" applyBorder="1" applyAlignment="1" applyProtection="1">
      <alignment horizontal="left"/>
    </xf>
    <xf numFmtId="0" fontId="9" fillId="4" borderId="13" xfId="0" applyFont="1" applyFill="1" applyBorder="1" applyAlignment="1" applyProtection="1">
      <alignment horizontal="center"/>
    </xf>
    <xf numFmtId="0" fontId="12" fillId="4" borderId="13" xfId="0" applyFont="1" applyFill="1" applyBorder="1" applyProtection="1"/>
    <xf numFmtId="165" fontId="12" fillId="4" borderId="13" xfId="4" applyNumberFormat="1" applyFont="1" applyFill="1" applyBorder="1" applyAlignment="1" applyProtection="1">
      <alignment horizontal="left"/>
    </xf>
    <xf numFmtId="0" fontId="10" fillId="4" borderId="12" xfId="0" applyFont="1" applyFill="1" applyBorder="1" applyProtection="1"/>
    <xf numFmtId="0" fontId="12" fillId="4" borderId="14" xfId="0" applyFont="1" applyFill="1" applyBorder="1" applyProtection="1"/>
    <xf numFmtId="0" fontId="10" fillId="4" borderId="14" xfId="0" applyFont="1" applyFill="1" applyBorder="1" applyProtection="1"/>
    <xf numFmtId="165" fontId="10" fillId="4" borderId="13" xfId="4" applyNumberFormat="1" applyFont="1" applyFill="1" applyBorder="1" applyAlignment="1" applyProtection="1">
      <alignment horizontal="left"/>
    </xf>
    <xf numFmtId="0" fontId="10" fillId="4" borderId="13" xfId="0" applyFont="1" applyFill="1" applyBorder="1" applyAlignment="1" applyProtection="1">
      <alignment horizontal="right"/>
    </xf>
    <xf numFmtId="0" fontId="13" fillId="4" borderId="13" xfId="0" applyFont="1" applyFill="1" applyBorder="1" applyProtection="1"/>
    <xf numFmtId="165" fontId="13" fillId="4" borderId="13" xfId="4" applyNumberFormat="1" applyFont="1" applyFill="1" applyBorder="1" applyAlignment="1" applyProtection="1">
      <alignment horizontal="left"/>
    </xf>
    <xf numFmtId="0" fontId="13" fillId="4" borderId="14" xfId="0" applyFont="1" applyFill="1" applyBorder="1" applyProtection="1"/>
    <xf numFmtId="171" fontId="9" fillId="4" borderId="13" xfId="0" applyNumberFormat="1" applyFont="1" applyFill="1" applyBorder="1" applyProtection="1"/>
    <xf numFmtId="171" fontId="9" fillId="4" borderId="13" xfId="0" applyNumberFormat="1" applyFont="1" applyFill="1" applyBorder="1" applyAlignment="1" applyProtection="1"/>
    <xf numFmtId="171" fontId="9" fillId="4" borderId="14" xfId="0" applyNumberFormat="1" applyFont="1" applyFill="1" applyBorder="1" applyProtection="1"/>
    <xf numFmtId="171" fontId="9" fillId="4" borderId="14" xfId="0" applyNumberFormat="1" applyFont="1" applyFill="1" applyBorder="1" applyAlignment="1" applyProtection="1"/>
    <xf numFmtId="0" fontId="6" fillId="4" borderId="13" xfId="0" applyFont="1" applyFill="1" applyBorder="1" applyProtection="1"/>
    <xf numFmtId="3" fontId="9" fillId="4" borderId="13" xfId="0" applyNumberFormat="1" applyFont="1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left"/>
    </xf>
    <xf numFmtId="0" fontId="13" fillId="4" borderId="13" xfId="0" applyFont="1" applyFill="1" applyBorder="1" applyAlignment="1" applyProtection="1">
      <alignment horizontal="right"/>
    </xf>
    <xf numFmtId="9" fontId="13" fillId="4" borderId="13" xfId="0" applyNumberFormat="1" applyFont="1" applyFill="1" applyBorder="1" applyAlignment="1" applyProtection="1">
      <alignment horizontal="left"/>
    </xf>
    <xf numFmtId="9" fontId="9" fillId="4" borderId="13" xfId="0" applyNumberFormat="1" applyFont="1" applyFill="1" applyBorder="1" applyAlignment="1" applyProtection="1">
      <alignment horizontal="left"/>
    </xf>
    <xf numFmtId="0" fontId="10" fillId="4" borderId="13" xfId="0" applyFont="1" applyFill="1" applyBorder="1" applyAlignment="1" applyProtection="1">
      <alignment horizontal="left"/>
    </xf>
    <xf numFmtId="1" fontId="10" fillId="4" borderId="13" xfId="0" applyNumberFormat="1" applyFont="1" applyFill="1" applyBorder="1" applyProtection="1"/>
    <xf numFmtId="0" fontId="9" fillId="4" borderId="15" xfId="0" applyFont="1" applyFill="1" applyBorder="1" applyProtection="1"/>
    <xf numFmtId="0" fontId="9" fillId="4" borderId="16" xfId="0" applyFont="1" applyFill="1" applyBorder="1" applyProtection="1"/>
    <xf numFmtId="0" fontId="9" fillId="4" borderId="17" xfId="0" applyFont="1" applyFill="1" applyBorder="1" applyProtection="1"/>
    <xf numFmtId="0" fontId="13" fillId="4" borderId="11" xfId="0" applyFont="1" applyFill="1" applyBorder="1" applyAlignment="1" applyProtection="1">
      <alignment horizontal="center"/>
    </xf>
    <xf numFmtId="0" fontId="13" fillId="4" borderId="14" xfId="0" applyFont="1" applyFill="1" applyBorder="1" applyAlignment="1" applyProtection="1">
      <alignment horizontal="center"/>
    </xf>
    <xf numFmtId="0" fontId="12" fillId="4" borderId="14" xfId="0" applyFont="1" applyFill="1" applyBorder="1" applyAlignment="1" applyProtection="1">
      <alignment horizontal="center"/>
    </xf>
    <xf numFmtId="0" fontId="9" fillId="4" borderId="14" xfId="0" applyFont="1" applyFill="1" applyBorder="1" applyAlignment="1" applyProtection="1">
      <alignment horizontal="center"/>
    </xf>
    <xf numFmtId="0" fontId="12" fillId="4" borderId="12" xfId="0" applyFont="1" applyFill="1" applyBorder="1" applyProtection="1"/>
    <xf numFmtId="0" fontId="13" fillId="4" borderId="12" xfId="0" applyFont="1" applyFill="1" applyBorder="1" applyProtection="1"/>
    <xf numFmtId="0" fontId="23" fillId="5" borderId="0" xfId="0" applyFont="1" applyFill="1" applyBorder="1" applyProtection="1"/>
    <xf numFmtId="0" fontId="24" fillId="5" borderId="0" xfId="0" applyFont="1" applyFill="1" applyBorder="1" applyAlignment="1" applyProtection="1">
      <alignment horizontal="left"/>
    </xf>
    <xf numFmtId="0" fontId="24" fillId="5" borderId="3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167" fontId="7" fillId="0" borderId="0" xfId="0" applyNumberFormat="1" applyFont="1" applyFill="1" applyBorder="1" applyAlignment="1" applyProtection="1">
      <alignment horizontal="left"/>
    </xf>
    <xf numFmtId="1" fontId="6" fillId="0" borderId="0" xfId="0" applyNumberFormat="1" applyFont="1" applyFill="1" applyBorder="1" applyAlignment="1" applyProtection="1">
      <alignment horizontal="left"/>
    </xf>
    <xf numFmtId="168" fontId="6" fillId="0" borderId="0" xfId="0" applyNumberFormat="1" applyFont="1" applyFill="1" applyBorder="1" applyAlignment="1" applyProtection="1">
      <alignment horizontal="left"/>
    </xf>
    <xf numFmtId="170" fontId="6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left"/>
    </xf>
    <xf numFmtId="167" fontId="6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0" fillId="4" borderId="15" xfId="0" applyFont="1" applyFill="1" applyBorder="1" applyProtection="1"/>
    <xf numFmtId="0" fontId="10" fillId="4" borderId="16" xfId="0" applyFont="1" applyFill="1" applyBorder="1" applyProtection="1"/>
    <xf numFmtId="0" fontId="10" fillId="4" borderId="9" xfId="0" applyFont="1" applyFill="1" applyBorder="1" applyProtection="1"/>
    <xf numFmtId="0" fontId="10" fillId="4" borderId="10" xfId="0" applyFont="1" applyFill="1" applyBorder="1" applyProtection="1"/>
    <xf numFmtId="0" fontId="9" fillId="4" borderId="11" xfId="0" applyFont="1" applyFill="1" applyBorder="1" applyAlignment="1" applyProtection="1">
      <alignment horizontal="center"/>
    </xf>
    <xf numFmtId="0" fontId="9" fillId="4" borderId="11" xfId="0" applyFont="1" applyFill="1" applyBorder="1" applyProtection="1"/>
    <xf numFmtId="0" fontId="26" fillId="4" borderId="16" xfId="0" applyFont="1" applyFill="1" applyBorder="1" applyAlignment="1" applyProtection="1">
      <alignment horizontal="left"/>
    </xf>
    <xf numFmtId="0" fontId="26" fillId="4" borderId="16" xfId="0" applyFont="1" applyFill="1" applyBorder="1" applyProtection="1"/>
    <xf numFmtId="0" fontId="26" fillId="4" borderId="16" xfId="0" applyFont="1" applyFill="1" applyBorder="1" applyAlignment="1" applyProtection="1">
      <alignment horizontal="center"/>
    </xf>
    <xf numFmtId="0" fontId="9" fillId="5" borderId="13" xfId="0" applyFont="1" applyFill="1" applyBorder="1" applyAlignment="1" applyProtection="1">
      <alignment horizontal="center"/>
      <protection locked="0"/>
    </xf>
    <xf numFmtId="0" fontId="9" fillId="5" borderId="13" xfId="0" applyNumberFormat="1" applyFont="1" applyFill="1" applyBorder="1" applyAlignment="1" applyProtection="1">
      <alignment horizontal="center"/>
      <protection locked="0"/>
    </xf>
    <xf numFmtId="9" fontId="9" fillId="5" borderId="13" xfId="3" applyFont="1" applyFill="1" applyBorder="1" applyAlignment="1" applyProtection="1">
      <alignment horizontal="center"/>
      <protection locked="0"/>
    </xf>
    <xf numFmtId="0" fontId="25" fillId="3" borderId="0" xfId="0" applyFont="1" applyFill="1"/>
    <xf numFmtId="174" fontId="25" fillId="3" borderId="0" xfId="0" applyNumberFormat="1" applyFont="1" applyFill="1"/>
    <xf numFmtId="0" fontId="23" fillId="3" borderId="0" xfId="0" applyFont="1" applyFill="1"/>
    <xf numFmtId="0" fontId="7" fillId="3" borderId="0" xfId="0" applyFont="1" applyFill="1"/>
    <xf numFmtId="0" fontId="6" fillId="3" borderId="0" xfId="0" applyFont="1" applyFill="1"/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</xf>
    <xf numFmtId="0" fontId="27" fillId="5" borderId="0" xfId="0" applyFont="1" applyFill="1" applyBorder="1" applyProtection="1"/>
    <xf numFmtId="0" fontId="28" fillId="4" borderId="13" xfId="0" applyFont="1" applyFill="1" applyBorder="1" applyProtection="1"/>
    <xf numFmtId="0" fontId="29" fillId="4" borderId="13" xfId="0" applyFont="1" applyFill="1" applyBorder="1" applyAlignment="1" applyProtection="1">
      <alignment horizontal="right"/>
    </xf>
    <xf numFmtId="0" fontId="30" fillId="4" borderId="13" xfId="0" applyFont="1" applyFill="1" applyBorder="1" applyAlignment="1" applyProtection="1">
      <alignment horizontal="center"/>
    </xf>
    <xf numFmtId="0" fontId="31" fillId="4" borderId="14" xfId="0" applyFont="1" applyFill="1" applyBorder="1" applyAlignment="1" applyProtection="1">
      <alignment horizontal="center"/>
    </xf>
    <xf numFmtId="0" fontId="31" fillId="5" borderId="0" xfId="0" applyFont="1" applyFill="1" applyBorder="1" applyAlignment="1" applyProtection="1">
      <alignment horizontal="center"/>
    </xf>
    <xf numFmtId="0" fontId="29" fillId="4" borderId="12" xfId="0" applyFont="1" applyFill="1" applyBorder="1" applyProtection="1"/>
    <xf numFmtId="0" fontId="29" fillId="4" borderId="13" xfId="0" applyFont="1" applyFill="1" applyBorder="1" applyProtection="1"/>
    <xf numFmtId="172" fontId="31" fillId="4" borderId="13" xfId="0" applyNumberFormat="1" applyFont="1" applyFill="1" applyBorder="1" applyAlignment="1" applyProtection="1">
      <alignment horizontal="center"/>
    </xf>
    <xf numFmtId="0" fontId="30" fillId="4" borderId="14" xfId="0" applyFont="1" applyFill="1" applyBorder="1" applyAlignment="1" applyProtection="1">
      <alignment horizontal="center"/>
    </xf>
    <xf numFmtId="0" fontId="30" fillId="5" borderId="0" xfId="0" applyFont="1" applyFill="1" applyBorder="1" applyAlignment="1" applyProtection="1">
      <alignment horizontal="center"/>
    </xf>
    <xf numFmtId="0" fontId="29" fillId="4" borderId="13" xfId="0" applyFont="1" applyFill="1" applyBorder="1" applyAlignment="1" applyProtection="1">
      <alignment horizontal="left"/>
    </xf>
    <xf numFmtId="173" fontId="31" fillId="4" borderId="13" xfId="0" applyNumberFormat="1" applyFont="1" applyFill="1" applyBorder="1" applyAlignment="1" applyProtection="1">
      <alignment horizontal="center"/>
    </xf>
    <xf numFmtId="172" fontId="29" fillId="4" borderId="13" xfId="0" applyNumberFormat="1" applyFont="1" applyFill="1" applyBorder="1" applyAlignment="1" applyProtection="1">
      <alignment horizontal="center"/>
    </xf>
    <xf numFmtId="0" fontId="28" fillId="4" borderId="12" xfId="0" applyFont="1" applyFill="1" applyBorder="1" applyProtection="1"/>
    <xf numFmtId="9" fontId="30" fillId="4" borderId="13" xfId="3" applyFont="1" applyFill="1" applyBorder="1" applyAlignment="1" applyProtection="1">
      <alignment horizontal="center"/>
    </xf>
    <xf numFmtId="166" fontId="29" fillId="4" borderId="13" xfId="0" applyNumberFormat="1" applyFont="1" applyFill="1" applyBorder="1" applyProtection="1"/>
    <xf numFmtId="0" fontId="30" fillId="4" borderId="13" xfId="0" applyFont="1" applyFill="1" applyBorder="1" applyProtection="1"/>
    <xf numFmtId="0" fontId="31" fillId="4" borderId="0" xfId="0" applyFont="1" applyFill="1" applyBorder="1" applyProtection="1"/>
    <xf numFmtId="165" fontId="9" fillId="6" borderId="13" xfId="0" applyNumberFormat="1" applyFont="1" applyFill="1" applyBorder="1" applyProtection="1"/>
    <xf numFmtId="165" fontId="9" fillId="6" borderId="13" xfId="0" applyNumberFormat="1" applyFont="1" applyFill="1" applyBorder="1" applyAlignment="1" applyProtection="1">
      <alignment horizontal="left"/>
    </xf>
    <xf numFmtId="9" fontId="10" fillId="6" borderId="13" xfId="3" applyFont="1" applyFill="1" applyBorder="1" applyAlignment="1" applyProtection="1">
      <alignment horizontal="center"/>
    </xf>
    <xf numFmtId="169" fontId="9" fillId="6" borderId="13" xfId="0" applyNumberFormat="1" applyFont="1" applyFill="1" applyBorder="1" applyAlignment="1" applyProtection="1">
      <alignment horizontal="center"/>
    </xf>
    <xf numFmtId="165" fontId="9" fillId="6" borderId="13" xfId="4" applyNumberFormat="1" applyFont="1" applyFill="1" applyBorder="1" applyAlignment="1" applyProtection="1">
      <alignment horizontal="left"/>
    </xf>
    <xf numFmtId="0" fontId="9" fillId="6" borderId="13" xfId="0" applyFont="1" applyFill="1" applyBorder="1" applyAlignment="1" applyProtection="1">
      <alignment horizontal="center"/>
    </xf>
    <xf numFmtId="165" fontId="8" fillId="7" borderId="13" xfId="4" applyNumberFormat="1" applyFont="1" applyFill="1" applyBorder="1" applyAlignment="1" applyProtection="1">
      <alignment horizontal="left"/>
    </xf>
    <xf numFmtId="165" fontId="6" fillId="7" borderId="13" xfId="4" applyNumberFormat="1" applyFont="1" applyFill="1" applyBorder="1" applyAlignment="1" applyProtection="1">
      <alignment horizontal="left"/>
    </xf>
    <xf numFmtId="165" fontId="13" fillId="7" borderId="13" xfId="4" applyNumberFormat="1" applyFont="1" applyFill="1" applyBorder="1" applyAlignment="1" applyProtection="1">
      <alignment horizontal="left"/>
    </xf>
    <xf numFmtId="0" fontId="6" fillId="7" borderId="13" xfId="0" applyFont="1" applyFill="1" applyBorder="1" applyAlignment="1" applyProtection="1">
      <alignment horizontal="center"/>
    </xf>
    <xf numFmtId="165" fontId="7" fillId="7" borderId="13" xfId="4" applyNumberFormat="1" applyFont="1" applyFill="1" applyBorder="1" applyAlignment="1" applyProtection="1">
      <alignment horizontal="left"/>
    </xf>
    <xf numFmtId="172" fontId="31" fillId="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/>
    </xf>
    <xf numFmtId="0" fontId="34" fillId="0" borderId="0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left"/>
    </xf>
    <xf numFmtId="0" fontId="36" fillId="0" borderId="0" xfId="0" applyFont="1" applyFill="1" applyBorder="1" applyAlignment="1" applyProtection="1">
      <alignment horizontal="left"/>
    </xf>
    <xf numFmtId="0" fontId="37" fillId="6" borderId="0" xfId="0" applyFont="1" applyFill="1" applyBorder="1" applyAlignment="1" applyProtection="1">
      <alignment horizontal="left"/>
    </xf>
    <xf numFmtId="0" fontId="36" fillId="6" borderId="0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Alignment="1" applyProtection="1">
      <alignment horizontal="left"/>
    </xf>
    <xf numFmtId="10" fontId="37" fillId="2" borderId="0" xfId="0" applyNumberFormat="1" applyFont="1" applyFill="1" applyBorder="1" applyAlignment="1" applyProtection="1">
      <alignment horizontal="center"/>
      <protection locked="0"/>
    </xf>
    <xf numFmtId="15" fontId="37" fillId="2" borderId="0" xfId="0" applyNumberFormat="1" applyFont="1" applyFill="1" applyBorder="1" applyAlignment="1" applyProtection="1">
      <alignment horizontal="center"/>
      <protection locked="0"/>
    </xf>
    <xf numFmtId="170" fontId="37" fillId="0" borderId="0" xfId="0" applyNumberFormat="1" applyFont="1" applyFill="1" applyBorder="1" applyAlignment="1" applyProtection="1">
      <alignment horizontal="left"/>
    </xf>
    <xf numFmtId="169" fontId="37" fillId="0" borderId="0" xfId="0" applyNumberFormat="1" applyFont="1" applyFill="1" applyBorder="1" applyAlignment="1" applyProtection="1">
      <alignment horizontal="left"/>
    </xf>
    <xf numFmtId="165" fontId="38" fillId="0" borderId="0" xfId="0" applyNumberFormat="1" applyFont="1" applyFill="1" applyBorder="1" applyAlignment="1" applyProtection="1">
      <alignment horizontal="left"/>
    </xf>
    <xf numFmtId="165" fontId="37" fillId="2" borderId="0" xfId="0" applyNumberFormat="1" applyFont="1" applyFill="1" applyBorder="1" applyProtection="1">
      <protection locked="0"/>
    </xf>
    <xf numFmtId="165" fontId="36" fillId="0" borderId="0" xfId="0" applyNumberFormat="1" applyFont="1" applyFill="1" applyBorder="1" applyAlignment="1" applyProtection="1">
      <alignment horizontal="left"/>
    </xf>
    <xf numFmtId="165" fontId="37" fillId="0" borderId="0" xfId="0" applyNumberFormat="1" applyFont="1" applyFill="1" applyBorder="1" applyAlignment="1" applyProtection="1">
      <alignment horizontal="left"/>
    </xf>
    <xf numFmtId="165" fontId="39" fillId="2" borderId="0" xfId="0" applyNumberFormat="1" applyFont="1" applyFill="1" applyBorder="1" applyProtection="1">
      <protection locked="0"/>
    </xf>
    <xf numFmtId="165" fontId="37" fillId="0" borderId="0" xfId="0" applyNumberFormat="1" applyFont="1" applyFill="1" applyBorder="1" applyProtection="1"/>
    <xf numFmtId="165" fontId="36" fillId="0" borderId="0" xfId="0" applyNumberFormat="1" applyFont="1" applyFill="1" applyBorder="1" applyProtection="1"/>
    <xf numFmtId="3" fontId="37" fillId="0" borderId="0" xfId="0" applyNumberFormat="1" applyFont="1" applyFill="1" applyBorder="1" applyAlignment="1" applyProtection="1">
      <alignment horizontal="left"/>
    </xf>
    <xf numFmtId="0" fontId="31" fillId="4" borderId="13" xfId="0" quotePrefix="1" applyNumberFormat="1" applyFont="1" applyFill="1" applyBorder="1" applyAlignment="1" applyProtection="1">
      <alignment horizontal="center"/>
    </xf>
    <xf numFmtId="0" fontId="32" fillId="4" borderId="13" xfId="0" applyFont="1" applyFill="1" applyBorder="1" applyAlignment="1" applyProtection="1">
      <alignment horizontal="center"/>
    </xf>
  </cellXfs>
  <cellStyles count="5">
    <cellStyle name="Euro" xfId="1"/>
    <cellStyle name="Hyperlink" xfId="2" builtinId="8"/>
    <cellStyle name="Procent" xfId="3" builtinId="5"/>
    <cellStyle name="Standaard" xfId="0" builtinId="0"/>
    <cellStyle name="Valuta" xfId="4" builtin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2</xdr:row>
      <xdr:rowOff>28575</xdr:rowOff>
    </xdr:from>
    <xdr:to>
      <xdr:col>11</xdr:col>
      <xdr:colOff>609600</xdr:colOff>
      <xdr:row>4</xdr:row>
      <xdr:rowOff>123825</xdr:rowOff>
    </xdr:to>
    <xdr:pic>
      <xdr:nvPicPr>
        <xdr:cNvPr id="7578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29350" y="352425"/>
          <a:ext cx="1400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goedhart@poraad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9"/>
  <sheetViews>
    <sheetView zoomScaleSheetLayoutView="85" workbookViewId="0">
      <selection activeCell="H3" sqref="H3"/>
    </sheetView>
  </sheetViews>
  <sheetFormatPr defaultColWidth="9.140625" defaultRowHeight="12.75" x14ac:dyDescent="0.2"/>
  <cols>
    <col min="1" max="1" width="4" style="4" customWidth="1"/>
    <col min="2" max="2" width="9.140625" style="4"/>
    <col min="3" max="3" width="12.7109375" style="4" bestFit="1" customWidth="1"/>
    <col min="4" max="4" width="9.140625" style="4"/>
    <col min="5" max="5" width="9.28515625" style="4" bestFit="1" customWidth="1"/>
    <col min="6" max="7" width="9.140625" style="4"/>
    <col min="8" max="8" width="10.7109375" style="4" bestFit="1" customWidth="1"/>
    <col min="9" max="9" width="11.5703125" style="4" bestFit="1" customWidth="1"/>
    <col min="10" max="12" width="9.140625" style="4"/>
    <col min="13" max="13" width="2.85546875" style="4" customWidth="1"/>
    <col min="14" max="16384" width="9.140625" style="4"/>
  </cols>
  <sheetData>
    <row r="3" spans="2:8" x14ac:dyDescent="0.2">
      <c r="B3" s="134" t="s">
        <v>117</v>
      </c>
      <c r="G3" s="131" t="s">
        <v>68</v>
      </c>
      <c r="H3" s="132">
        <v>42278</v>
      </c>
    </row>
    <row r="4" spans="2:8" x14ac:dyDescent="0.2">
      <c r="B4" s="131"/>
      <c r="C4" s="132"/>
      <c r="D4" s="133"/>
    </row>
    <row r="5" spans="2:8" x14ac:dyDescent="0.2">
      <c r="B5" s="5"/>
      <c r="C5" s="7"/>
    </row>
    <row r="6" spans="2:8" x14ac:dyDescent="0.2">
      <c r="B6" s="5"/>
      <c r="C6" s="7"/>
    </row>
    <row r="7" spans="2:8" x14ac:dyDescent="0.2">
      <c r="B7" s="5" t="s">
        <v>69</v>
      </c>
    </row>
    <row r="8" spans="2:8" x14ac:dyDescent="0.2">
      <c r="B8" s="4" t="s">
        <v>86</v>
      </c>
    </row>
    <row r="9" spans="2:8" x14ac:dyDescent="0.2">
      <c r="B9" s="135" t="s">
        <v>107</v>
      </c>
    </row>
    <row r="10" spans="2:8" x14ac:dyDescent="0.2">
      <c r="B10" s="4" t="s">
        <v>70</v>
      </c>
    </row>
    <row r="11" spans="2:8" x14ac:dyDescent="0.2">
      <c r="B11" s="4" t="s">
        <v>71</v>
      </c>
    </row>
    <row r="13" spans="2:8" x14ac:dyDescent="0.2">
      <c r="B13" s="4" t="s">
        <v>95</v>
      </c>
    </row>
    <row r="14" spans="2:8" x14ac:dyDescent="0.2">
      <c r="B14" s="4" t="s">
        <v>72</v>
      </c>
    </row>
    <row r="16" spans="2:8" x14ac:dyDescent="0.2">
      <c r="B16" s="135" t="s">
        <v>118</v>
      </c>
    </row>
    <row r="17" spans="2:2" x14ac:dyDescent="0.2">
      <c r="B17" s="135" t="s">
        <v>119</v>
      </c>
    </row>
    <row r="19" spans="2:2" x14ac:dyDescent="0.2">
      <c r="B19" s="5" t="s">
        <v>73</v>
      </c>
    </row>
    <row r="20" spans="2:2" x14ac:dyDescent="0.2">
      <c r="B20" s="135" t="s">
        <v>108</v>
      </c>
    </row>
    <row r="21" spans="2:2" x14ac:dyDescent="0.2">
      <c r="B21" s="135" t="s">
        <v>120</v>
      </c>
    </row>
    <row r="22" spans="2:2" x14ac:dyDescent="0.2">
      <c r="B22" s="135" t="s">
        <v>109</v>
      </c>
    </row>
    <row r="23" spans="2:2" x14ac:dyDescent="0.2">
      <c r="B23" s="8"/>
    </row>
    <row r="24" spans="2:2" x14ac:dyDescent="0.2">
      <c r="B24" s="4" t="s">
        <v>74</v>
      </c>
    </row>
    <row r="25" spans="2:2" x14ac:dyDescent="0.2">
      <c r="B25" s="135" t="s">
        <v>110</v>
      </c>
    </row>
    <row r="26" spans="2:2" x14ac:dyDescent="0.2">
      <c r="B26" s="135" t="s">
        <v>121</v>
      </c>
    </row>
    <row r="27" spans="2:2" x14ac:dyDescent="0.2">
      <c r="B27" s="135" t="s">
        <v>122</v>
      </c>
    </row>
    <row r="29" spans="2:2" x14ac:dyDescent="0.2">
      <c r="B29" s="4" t="s">
        <v>75</v>
      </c>
    </row>
    <row r="30" spans="2:2" x14ac:dyDescent="0.2">
      <c r="B30" s="4" t="s">
        <v>76</v>
      </c>
    </row>
    <row r="31" spans="2:2" x14ac:dyDescent="0.2">
      <c r="B31" s="4" t="s">
        <v>77</v>
      </c>
    </row>
    <row r="32" spans="2:2" x14ac:dyDescent="0.2">
      <c r="B32" s="4" t="s">
        <v>78</v>
      </c>
    </row>
    <row r="33" spans="2:2" x14ac:dyDescent="0.2">
      <c r="B33" s="4" t="s">
        <v>79</v>
      </c>
    </row>
    <row r="34" spans="2:2" x14ac:dyDescent="0.2">
      <c r="B34" s="135" t="s">
        <v>123</v>
      </c>
    </row>
    <row r="35" spans="2:2" x14ac:dyDescent="0.2">
      <c r="B35" s="135" t="s">
        <v>124</v>
      </c>
    </row>
    <row r="36" spans="2:2" x14ac:dyDescent="0.2">
      <c r="B36" s="135" t="s">
        <v>125</v>
      </c>
    </row>
    <row r="38" spans="2:2" x14ac:dyDescent="0.2">
      <c r="B38" s="4" t="s">
        <v>80</v>
      </c>
    </row>
    <row r="39" spans="2:2" x14ac:dyDescent="0.2">
      <c r="B39" s="135" t="s">
        <v>126</v>
      </c>
    </row>
    <row r="40" spans="2:2" x14ac:dyDescent="0.2">
      <c r="B40" s="135" t="s">
        <v>127</v>
      </c>
    </row>
    <row r="42" spans="2:2" x14ac:dyDescent="0.2">
      <c r="B42" s="5" t="s">
        <v>81</v>
      </c>
    </row>
    <row r="43" spans="2:2" x14ac:dyDescent="0.2">
      <c r="B43" s="4" t="s">
        <v>82</v>
      </c>
    </row>
    <row r="44" spans="2:2" x14ac:dyDescent="0.2">
      <c r="B44" s="4" t="s">
        <v>83</v>
      </c>
    </row>
    <row r="47" spans="2:2" x14ac:dyDescent="0.2">
      <c r="B47" s="4" t="s">
        <v>84</v>
      </c>
    </row>
    <row r="48" spans="2:2" x14ac:dyDescent="0.2">
      <c r="B48" s="4" t="s">
        <v>85</v>
      </c>
    </row>
    <row r="49" spans="2:6" x14ac:dyDescent="0.2">
      <c r="B49" s="4" t="s">
        <v>93</v>
      </c>
      <c r="F49" s="6" t="s">
        <v>94</v>
      </c>
    </row>
  </sheetData>
  <sheetProtection algorithmName="SHA-512" hashValue="nm+QWod6D1PzBQ8x+XZ/BqFfUHtBJEgqqjFjsT54dzxMOt6oQpleEAN4XBe9ccqzRj5Qzyhfm1OEFQuL1sSsiA==" saltValue="B6veSY+Mn6qymFKshWQfGw==" spinCount="100000" sheet="1" objects="1" scenarios="1"/>
  <phoneticPr fontId="0" type="noConversion"/>
  <hyperlinks>
    <hyperlink ref="F49" r:id="rId1"/>
  </hyperlinks>
  <pageMargins left="0.75" right="0.75" top="1" bottom="1" header="0.5" footer="0.5"/>
  <pageSetup paperSize="9" scale="77" orientation="portrait" r:id="rId2"/>
  <headerFooter alignWithMargins="0">
    <oddHeader>&amp;L&amp;F&amp;R&amp;A</oddHeader>
    <oddFooter>&amp;Lgoedhart / keizer&amp;C&amp;D&amp;Rpagina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6"/>
  <dimension ref="B1:Y1221"/>
  <sheetViews>
    <sheetView showGridLines="0" tabSelected="1" zoomScale="85" zoomScaleNormal="85" workbookViewId="0">
      <selection activeCell="B2" sqref="B2"/>
    </sheetView>
  </sheetViews>
  <sheetFormatPr defaultColWidth="9.140625" defaultRowHeight="12.75" x14ac:dyDescent="0.2"/>
  <cols>
    <col min="1" max="1" width="3.7109375" style="9" customWidth="1"/>
    <col min="2" max="3" width="2.7109375" style="9" customWidth="1"/>
    <col min="4" max="4" width="47.7109375" style="9" customWidth="1"/>
    <col min="5" max="5" width="2.7109375" style="9" customWidth="1"/>
    <col min="6" max="7" width="16.85546875" style="9" customWidth="1"/>
    <col min="8" max="10" width="2.7109375" style="9" customWidth="1"/>
    <col min="11" max="11" width="45.7109375" style="9" customWidth="1"/>
    <col min="12" max="12" width="1.85546875" style="9" customWidth="1"/>
    <col min="13" max="13" width="8.7109375" style="9" customWidth="1"/>
    <col min="14" max="14" width="2.7109375" style="9" customWidth="1"/>
    <col min="15" max="16" width="16.85546875" style="9" customWidth="1"/>
    <col min="17" max="18" width="2.7109375" style="9" customWidth="1"/>
    <col min="19" max="16384" width="9.140625" style="9"/>
  </cols>
  <sheetData>
    <row r="1" spans="2:18" ht="12.75" customHeight="1" x14ac:dyDescent="0.2"/>
    <row r="2" spans="2:18" x14ac:dyDescent="0.2">
      <c r="B2" s="17"/>
      <c r="C2" s="18"/>
      <c r="D2" s="19"/>
      <c r="E2" s="19"/>
      <c r="F2" s="20"/>
      <c r="G2" s="20"/>
      <c r="H2" s="20"/>
      <c r="I2" s="20"/>
      <c r="J2" s="18"/>
      <c r="K2" s="18"/>
      <c r="L2" s="18"/>
      <c r="M2" s="18"/>
      <c r="N2" s="18"/>
      <c r="O2" s="21"/>
      <c r="P2" s="21"/>
      <c r="Q2" s="18"/>
      <c r="R2" s="22"/>
    </row>
    <row r="3" spans="2:18" x14ac:dyDescent="0.2">
      <c r="B3" s="23"/>
      <c r="C3" s="24"/>
      <c r="D3" s="25"/>
      <c r="E3" s="25"/>
      <c r="F3" s="26"/>
      <c r="G3" s="26"/>
      <c r="H3" s="26"/>
      <c r="I3" s="26"/>
      <c r="J3" s="24"/>
      <c r="K3" s="24"/>
      <c r="L3" s="24"/>
      <c r="M3" s="24"/>
      <c r="N3" s="24"/>
      <c r="O3" s="27"/>
      <c r="P3" s="27"/>
      <c r="Q3" s="24"/>
      <c r="R3" s="28"/>
    </row>
    <row r="4" spans="2:18" s="12" customFormat="1" ht="18.75" x14ac:dyDescent="0.3">
      <c r="B4" s="107"/>
      <c r="C4" s="138" t="str">
        <f>"BUDGET MATERIEEL (LONDO) "&amp;tab!C4</f>
        <v>BUDGET MATERIEEL (LONDO) 2016</v>
      </c>
      <c r="D4" s="105"/>
      <c r="E4" s="105"/>
      <c r="F4" s="106"/>
      <c r="G4" s="29"/>
      <c r="H4" s="29"/>
      <c r="I4" s="29"/>
      <c r="J4" s="30"/>
      <c r="K4" s="29"/>
      <c r="L4" s="29"/>
      <c r="M4" s="29"/>
      <c r="N4" s="29"/>
      <c r="O4" s="31"/>
      <c r="P4" s="32"/>
      <c r="Q4" s="29"/>
      <c r="R4" s="33"/>
    </row>
    <row r="5" spans="2:18" s="13" customFormat="1" ht="18.75" x14ac:dyDescent="0.3">
      <c r="B5" s="34"/>
      <c r="C5" s="35" t="str">
        <f>tab!C2</f>
        <v>Speciale basisschool</v>
      </c>
      <c r="D5" s="36"/>
      <c r="E5" s="36"/>
      <c r="F5" s="37"/>
      <c r="G5" s="35"/>
      <c r="H5" s="35"/>
      <c r="I5" s="35"/>
      <c r="J5" s="35"/>
      <c r="K5" s="35"/>
      <c r="L5" s="35"/>
      <c r="M5" s="35"/>
      <c r="N5" s="35"/>
      <c r="O5" s="38"/>
      <c r="P5" s="38"/>
      <c r="Q5" s="35"/>
      <c r="R5" s="39"/>
    </row>
    <row r="6" spans="2:18" x14ac:dyDescent="0.2">
      <c r="B6" s="23"/>
      <c r="C6" s="24"/>
      <c r="D6" s="24"/>
      <c r="E6" s="24"/>
      <c r="F6" s="40"/>
      <c r="G6" s="41"/>
      <c r="H6" s="41"/>
      <c r="I6" s="41"/>
      <c r="J6" s="24"/>
      <c r="K6" s="24"/>
      <c r="L6" s="24"/>
      <c r="M6" s="24"/>
      <c r="N6" s="24"/>
      <c r="O6" s="27"/>
      <c r="P6" s="27"/>
      <c r="Q6" s="24"/>
      <c r="R6" s="28"/>
    </row>
    <row r="7" spans="2:18" x14ac:dyDescent="0.2">
      <c r="B7" s="23"/>
      <c r="C7" s="24"/>
      <c r="D7" s="24"/>
      <c r="E7" s="24"/>
      <c r="F7" s="25"/>
      <c r="G7" s="41"/>
      <c r="H7" s="41"/>
      <c r="I7" s="41"/>
      <c r="J7" s="24"/>
      <c r="K7" s="24"/>
      <c r="L7" s="24"/>
      <c r="M7" s="24"/>
      <c r="N7" s="24"/>
      <c r="O7" s="27"/>
      <c r="P7" s="27"/>
      <c r="Q7" s="24"/>
      <c r="R7" s="28"/>
    </row>
    <row r="8" spans="2:18" x14ac:dyDescent="0.2">
      <c r="B8" s="23"/>
      <c r="C8" s="57"/>
      <c r="D8" s="58"/>
      <c r="E8" s="58"/>
      <c r="F8" s="58"/>
      <c r="G8" s="58"/>
      <c r="H8" s="99"/>
      <c r="I8" s="26"/>
      <c r="J8" s="57"/>
      <c r="K8" s="59"/>
      <c r="L8" s="59"/>
      <c r="M8" s="60"/>
      <c r="N8" s="60"/>
      <c r="O8" s="61"/>
      <c r="P8" s="61"/>
      <c r="Q8" s="62"/>
      <c r="R8" s="28"/>
    </row>
    <row r="9" spans="2:18" x14ac:dyDescent="0.2">
      <c r="B9" s="23"/>
      <c r="C9" s="63"/>
      <c r="D9" s="139" t="s">
        <v>1</v>
      </c>
      <c r="E9" s="140"/>
      <c r="F9" s="141" t="s">
        <v>51</v>
      </c>
      <c r="G9" s="141" t="s">
        <v>89</v>
      </c>
      <c r="H9" s="142"/>
      <c r="I9" s="143"/>
      <c r="J9" s="144"/>
      <c r="K9" s="139" t="s">
        <v>0</v>
      </c>
      <c r="L9" s="139"/>
      <c r="M9" s="145"/>
      <c r="N9" s="145"/>
      <c r="O9" s="189">
        <f>tab!C4</f>
        <v>2016</v>
      </c>
      <c r="P9" s="190"/>
      <c r="Q9" s="68"/>
      <c r="R9" s="42"/>
    </row>
    <row r="10" spans="2:18" x14ac:dyDescent="0.2">
      <c r="B10" s="23"/>
      <c r="C10" s="63"/>
      <c r="D10" s="145"/>
      <c r="E10" s="145"/>
      <c r="F10" s="146">
        <f>tab!C6</f>
        <v>42278</v>
      </c>
      <c r="G10" s="168">
        <f>tab!C7</f>
        <v>42401</v>
      </c>
      <c r="H10" s="147"/>
      <c r="I10" s="148"/>
      <c r="J10" s="144"/>
      <c r="K10" s="140"/>
      <c r="L10" s="140"/>
      <c r="M10" s="149"/>
      <c r="N10" s="149"/>
      <c r="O10" s="150">
        <f>F10</f>
        <v>42278</v>
      </c>
      <c r="P10" s="150">
        <f>G10</f>
        <v>42401</v>
      </c>
      <c r="Q10" s="70"/>
      <c r="R10" s="28"/>
    </row>
    <row r="11" spans="2:18" x14ac:dyDescent="0.2">
      <c r="B11" s="23"/>
      <c r="C11" s="63"/>
      <c r="D11" s="145"/>
      <c r="E11" s="145"/>
      <c r="F11" s="151"/>
      <c r="G11" s="151"/>
      <c r="H11" s="147"/>
      <c r="I11" s="143"/>
      <c r="J11" s="152"/>
      <c r="K11" s="139" t="s">
        <v>11</v>
      </c>
      <c r="L11" s="139"/>
      <c r="M11" s="153" t="s">
        <v>92</v>
      </c>
      <c r="N11" s="145"/>
      <c r="O11" s="154"/>
      <c r="P11" s="154"/>
      <c r="Q11" s="70"/>
      <c r="R11" s="28"/>
    </row>
    <row r="12" spans="2:18" x14ac:dyDescent="0.2">
      <c r="B12" s="23"/>
      <c r="C12" s="63"/>
      <c r="D12" s="69" t="s">
        <v>66</v>
      </c>
      <c r="E12" s="69"/>
      <c r="F12" s="128">
        <v>150</v>
      </c>
      <c r="G12" s="128">
        <v>155</v>
      </c>
      <c r="H12" s="101"/>
      <c r="I12" s="26"/>
      <c r="J12" s="76"/>
      <c r="K12" s="66" t="s">
        <v>13</v>
      </c>
      <c r="L12" s="66"/>
      <c r="M12" s="66"/>
      <c r="N12" s="66"/>
      <c r="O12" s="71"/>
      <c r="P12" s="71"/>
      <c r="Q12" s="70"/>
      <c r="R12" s="28"/>
    </row>
    <row r="13" spans="2:18" x14ac:dyDescent="0.2">
      <c r="B13" s="23"/>
      <c r="C13" s="63"/>
      <c r="D13" s="66"/>
      <c r="E13" s="66"/>
      <c r="F13" s="66"/>
      <c r="G13" s="66"/>
      <c r="H13" s="68"/>
      <c r="I13" s="26"/>
      <c r="J13" s="76"/>
      <c r="K13" s="66" t="s">
        <v>14</v>
      </c>
      <c r="L13" s="66"/>
      <c r="M13" s="130">
        <v>0</v>
      </c>
      <c r="N13" s="66"/>
      <c r="O13" s="161">
        <f>IF('bekostiging materieel'!F12=0,0,(IF('bekostiging materieel'!F$16=0,(+tab!$C11+(tab!$D11*'bekostiging materieel'!F$30)),(('bekostiging materieel'!F$35*tab!$C11)+((tab!$D11*'bekostiging materieel'!F$31)+(tab!$D11*'bekostiging materieel'!F$32)+(tab!$D11*'bekostiging materieel'!F$33)+(tab!$D11*'bekostiging materieel'!F$34))))))</f>
        <v>43784.58</v>
      </c>
      <c r="P13" s="161">
        <f>IF('bekostiging materieel'!G12=0,0,(IF('bekostiging materieel'!G$16=0,(+tab!$C11+(tab!$D11*'bekostiging materieel'!G$30)),(('bekostiging materieel'!G$35*tab!$C11)+((tab!$D11*'bekostiging materieel'!G$31)+(tab!$D11*'bekostiging materieel'!G$32)+(tab!$D11*'bekostiging materieel'!G$33)+(tab!$D11*'bekostiging materieel'!G$34))))))</f>
        <v>46963.98</v>
      </c>
      <c r="Q13" s="68"/>
      <c r="R13" s="28"/>
    </row>
    <row r="14" spans="2:18" x14ac:dyDescent="0.2">
      <c r="B14" s="23"/>
      <c r="C14" s="63"/>
      <c r="D14" s="155" t="s">
        <v>65</v>
      </c>
      <c r="E14" s="66"/>
      <c r="F14" s="66"/>
      <c r="G14" s="66"/>
      <c r="H14" s="102"/>
      <c r="I14" s="26"/>
      <c r="J14" s="63"/>
      <c r="K14" s="66" t="s">
        <v>15</v>
      </c>
      <c r="L14" s="66"/>
      <c r="M14" s="130">
        <v>0</v>
      </c>
      <c r="N14" s="66"/>
      <c r="O14" s="161">
        <f>IF('bekostiging materieel'!F12=0,0,(IF('bekostiging materieel'!F$16=0,(+tab!$C12+(tab!$D12*'bekostiging materieel'!F$30)),(('bekostiging materieel'!F$35*tab!$C12)+((tab!$D12*'bekostiging materieel'!F$31)+(tab!$D12*'bekostiging materieel'!F$32)+(tab!$D12*'bekostiging materieel'!F$33)+(tab!$D12*'bekostiging materieel'!F$34))))))</f>
        <v>690.92</v>
      </c>
      <c r="P14" s="161">
        <f>IF('bekostiging materieel'!G12=0,0,(IF('bekostiging materieel'!G$16=0,(+tab!$C12+(tab!$D12*'bekostiging materieel'!G$30)),(('bekostiging materieel'!G$35*tab!$C12)+((tab!$D12*'bekostiging materieel'!G$31)+(tab!$D12*'bekostiging materieel'!G$32)+(tab!$D12*'bekostiging materieel'!G$33)+(tab!$D12*'bekostiging materieel'!G$34))))))</f>
        <v>739.22</v>
      </c>
      <c r="Q14" s="68"/>
      <c r="R14" s="28"/>
    </row>
    <row r="15" spans="2:18" x14ac:dyDescent="0.2">
      <c r="B15" s="23"/>
      <c r="C15" s="63"/>
      <c r="D15" s="66" t="s">
        <v>50</v>
      </c>
      <c r="E15" s="66"/>
      <c r="F15" s="162">
        <f>IF(F16=0,0,(IF(F12&lt;(F16+F17+F18),(F16+F17+F18),F12-(F16+F17+F18))))</f>
        <v>0</v>
      </c>
      <c r="G15" s="162">
        <f>IF(G16=0,0,(IF(G12&lt;(G16+G17+G18),(G16+G17+G18),G12-(G16+G17+G18))))</f>
        <v>0</v>
      </c>
      <c r="H15" s="68"/>
      <c r="I15" s="24"/>
      <c r="J15" s="63"/>
      <c r="K15" s="66" t="s">
        <v>16</v>
      </c>
      <c r="L15" s="66"/>
      <c r="M15" s="130">
        <v>0</v>
      </c>
      <c r="N15" s="66"/>
      <c r="O15" s="161">
        <f>IF('bekostiging materieel'!F12=0,0,(IF('bekostiging materieel'!F$16=0,(+tab!$C13+(tab!$D13*'bekostiging materieel'!F$30)),(('bekostiging materieel'!F$35*tab!$C13)+((tab!$D13*'bekostiging materieel'!F$31)+(tab!$D13*'bekostiging materieel'!F$32)+(tab!$D13*'bekostiging materieel'!F$33)+(tab!$D13*'bekostiging materieel'!F$34))))))</f>
        <v>27342</v>
      </c>
      <c r="P15" s="161">
        <f>IF('bekostiging materieel'!G12=0,0,(IF('bekostiging materieel'!G$16=0,(+tab!$C13+(tab!$D13*'bekostiging materieel'!G$30)),(('bekostiging materieel'!G$35*tab!$C13)+((tab!$D13*'bekostiging materieel'!G$31)+(tab!$D13*'bekostiging materieel'!G$32)+(tab!$D13*'bekostiging materieel'!G$33)+(tab!$D13*'bekostiging materieel'!G$34))))))</f>
        <v>29392.65</v>
      </c>
      <c r="Q15" s="68"/>
      <c r="R15" s="28"/>
    </row>
    <row r="16" spans="2:18" x14ac:dyDescent="0.2">
      <c r="B16" s="23"/>
      <c r="C16" s="63"/>
      <c r="D16" s="66" t="s">
        <v>61</v>
      </c>
      <c r="E16" s="66"/>
      <c r="F16" s="128">
        <v>0</v>
      </c>
      <c r="G16" s="128">
        <f t="shared" ref="G16:G18" si="0">F16</f>
        <v>0</v>
      </c>
      <c r="H16" s="68"/>
      <c r="I16" s="24"/>
      <c r="J16" s="63"/>
      <c r="K16" s="74"/>
      <c r="L16" s="74"/>
      <c r="M16" s="74"/>
      <c r="N16" s="74"/>
      <c r="O16" s="163">
        <f>SUM(O13:O15)</f>
        <v>71817.5</v>
      </c>
      <c r="P16" s="163">
        <f>SUM(P13:P15)</f>
        <v>77095.850000000006</v>
      </c>
      <c r="Q16" s="68"/>
      <c r="R16" s="43"/>
    </row>
    <row r="17" spans="2:18" x14ac:dyDescent="0.2">
      <c r="B17" s="23"/>
      <c r="C17" s="76"/>
      <c r="D17" s="66" t="s">
        <v>62</v>
      </c>
      <c r="E17" s="66"/>
      <c r="F17" s="128">
        <v>0</v>
      </c>
      <c r="G17" s="128">
        <f t="shared" si="0"/>
        <v>0</v>
      </c>
      <c r="H17" s="68"/>
      <c r="I17" s="26"/>
      <c r="J17" s="63"/>
      <c r="K17" s="66" t="s">
        <v>43</v>
      </c>
      <c r="L17" s="66"/>
      <c r="M17" s="66"/>
      <c r="N17" s="66"/>
      <c r="O17" s="75"/>
      <c r="P17" s="75"/>
      <c r="Q17" s="68"/>
      <c r="R17" s="43"/>
    </row>
    <row r="18" spans="2:18" x14ac:dyDescent="0.2">
      <c r="B18" s="23"/>
      <c r="C18" s="76"/>
      <c r="D18" s="66" t="s">
        <v>63</v>
      </c>
      <c r="E18" s="66"/>
      <c r="F18" s="128">
        <v>0</v>
      </c>
      <c r="G18" s="128">
        <f t="shared" si="0"/>
        <v>0</v>
      </c>
      <c r="H18" s="68"/>
      <c r="I18" s="24"/>
      <c r="J18" s="63"/>
      <c r="K18" s="66" t="s">
        <v>18</v>
      </c>
      <c r="L18" s="66"/>
      <c r="M18" s="130">
        <v>0</v>
      </c>
      <c r="N18" s="66"/>
      <c r="O18" s="161">
        <f>IF('bekostiging materieel'!F12=0,0,(IF('bekostiging materieel'!F$16=0,(+tab!$C17+(tab!$D17*'bekostiging materieel'!F$30)),(('bekostiging materieel'!F$35*tab!$C17)+((tab!$D17*'bekostiging materieel'!F$31)+(tab!$D17*'bekostiging materieel'!F$32)+(tab!$D17*'bekostiging materieel'!F$33)+(tab!$D17*'bekostiging materieel'!F$34))))))</f>
        <v>2288.09</v>
      </c>
      <c r="P18" s="161">
        <f>IF('bekostiging materieel'!G12=0,0,(IF('bekostiging materieel'!G$16=0,(+tab!$C17+(tab!$D17*'bekostiging materieel'!G$30)),(('bekostiging materieel'!G$35*tab!$C17)+((tab!$D17*'bekostiging materieel'!G$31)+(tab!$D17*'bekostiging materieel'!G$32)+(tab!$D17*'bekostiging materieel'!G$33)+(tab!$D17*'bekostiging materieel'!G$34))))))</f>
        <v>2452.94</v>
      </c>
      <c r="Q18" s="77"/>
      <c r="R18" s="43"/>
    </row>
    <row r="19" spans="2:18" x14ac:dyDescent="0.2">
      <c r="B19" s="23"/>
      <c r="C19" s="119"/>
      <c r="D19" s="120"/>
      <c r="E19" s="120"/>
      <c r="F19" s="120"/>
      <c r="G19" s="120"/>
      <c r="H19" s="98"/>
      <c r="I19" s="24"/>
      <c r="J19" s="103"/>
      <c r="K19" s="66" t="s">
        <v>19</v>
      </c>
      <c r="L19" s="66"/>
      <c r="M19" s="130">
        <v>0</v>
      </c>
      <c r="N19" s="66"/>
      <c r="O19" s="161">
        <f>IF('bekostiging materieel'!F12=0,0,(IF('bekostiging materieel'!F$16=0,(+tab!$C18+(tab!$D18*'bekostiging materieel'!F$30)),(('bekostiging materieel'!F$35*tab!$C18)+((tab!$D18*'bekostiging materieel'!F$31)+(tab!$D18*'bekostiging materieel'!F$32)+(tab!$D18*'bekostiging materieel'!F$33)+(tab!$D18*'bekostiging materieel'!F$34))))))</f>
        <v>9215.61</v>
      </c>
      <c r="P19" s="161">
        <f>IF('bekostiging materieel'!G12=0,0,(IF('bekostiging materieel'!G$16=0,(+tab!$C18+(tab!$D18*'bekostiging materieel'!G$30)),(('bekostiging materieel'!G$35*tab!$C18)+((tab!$D18*'bekostiging materieel'!G$31)+(tab!$D18*'bekostiging materieel'!G$32)+(tab!$D18*'bekostiging materieel'!G$33)+(tab!$D18*'bekostiging materieel'!G$34))))))</f>
        <v>9904.41</v>
      </c>
      <c r="Q19" s="78"/>
      <c r="R19" s="44"/>
    </row>
    <row r="20" spans="2:18" x14ac:dyDescent="0.2">
      <c r="B20" s="23"/>
      <c r="C20" s="48"/>
      <c r="D20" s="48"/>
      <c r="E20" s="24"/>
      <c r="F20" s="49"/>
      <c r="G20" s="49"/>
      <c r="H20" s="24"/>
      <c r="I20" s="24"/>
      <c r="J20" s="63"/>
      <c r="K20" s="66" t="s">
        <v>20</v>
      </c>
      <c r="L20" s="66"/>
      <c r="M20" s="130">
        <v>0</v>
      </c>
      <c r="N20" s="66"/>
      <c r="O20" s="161">
        <f>IF('bekostiging materieel'!F12=0,0,(IF('bekostiging materieel'!F$16=0,(+tab!$C19+(tab!$D19*'bekostiging materieel'!F$30)),(('bekostiging materieel'!F$35*tab!$C19)+((tab!$D19*'bekostiging materieel'!F$31)+(tab!$D19*'bekostiging materieel'!F$32)+(tab!$D19*'bekostiging materieel'!F$33)+(tab!$D19*'bekostiging materieel'!F$34))))))</f>
        <v>671.23</v>
      </c>
      <c r="P20" s="161">
        <f>IF('bekostiging materieel'!G12=0,0,(IF('bekostiging materieel'!G$16=0,(+tab!$C19+(tab!$D19*'bekostiging materieel'!G$30)),(('bekostiging materieel'!G$35*tab!$C19)+((tab!$D19*'bekostiging materieel'!G$31)+(tab!$D19*'bekostiging materieel'!G$32)+(tab!$D19*'bekostiging materieel'!G$33)+(tab!$D19*'bekostiging materieel'!G$34))))))</f>
        <v>718.48</v>
      </c>
      <c r="Q20" s="68"/>
      <c r="R20" s="45"/>
    </row>
    <row r="21" spans="2:18" x14ac:dyDescent="0.2">
      <c r="B21" s="23"/>
      <c r="C21" s="121"/>
      <c r="D21" s="122"/>
      <c r="E21" s="122"/>
      <c r="F21" s="122"/>
      <c r="G21" s="122"/>
      <c r="H21" s="123"/>
      <c r="I21" s="46"/>
      <c r="J21" s="63"/>
      <c r="K21" s="74"/>
      <c r="L21" s="74"/>
      <c r="M21" s="74"/>
      <c r="N21" s="74"/>
      <c r="O21" s="163">
        <f>SUM(O18:O20)</f>
        <v>12174.93</v>
      </c>
      <c r="P21" s="163">
        <f>SUM(P18:P20)</f>
        <v>13075.83</v>
      </c>
      <c r="Q21" s="68"/>
      <c r="R21" s="47"/>
    </row>
    <row r="22" spans="2:18" x14ac:dyDescent="0.2">
      <c r="B22" s="23"/>
      <c r="C22" s="76"/>
      <c r="D22" s="139" t="s">
        <v>3</v>
      </c>
      <c r="E22" s="66"/>
      <c r="F22" s="66"/>
      <c r="G22" s="66"/>
      <c r="H22" s="68"/>
      <c r="I22" s="24"/>
      <c r="J22" s="63"/>
      <c r="K22" s="64"/>
      <c r="L22" s="64"/>
      <c r="M22" s="67"/>
      <c r="N22" s="67"/>
      <c r="O22" s="79"/>
      <c r="P22" s="79"/>
      <c r="Q22" s="68"/>
      <c r="R22" s="43"/>
    </row>
    <row r="23" spans="2:18" x14ac:dyDescent="0.2">
      <c r="B23" s="23"/>
      <c r="C23" s="76"/>
      <c r="D23" s="66" t="s">
        <v>9</v>
      </c>
      <c r="E23" s="66"/>
      <c r="F23" s="162">
        <f>IF(F12=0,0,(ROUNDUP(IF(F12&lt;15,2,F12/14),0)))</f>
        <v>11</v>
      </c>
      <c r="G23" s="162">
        <f>IF(G12=0,0,(ROUNDUP(IF(G12&lt;15,2,G12/14),0)))</f>
        <v>12</v>
      </c>
      <c r="H23" s="78"/>
      <c r="I23" s="24"/>
      <c r="J23" s="76"/>
      <c r="K23" s="74" t="s">
        <v>21</v>
      </c>
      <c r="L23" s="74"/>
      <c r="M23" s="130">
        <v>0</v>
      </c>
      <c r="N23" s="74"/>
      <c r="O23" s="164">
        <f>IF('bekostiging materieel'!F12=0,0,(IF('bekostiging materieel'!F$16=0,(+tab!$C22+(tab!$D22*'bekostiging materieel'!F$30)),(('bekostiging materieel'!F$35*tab!$C22)+((tab!$D22*'bekostiging materieel'!F$31)+(tab!$D22*'bekostiging materieel'!F$32)+(tab!$D22*'bekostiging materieel'!F$33)+(tab!$D22*'bekostiging materieel'!F$34))))))</f>
        <v>3215.1899999999996</v>
      </c>
      <c r="P23" s="164">
        <f>IF('bekostiging materieel'!G12=0,0,(IF('bekostiging materieel'!G$16=0,(+tab!$C22+(tab!$D22*'bekostiging materieel'!G$30)),(('bekostiging materieel'!G$35*tab!$C22)+((tab!$D22*'bekostiging materieel'!G$31)+(tab!$D22*'bekostiging materieel'!G$32)+(tab!$D22*'bekostiging materieel'!G$33)+(tab!$D22*'bekostiging materieel'!G$34))))))</f>
        <v>3428.3399999999997</v>
      </c>
      <c r="Q23" s="68"/>
      <c r="R23" s="43"/>
    </row>
    <row r="24" spans="2:18" x14ac:dyDescent="0.2">
      <c r="B24" s="23"/>
      <c r="C24" s="63"/>
      <c r="D24" s="66" t="str">
        <f>D15</f>
        <v>Hoofdvestiging</v>
      </c>
      <c r="E24" s="66"/>
      <c r="F24" s="162">
        <f t="shared" ref="F24:G27" si="1">IF(F15=0,0,(ROUNDUP(IF(F15&lt;15,2,F15/14),0)))</f>
        <v>0</v>
      </c>
      <c r="G24" s="162">
        <f t="shared" si="1"/>
        <v>0</v>
      </c>
      <c r="H24" s="68"/>
      <c r="I24" s="24"/>
      <c r="J24" s="63"/>
      <c r="K24" s="80"/>
      <c r="L24" s="80"/>
      <c r="M24" s="67"/>
      <c r="N24" s="67"/>
      <c r="O24" s="79"/>
      <c r="P24" s="79"/>
      <c r="Q24" s="77"/>
      <c r="R24" s="43"/>
    </row>
    <row r="25" spans="2:18" x14ac:dyDescent="0.2">
      <c r="B25" s="23"/>
      <c r="C25" s="76"/>
      <c r="D25" s="66" t="str">
        <f>D16</f>
        <v>Nevenvestiging 1</v>
      </c>
      <c r="E25" s="66"/>
      <c r="F25" s="162">
        <f t="shared" si="1"/>
        <v>0</v>
      </c>
      <c r="G25" s="162">
        <f t="shared" si="1"/>
        <v>0</v>
      </c>
      <c r="H25" s="68"/>
      <c r="I25" s="24"/>
      <c r="J25" s="103"/>
      <c r="K25" s="81" t="s">
        <v>52</v>
      </c>
      <c r="L25" s="81"/>
      <c r="M25" s="81"/>
      <c r="N25" s="81"/>
      <c r="O25" s="165">
        <f>IF('bekostiging materieel'!F16=0,(VLOOKUP('bekostiging materieel'!F23,tab!$G$59:$H$108,2,FALSE)),(VLOOKUP('bekostiging materieel'!F24,tab!$G$59:$H$108,2,FALSE))+(VLOOKUP('bekostiging materieel'!F25,tab!$G$59:$H$108,2,FALSE))+(VLOOKUP('bekostiging materieel'!F26,tab!$G$59:$H$108,2,FALSE))+(VLOOKUP('bekostiging materieel'!F27,tab!$G$59:$H$108,2,FALSE)))</f>
        <v>87206</v>
      </c>
      <c r="P25" s="165">
        <f>IF('bekostiging materieel'!G16=0,(VLOOKUP('bekostiging materieel'!G23,tab!$G$59:$H$108,2,FALSE)),(VLOOKUP('bekostiging materieel'!G24,tab!$G$59:$H$108,2,FALSE))+(VLOOKUP('bekostiging materieel'!G25,tab!$G$59:$H$108,2,FALSE))+(VLOOKUP('bekostiging materieel'!G26,tab!$G$59:$H$108,2,FALSE))+(VLOOKUP('bekostiging materieel'!G27,tab!$G$59:$H$108,2,FALSE)))</f>
        <v>93598</v>
      </c>
      <c r="Q25" s="78"/>
      <c r="R25" s="44"/>
    </row>
    <row r="26" spans="2:18" x14ac:dyDescent="0.2">
      <c r="B26" s="23"/>
      <c r="C26" s="76"/>
      <c r="D26" s="66" t="str">
        <f>D17</f>
        <v>Nevenvestiging 2</v>
      </c>
      <c r="E26" s="66"/>
      <c r="F26" s="162">
        <f t="shared" si="1"/>
        <v>0</v>
      </c>
      <c r="G26" s="162">
        <f t="shared" si="1"/>
        <v>0</v>
      </c>
      <c r="H26" s="68"/>
      <c r="I26" s="24"/>
      <c r="J26" s="63"/>
      <c r="K26" s="66"/>
      <c r="L26" s="66"/>
      <c r="M26" s="66"/>
      <c r="N26" s="66"/>
      <c r="O26" s="66"/>
      <c r="P26" s="66"/>
      <c r="Q26" s="77"/>
      <c r="R26" s="45"/>
    </row>
    <row r="27" spans="2:18" x14ac:dyDescent="0.2">
      <c r="B27" s="23"/>
      <c r="C27" s="76"/>
      <c r="D27" s="66" t="str">
        <f>D18</f>
        <v>Nevenvestiging 3</v>
      </c>
      <c r="E27" s="66"/>
      <c r="F27" s="162">
        <f t="shared" si="1"/>
        <v>0</v>
      </c>
      <c r="G27" s="162">
        <f t="shared" si="1"/>
        <v>0</v>
      </c>
      <c r="H27" s="68"/>
      <c r="I27" s="24"/>
      <c r="J27" s="103"/>
      <c r="K27" s="67" t="s">
        <v>22</v>
      </c>
      <c r="L27" s="67"/>
      <c r="M27" s="66"/>
      <c r="N27" s="66"/>
      <c r="O27" s="72"/>
      <c r="P27" s="72" t="s">
        <v>12</v>
      </c>
      <c r="Q27" s="78"/>
      <c r="R27" s="44"/>
    </row>
    <row r="28" spans="2:18" x14ac:dyDescent="0.2">
      <c r="B28" s="23"/>
      <c r="C28" s="76"/>
      <c r="D28" s="66"/>
      <c r="E28" s="66"/>
      <c r="F28" s="66"/>
      <c r="G28" s="66"/>
      <c r="H28" s="68"/>
      <c r="I28" s="24"/>
      <c r="J28" s="63"/>
      <c r="K28" s="66" t="s">
        <v>41</v>
      </c>
      <c r="L28" s="66"/>
      <c r="M28" s="66"/>
      <c r="N28" s="66"/>
      <c r="O28" s="72"/>
      <c r="P28" s="72"/>
      <c r="Q28" s="78"/>
      <c r="R28" s="45"/>
    </row>
    <row r="29" spans="2:18" x14ac:dyDescent="0.2">
      <c r="B29" s="23"/>
      <c r="C29" s="76"/>
      <c r="D29" s="139" t="s">
        <v>2</v>
      </c>
      <c r="E29" s="66"/>
      <c r="F29" s="66"/>
      <c r="G29" s="66"/>
      <c r="H29" s="68"/>
      <c r="I29" s="46"/>
      <c r="J29" s="63"/>
      <c r="K29" s="66" t="s">
        <v>24</v>
      </c>
      <c r="L29" s="66"/>
      <c r="M29" s="130">
        <v>0</v>
      </c>
      <c r="N29" s="66"/>
      <c r="O29" s="161">
        <f>IF('bekostiging materieel'!F$12=0,0,(+tab!$C28+(tab!$D28*'bekostiging materieel'!F$12)))</f>
        <v>287.35000000000002</v>
      </c>
      <c r="P29" s="161">
        <f>IF('bekostiging materieel'!G$12=0,0,(+tab!$C28+(tab!$D28*'bekostiging materieel'!G$12)))</f>
        <v>296.60000000000002</v>
      </c>
      <c r="Q29" s="83"/>
      <c r="R29" s="45"/>
    </row>
    <row r="30" spans="2:18" x14ac:dyDescent="0.2">
      <c r="B30" s="23"/>
      <c r="C30" s="76"/>
      <c r="D30" s="66" t="s">
        <v>9</v>
      </c>
      <c r="E30" s="66"/>
      <c r="F30" s="162">
        <f t="shared" ref="F30:G34" si="2">LOOKUP(F23,groepenleerlingennu,vloeroppervlaknu)</f>
        <v>1400</v>
      </c>
      <c r="G30" s="162">
        <f t="shared" si="2"/>
        <v>1505</v>
      </c>
      <c r="H30" s="68"/>
      <c r="I30" s="24"/>
      <c r="J30" s="104"/>
      <c r="K30" s="66" t="s">
        <v>45</v>
      </c>
      <c r="L30" s="66"/>
      <c r="M30" s="130">
        <v>0</v>
      </c>
      <c r="N30" s="66"/>
      <c r="O30" s="161">
        <f>IF('bekostiging materieel'!F$12=0,0,(+tab!$C29+(tab!$D29*'bekostiging materieel'!F$12)))</f>
        <v>164.35</v>
      </c>
      <c r="P30" s="161">
        <f>IF('bekostiging materieel'!G$12=0,0,(+tab!$C29+(tab!$D29*'bekostiging materieel'!G$12)))</f>
        <v>169.5</v>
      </c>
      <c r="Q30" s="78"/>
      <c r="R30" s="47"/>
    </row>
    <row r="31" spans="2:18" x14ac:dyDescent="0.2">
      <c r="B31" s="23"/>
      <c r="C31" s="76"/>
      <c r="D31" s="66" t="str">
        <f>D24</f>
        <v>Hoofdvestiging</v>
      </c>
      <c r="E31" s="66"/>
      <c r="F31" s="162">
        <f t="shared" si="2"/>
        <v>0</v>
      </c>
      <c r="G31" s="162">
        <f t="shared" si="2"/>
        <v>0</v>
      </c>
      <c r="H31" s="68"/>
      <c r="I31" s="24"/>
      <c r="J31" s="63"/>
      <c r="K31" s="66" t="s">
        <v>25</v>
      </c>
      <c r="L31" s="66"/>
      <c r="M31" s="130">
        <v>0</v>
      </c>
      <c r="N31" s="66"/>
      <c r="O31" s="161">
        <f>IF('bekostiging materieel'!F$12=0,0,(+tab!$C30+(tab!$D30*'bekostiging materieel'!F$12)))</f>
        <v>48.45</v>
      </c>
      <c r="P31" s="161">
        <f>IF('bekostiging materieel'!G$12=0,0,(+tab!$C30+(tab!$D30*'bekostiging materieel'!G$12)))</f>
        <v>49.150000000000006</v>
      </c>
      <c r="Q31" s="68"/>
      <c r="R31" s="45"/>
    </row>
    <row r="32" spans="2:18" x14ac:dyDescent="0.2">
      <c r="B32" s="23"/>
      <c r="C32" s="76"/>
      <c r="D32" s="66" t="str">
        <f>D25</f>
        <v>Nevenvestiging 1</v>
      </c>
      <c r="E32" s="66"/>
      <c r="F32" s="162">
        <f t="shared" si="2"/>
        <v>0</v>
      </c>
      <c r="G32" s="162">
        <f t="shared" si="2"/>
        <v>0</v>
      </c>
      <c r="H32" s="68"/>
      <c r="I32" s="24"/>
      <c r="J32" s="63"/>
      <c r="K32" s="66" t="s">
        <v>26</v>
      </c>
      <c r="L32" s="66"/>
      <c r="M32" s="130">
        <v>0</v>
      </c>
      <c r="N32" s="66"/>
      <c r="O32" s="161">
        <f>IF('bekostiging materieel'!F$12=0,0,(+tab!$C31+(tab!$D31*'bekostiging materieel'!F$12)))</f>
        <v>735.81000000000017</v>
      </c>
      <c r="P32" s="161">
        <f>IF('bekostiging materieel'!G$12=0,0,(+tab!$C31+(tab!$D31*'bekostiging materieel'!G$12)))</f>
        <v>756.96</v>
      </c>
      <c r="Q32" s="68"/>
      <c r="R32" s="43"/>
    </row>
    <row r="33" spans="2:18" x14ac:dyDescent="0.2">
      <c r="B33" s="23"/>
      <c r="C33" s="76"/>
      <c r="D33" s="66" t="str">
        <f>D26</f>
        <v>Nevenvestiging 2</v>
      </c>
      <c r="E33" s="66"/>
      <c r="F33" s="162">
        <f t="shared" si="2"/>
        <v>0</v>
      </c>
      <c r="G33" s="162">
        <f t="shared" si="2"/>
        <v>0</v>
      </c>
      <c r="H33" s="68"/>
      <c r="I33" s="24"/>
      <c r="J33" s="63"/>
      <c r="K33" s="66" t="s">
        <v>5</v>
      </c>
      <c r="L33" s="66"/>
      <c r="M33" s="130">
        <v>0</v>
      </c>
      <c r="N33" s="66"/>
      <c r="O33" s="161">
        <f>IF('bekostiging materieel'!F$12=0,0,(+tab!$C32+(tab!$D32*'bekostiging materieel'!F$12)))</f>
        <v>3241.4800200000004</v>
      </c>
      <c r="P33" s="161">
        <f>IF('bekostiging materieel'!G$12=0,0,(+tab!$C32+(tab!$D32*'bekostiging materieel'!G$12)))</f>
        <v>3339.6760200000003</v>
      </c>
      <c r="Q33" s="68"/>
      <c r="R33" s="43"/>
    </row>
    <row r="34" spans="2:18" x14ac:dyDescent="0.2">
      <c r="B34" s="23"/>
      <c r="C34" s="76"/>
      <c r="D34" s="66" t="str">
        <f>D27</f>
        <v>Nevenvestiging 3</v>
      </c>
      <c r="E34" s="66"/>
      <c r="F34" s="162">
        <f t="shared" si="2"/>
        <v>0</v>
      </c>
      <c r="G34" s="162">
        <f t="shared" si="2"/>
        <v>0</v>
      </c>
      <c r="H34" s="68"/>
      <c r="I34" s="24"/>
      <c r="J34" s="63"/>
      <c r="K34" s="66" t="s">
        <v>6</v>
      </c>
      <c r="L34" s="66"/>
      <c r="M34" s="130">
        <v>0</v>
      </c>
      <c r="N34" s="66"/>
      <c r="O34" s="161">
        <f>IF('bekostiging materieel'!F$12=0,0,(+tab!$C33+(tab!$D33*'bekostiging materieel'!F$12)))</f>
        <v>3751.4880000000003</v>
      </c>
      <c r="P34" s="161">
        <f>IF('bekostiging materieel'!G$12=0,0,(+tab!$C33+(tab!$D33*'bekostiging materieel'!G$12)))</f>
        <v>3876.5376000000001</v>
      </c>
      <c r="Q34" s="68"/>
      <c r="R34" s="43"/>
    </row>
    <row r="35" spans="2:18" x14ac:dyDescent="0.2">
      <c r="B35" s="23"/>
      <c r="C35" s="119"/>
      <c r="D35" s="125" t="s">
        <v>4</v>
      </c>
      <c r="E35" s="126"/>
      <c r="F35" s="127">
        <f>(IF(F15=0,1,1)+IF(F16=0,0,1)+IF(F17=0,0,1)+IF(F18=0,0,1))</f>
        <v>1</v>
      </c>
      <c r="G35" s="127">
        <f>(IF(G15=0,1,1)+IF(G16=0,0,1)+IF(G17=0,0,1)+IF(G18=0,0,1))</f>
        <v>1</v>
      </c>
      <c r="H35" s="98"/>
      <c r="I35" s="24"/>
      <c r="J35" s="63"/>
      <c r="K35" s="66" t="s">
        <v>10</v>
      </c>
      <c r="L35" s="66"/>
      <c r="M35" s="130">
        <v>0</v>
      </c>
      <c r="N35" s="66"/>
      <c r="O35" s="161">
        <f>IF('bekostiging materieel'!F$12=0,0,(+tab!$C34+(tab!$D34*'bekostiging materieel'!F$12)))</f>
        <v>1682.4652799999999</v>
      </c>
      <c r="P35" s="161">
        <f>IF('bekostiging materieel'!G$12=0,0,(+tab!$C34+(tab!$D34*'bekostiging materieel'!G$12)))</f>
        <v>1721.5421799999999</v>
      </c>
      <c r="Q35" s="68"/>
      <c r="R35" s="43"/>
    </row>
    <row r="36" spans="2:18" x14ac:dyDescent="0.2">
      <c r="B36" s="23"/>
      <c r="C36" s="48"/>
      <c r="D36" s="24"/>
      <c r="E36" s="24"/>
      <c r="F36" s="24"/>
      <c r="G36" s="24"/>
      <c r="H36" s="24"/>
      <c r="I36" s="24"/>
      <c r="J36" s="63"/>
      <c r="K36" s="66" t="s">
        <v>27</v>
      </c>
      <c r="L36" s="66"/>
      <c r="M36" s="130">
        <v>0</v>
      </c>
      <c r="N36" s="66"/>
      <c r="O36" s="161">
        <f>IF('bekostiging materieel'!F$12=0,0,(+tab!$C35+(tab!$D35*'bekostiging materieel'!F$12)))</f>
        <v>151.34</v>
      </c>
      <c r="P36" s="161">
        <f>IF('bekostiging materieel'!G$12=0,0,(+tab!$C35+(tab!$D35*'bekostiging materieel'!G$12)))</f>
        <v>152.44</v>
      </c>
      <c r="Q36" s="68"/>
      <c r="R36" s="43"/>
    </row>
    <row r="37" spans="2:18" x14ac:dyDescent="0.2">
      <c r="B37" s="23"/>
      <c r="C37" s="121"/>
      <c r="D37" s="58"/>
      <c r="E37" s="58"/>
      <c r="F37" s="58"/>
      <c r="G37" s="58"/>
      <c r="H37" s="124"/>
      <c r="I37" s="24"/>
      <c r="J37" s="63"/>
      <c r="K37" s="66" t="s">
        <v>58</v>
      </c>
      <c r="L37" s="66"/>
      <c r="M37" s="130">
        <v>0</v>
      </c>
      <c r="N37" s="84"/>
      <c r="O37" s="161">
        <f>IF('bekostiging materieel'!F$12=0,0,(+tab!$C36+(tab!$D36*'bekostiging materieel'!F$12)))</f>
        <v>8645.6868599999998</v>
      </c>
      <c r="P37" s="161">
        <f>IF('bekostiging materieel'!G$12=0,0,(+tab!$C36+(tab!$D36*'bekostiging materieel'!G$12)))</f>
        <v>8874.1929600000003</v>
      </c>
      <c r="Q37" s="68"/>
      <c r="R37" s="43"/>
    </row>
    <row r="38" spans="2:18" x14ac:dyDescent="0.2">
      <c r="B38" s="23"/>
      <c r="C38" s="76"/>
      <c r="D38" s="139" t="s">
        <v>87</v>
      </c>
      <c r="E38" s="66"/>
      <c r="F38" s="65"/>
      <c r="G38" s="65"/>
      <c r="H38" s="68"/>
      <c r="I38" s="24"/>
      <c r="J38" s="63"/>
      <c r="K38" s="66" t="s">
        <v>60</v>
      </c>
      <c r="L38" s="66"/>
      <c r="M38" s="130">
        <v>0</v>
      </c>
      <c r="N38" s="85"/>
      <c r="O38" s="161">
        <f>IF('bekostiging materieel'!F$12=0,0,(+tab!$C37+(tab!$D37*'bekostiging materieel'!F$12)))</f>
        <v>10994.00412</v>
      </c>
      <c r="P38" s="161">
        <f>IF('bekostiging materieel'!G$12=0,0,(+tab!$C37+(tab!$D37*'bekostiging materieel'!G$12)))</f>
        <v>11298.311519999999</v>
      </c>
      <c r="Q38" s="68"/>
      <c r="R38" s="43"/>
    </row>
    <row r="39" spans="2:18" x14ac:dyDescent="0.2">
      <c r="B39" s="23"/>
      <c r="C39" s="63"/>
      <c r="D39" s="66"/>
      <c r="E39" s="66"/>
      <c r="F39" s="66"/>
      <c r="G39" s="66"/>
      <c r="H39" s="68"/>
      <c r="I39" s="24"/>
      <c r="J39" s="63"/>
      <c r="K39" s="66" t="s">
        <v>59</v>
      </c>
      <c r="L39" s="66"/>
      <c r="M39" s="130">
        <v>0</v>
      </c>
      <c r="N39" s="85"/>
      <c r="O39" s="161">
        <f>IF('bekostiging materieel'!F$12=0,0,(+tab!$C38+(tab!$D38*'bekostiging materieel'!F$12)))</f>
        <v>15594.356459999999</v>
      </c>
      <c r="P39" s="161">
        <f>IF('bekostiging materieel'!G$12=0,0,(+tab!$C38+(tab!$D38*'bekostiging materieel'!G$12)))</f>
        <v>16053.573059999999</v>
      </c>
      <c r="Q39" s="68"/>
      <c r="R39" s="43"/>
    </row>
    <row r="40" spans="2:18" x14ac:dyDescent="0.2">
      <c r="B40" s="23"/>
      <c r="C40" s="63"/>
      <c r="D40" s="66" t="s">
        <v>98</v>
      </c>
      <c r="E40" s="66"/>
      <c r="F40" s="162">
        <f>F12</f>
        <v>150</v>
      </c>
      <c r="G40" s="162">
        <f>G12</f>
        <v>155</v>
      </c>
      <c r="H40" s="68"/>
      <c r="I40" s="24"/>
      <c r="J40" s="63"/>
      <c r="K40" s="66" t="s">
        <v>28</v>
      </c>
      <c r="L40" s="66"/>
      <c r="M40" s="130">
        <v>0</v>
      </c>
      <c r="N40" s="66"/>
      <c r="O40" s="161">
        <f>IF('bekostiging materieel'!F$12=0,0,(+tab!$C39+(tab!$D39*'bekostiging materieel'!F$12)))</f>
        <v>3243.52</v>
      </c>
      <c r="P40" s="161">
        <f>IF('bekostiging materieel'!G$12=0,0,(+tab!$C39+(tab!$D39*'bekostiging materieel'!G$12)))</f>
        <v>3321.7200000000003</v>
      </c>
      <c r="Q40" s="68"/>
      <c r="R40" s="43"/>
    </row>
    <row r="41" spans="2:18" x14ac:dyDescent="0.2">
      <c r="B41" s="23"/>
      <c r="C41" s="63"/>
      <c r="D41" s="88" t="s">
        <v>96</v>
      </c>
      <c r="E41" s="66"/>
      <c r="F41" s="128">
        <v>120</v>
      </c>
      <c r="G41" s="128">
        <f>F41</f>
        <v>120</v>
      </c>
      <c r="H41" s="68"/>
      <c r="I41" s="24"/>
      <c r="J41" s="63"/>
      <c r="K41" s="74"/>
      <c r="L41" s="74"/>
      <c r="M41" s="74"/>
      <c r="N41" s="74"/>
      <c r="O41" s="163">
        <f>SUM(O29:O40)</f>
        <v>48540.300739999999</v>
      </c>
      <c r="P41" s="163">
        <f>SUM(P29:P40)</f>
        <v>49910.20334</v>
      </c>
      <c r="Q41" s="86"/>
      <c r="R41" s="43"/>
    </row>
    <row r="42" spans="2:18" x14ac:dyDescent="0.2">
      <c r="B42" s="23"/>
      <c r="C42" s="63"/>
      <c r="D42" s="66" t="s">
        <v>88</v>
      </c>
      <c r="E42" s="66"/>
      <c r="F42" s="166">
        <f>+F40-F41</f>
        <v>30</v>
      </c>
      <c r="G42" s="166">
        <f>+G40-G41</f>
        <v>35</v>
      </c>
      <c r="H42" s="68"/>
      <c r="I42" s="24"/>
      <c r="J42" s="63"/>
      <c r="K42" s="66" t="s">
        <v>42</v>
      </c>
      <c r="L42" s="66"/>
      <c r="M42" s="66"/>
      <c r="N42" s="66"/>
      <c r="O42" s="72"/>
      <c r="P42" s="72"/>
      <c r="Q42" s="87"/>
      <c r="R42" s="43"/>
    </row>
    <row r="43" spans="2:18" x14ac:dyDescent="0.2">
      <c r="B43" s="23"/>
      <c r="C43" s="63"/>
      <c r="D43" s="66"/>
      <c r="E43" s="66"/>
      <c r="F43" s="66"/>
      <c r="G43" s="66"/>
      <c r="H43" s="68"/>
      <c r="I43" s="24"/>
      <c r="J43" s="63"/>
      <c r="K43" s="66" t="s">
        <v>30</v>
      </c>
      <c r="L43" s="66"/>
      <c r="M43" s="130">
        <v>0</v>
      </c>
      <c r="N43" s="66"/>
      <c r="O43" s="161">
        <f>IF('bekostiging materieel'!F$12=0,0,(+tab!$C43+(tab!$D43*'bekostiging materieel'!F$12)))</f>
        <v>6598.17</v>
      </c>
      <c r="P43" s="161">
        <f>IF('bekostiging materieel'!G$12=0,0,(+tab!$C43+(tab!$D43*'bekostiging materieel'!G$12)))</f>
        <v>6700.92</v>
      </c>
      <c r="Q43" s="68"/>
      <c r="R43" s="43"/>
    </row>
    <row r="44" spans="2:18" x14ac:dyDescent="0.2">
      <c r="B44" s="23"/>
      <c r="C44" s="63"/>
      <c r="D44" s="66" t="s">
        <v>97</v>
      </c>
      <c r="E44" s="66"/>
      <c r="F44" s="129">
        <v>10000</v>
      </c>
      <c r="G44" s="162">
        <f>F44</f>
        <v>10000</v>
      </c>
      <c r="H44" s="100"/>
      <c r="I44" s="24"/>
      <c r="J44" s="63"/>
      <c r="K44" s="66" t="s">
        <v>31</v>
      </c>
      <c r="L44" s="66"/>
      <c r="M44" s="130">
        <v>0</v>
      </c>
      <c r="N44" s="66"/>
      <c r="O44" s="161">
        <f>IF('bekostiging materieel'!F$12=0,0,(+tab!$C44+(tab!$D44*'bekostiging materieel'!F$12)))</f>
        <v>1064.21</v>
      </c>
      <c r="P44" s="161">
        <f>IF('bekostiging materieel'!G$12=0,0,(+tab!$C44+(tab!$D44*'bekostiging materieel'!G$12)))</f>
        <v>1082.31</v>
      </c>
      <c r="Q44" s="77"/>
      <c r="R44" s="43"/>
    </row>
    <row r="45" spans="2:18" x14ac:dyDescent="0.2">
      <c r="B45" s="23"/>
      <c r="C45" s="63"/>
      <c r="D45" s="66"/>
      <c r="E45" s="66"/>
      <c r="F45" s="89"/>
      <c r="G45" s="73"/>
      <c r="H45" s="68"/>
      <c r="I45" s="24"/>
      <c r="J45" s="103"/>
      <c r="K45" s="66" t="s">
        <v>32</v>
      </c>
      <c r="L45" s="66"/>
      <c r="M45" s="130">
        <v>0</v>
      </c>
      <c r="N45" s="66"/>
      <c r="O45" s="161">
        <f>IF('bekostiging materieel'!F$12=0,0,(+tab!$C45+(tab!$D45*'bekostiging materieel'!F$12)))</f>
        <v>5050.7700000000004</v>
      </c>
      <c r="P45" s="161">
        <f>IF('bekostiging materieel'!G$12=0,0,(+tab!$C45+(tab!$D45*'bekostiging materieel'!G$12)))</f>
        <v>5154.42</v>
      </c>
      <c r="Q45" s="78"/>
      <c r="R45" s="43"/>
    </row>
    <row r="46" spans="2:18" x14ac:dyDescent="0.2">
      <c r="B46" s="23"/>
      <c r="C46" s="63"/>
      <c r="D46" s="88" t="s">
        <v>111</v>
      </c>
      <c r="E46" s="66"/>
      <c r="F46" s="160">
        <f>+F41*tab!D51</f>
        <v>26852.400000000001</v>
      </c>
      <c r="G46" s="160">
        <f>+F46</f>
        <v>26852.400000000001</v>
      </c>
      <c r="H46" s="100"/>
      <c r="I46" s="24"/>
      <c r="J46" s="63"/>
      <c r="K46" s="74" t="s">
        <v>44</v>
      </c>
      <c r="L46" s="74"/>
      <c r="M46" s="74"/>
      <c r="N46" s="74"/>
      <c r="O46" s="163">
        <f>+SUM(O43:O45)</f>
        <v>12713.150000000001</v>
      </c>
      <c r="P46" s="163">
        <f>+SUM(P43:P45)</f>
        <v>12937.65</v>
      </c>
      <c r="Q46" s="68"/>
      <c r="R46" s="44"/>
    </row>
    <row r="47" spans="2:18" x14ac:dyDescent="0.2">
      <c r="B47" s="23"/>
      <c r="C47" s="63"/>
      <c r="D47" s="88" t="s">
        <v>112</v>
      </c>
      <c r="E47" s="66"/>
      <c r="F47" s="160">
        <f>+F42*tab!$D51</f>
        <v>6713.1</v>
      </c>
      <c r="G47" s="160">
        <f>+G42*tab!$D51</f>
        <v>7831.9500000000007</v>
      </c>
      <c r="H47" s="100"/>
      <c r="I47" s="24"/>
      <c r="J47" s="63"/>
      <c r="K47" s="80"/>
      <c r="L47" s="80"/>
      <c r="M47" s="67"/>
      <c r="N47" s="67"/>
      <c r="O47" s="79"/>
      <c r="P47" s="79"/>
      <c r="Q47" s="68"/>
      <c r="R47" s="45"/>
    </row>
    <row r="48" spans="2:18" x14ac:dyDescent="0.2">
      <c r="B48" s="23"/>
      <c r="C48" s="63"/>
      <c r="D48" s="88" t="s">
        <v>113</v>
      </c>
      <c r="E48" s="66"/>
      <c r="F48" s="160">
        <f>+F44*tab!D52</f>
        <v>74400</v>
      </c>
      <c r="G48" s="160">
        <f>+F48</f>
        <v>74400</v>
      </c>
      <c r="H48" s="100"/>
      <c r="I48" s="24"/>
      <c r="J48" s="76"/>
      <c r="K48" s="90" t="s">
        <v>53</v>
      </c>
      <c r="L48" s="90"/>
      <c r="M48" s="81"/>
      <c r="N48" s="81"/>
      <c r="O48" s="165">
        <f>O41+O46</f>
        <v>61253.45074</v>
      </c>
      <c r="P48" s="165">
        <f>P41+P46</f>
        <v>62847.853340000001</v>
      </c>
      <c r="Q48" s="68"/>
      <c r="R48" s="43"/>
    </row>
    <row r="49" spans="2:19" x14ac:dyDescent="0.2">
      <c r="B49" s="23"/>
      <c r="C49" s="63"/>
      <c r="H49" s="100"/>
      <c r="I49" s="24"/>
      <c r="J49" s="63"/>
      <c r="K49" s="91"/>
      <c r="L49" s="91"/>
      <c r="M49" s="81"/>
      <c r="N49" s="81"/>
      <c r="O49" s="82"/>
      <c r="P49" s="82"/>
      <c r="Q49" s="68"/>
      <c r="R49" s="43"/>
    </row>
    <row r="50" spans="2:19" x14ac:dyDescent="0.2">
      <c r="B50" s="23"/>
      <c r="C50" s="63"/>
      <c r="H50" s="100"/>
      <c r="I50" s="26"/>
      <c r="J50" s="63"/>
      <c r="K50" s="92" t="s">
        <v>64</v>
      </c>
      <c r="L50" s="93"/>
      <c r="M50" s="130">
        <v>0</v>
      </c>
      <c r="N50" s="81"/>
      <c r="O50" s="165">
        <f>IF('bekostiging materieel'!F$12=0,0,(+tab!$C51+(tab!$D51*F41)))</f>
        <v>26852.400000000001</v>
      </c>
      <c r="P50" s="165">
        <f>IF('bekostiging materieel'!G$12=0,0,(+tab!$C51+(tab!$D51*G41)))</f>
        <v>26852.400000000001</v>
      </c>
      <c r="Q50" s="77"/>
      <c r="R50" s="43"/>
    </row>
    <row r="51" spans="2:19" x14ac:dyDescent="0.2">
      <c r="B51" s="23"/>
      <c r="C51" s="63"/>
      <c r="D51" s="66"/>
      <c r="E51" s="66"/>
      <c r="F51" s="66"/>
      <c r="G51" s="66"/>
      <c r="H51" s="68"/>
      <c r="I51" s="26"/>
      <c r="J51" s="103"/>
      <c r="K51" s="69"/>
      <c r="L51" s="69"/>
      <c r="M51" s="67"/>
      <c r="N51" s="67"/>
      <c r="O51" s="79"/>
      <c r="P51" s="79"/>
      <c r="Q51" s="78"/>
      <c r="R51" s="43"/>
    </row>
    <row r="52" spans="2:19" x14ac:dyDescent="0.2">
      <c r="B52" s="23"/>
      <c r="C52" s="63"/>
      <c r="D52" s="66"/>
      <c r="E52" s="66"/>
      <c r="F52" s="66"/>
      <c r="G52" s="66"/>
      <c r="H52" s="100"/>
      <c r="I52" s="26"/>
      <c r="J52" s="63"/>
      <c r="K52" s="94" t="s">
        <v>46</v>
      </c>
      <c r="L52" s="94"/>
      <c r="M52" s="159">
        <f>ROUND(((M13*O13+M14*O14+M15*O15+M18*O18+M19*O19+M20*O20+M23*O23+M29*O29+M30*O30+M31*O31+M32*O32+M33*O33+M34*O34+M35*O35+M36*O36+M37*O37+M38*O38+M39*O39+M40*O40+M43*O43+M44*O44+M45*O45+M50*O50)/O52),2)</f>
        <v>0</v>
      </c>
      <c r="N52" s="67"/>
      <c r="O52" s="167">
        <f>O25+O48+O50</f>
        <v>175311.85073999999</v>
      </c>
      <c r="P52" s="167">
        <f>P25+P48+P50</f>
        <v>183298.25334</v>
      </c>
      <c r="Q52" s="83"/>
      <c r="R52" s="44"/>
    </row>
    <row r="53" spans="2:19" x14ac:dyDescent="0.2">
      <c r="B53" s="23"/>
      <c r="C53" s="63"/>
      <c r="D53" s="66"/>
      <c r="E53" s="66"/>
      <c r="F53" s="66"/>
      <c r="G53" s="66"/>
      <c r="H53" s="100"/>
      <c r="I53" s="26"/>
      <c r="J53" s="104"/>
      <c r="K53" s="66"/>
      <c r="L53" s="66"/>
      <c r="M53" s="66"/>
      <c r="N53" s="66"/>
      <c r="O53" s="71"/>
      <c r="P53" s="71"/>
      <c r="Q53" s="83"/>
      <c r="R53" s="45"/>
    </row>
    <row r="54" spans="2:19" x14ac:dyDescent="0.2">
      <c r="B54" s="23"/>
      <c r="C54" s="63"/>
      <c r="D54" s="66"/>
      <c r="E54" s="66"/>
      <c r="F54" s="66"/>
      <c r="G54" s="66"/>
      <c r="H54" s="68"/>
      <c r="I54" s="26"/>
      <c r="J54" s="104"/>
      <c r="K54" s="156" t="s">
        <v>99</v>
      </c>
      <c r="L54" s="66"/>
      <c r="M54" s="66"/>
      <c r="N54" s="66"/>
      <c r="O54" s="71"/>
      <c r="P54" s="71"/>
      <c r="Q54" s="83"/>
      <c r="R54" s="47"/>
    </row>
    <row r="55" spans="2:19" x14ac:dyDescent="0.2">
      <c r="B55" s="23"/>
      <c r="C55" s="63"/>
      <c r="D55" s="66"/>
      <c r="E55" s="66"/>
      <c r="F55" s="66"/>
      <c r="G55" s="66"/>
      <c r="H55" s="68"/>
      <c r="I55" s="26"/>
      <c r="J55" s="104"/>
      <c r="K55" s="88" t="s">
        <v>103</v>
      </c>
      <c r="L55" s="66"/>
      <c r="M55" s="66"/>
      <c r="N55" s="66"/>
      <c r="O55" s="157">
        <f>M52*O52</f>
        <v>0</v>
      </c>
      <c r="P55" s="71"/>
      <c r="Q55" s="83"/>
      <c r="R55" s="47"/>
    </row>
    <row r="56" spans="2:19" x14ac:dyDescent="0.2">
      <c r="B56" s="23"/>
      <c r="C56" s="63"/>
      <c r="D56" s="66"/>
      <c r="E56" s="66"/>
      <c r="F56" s="66"/>
      <c r="G56" s="66"/>
      <c r="H56" s="68"/>
      <c r="I56" s="26"/>
      <c r="J56" s="104"/>
      <c r="K56" s="88" t="s">
        <v>100</v>
      </c>
      <c r="L56" s="81"/>
      <c r="M56" s="95"/>
      <c r="N56" s="95"/>
      <c r="O56" s="158">
        <f>P52-O52</f>
        <v>7986.4026000000013</v>
      </c>
      <c r="P56" s="71"/>
      <c r="Q56" s="83"/>
      <c r="R56" s="47"/>
    </row>
    <row r="57" spans="2:19" x14ac:dyDescent="0.2">
      <c r="B57" s="23"/>
      <c r="C57" s="63"/>
      <c r="D57" s="66"/>
      <c r="E57" s="66"/>
      <c r="F57" s="66"/>
      <c r="G57" s="66"/>
      <c r="H57" s="68"/>
      <c r="I57" s="26"/>
      <c r="J57" s="104"/>
      <c r="K57" s="88" t="s">
        <v>114</v>
      </c>
      <c r="L57" s="66"/>
      <c r="M57" s="66"/>
      <c r="N57" s="66"/>
      <c r="O57" s="157">
        <f>IF((F46+F47)&lt;F48,F47,(F48-F46))</f>
        <v>6713.1</v>
      </c>
      <c r="P57" s="71"/>
      <c r="Q57" s="83"/>
      <c r="R57" s="47"/>
    </row>
    <row r="58" spans="2:19" x14ac:dyDescent="0.2">
      <c r="B58" s="23"/>
      <c r="C58" s="96"/>
      <c r="D58" s="97"/>
      <c r="E58" s="97"/>
      <c r="F58" s="97"/>
      <c r="G58" s="97"/>
      <c r="H58" s="98"/>
      <c r="I58" s="24"/>
      <c r="J58" s="96"/>
      <c r="K58" s="97"/>
      <c r="L58" s="97"/>
      <c r="M58" s="97"/>
      <c r="N58" s="97"/>
      <c r="O58" s="97"/>
      <c r="P58" s="97"/>
      <c r="Q58" s="98"/>
      <c r="R58" s="28"/>
    </row>
    <row r="59" spans="2:19" x14ac:dyDescent="0.2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8"/>
    </row>
    <row r="60" spans="2:19" ht="15" x14ac:dyDescent="0.25">
      <c r="B60" s="50"/>
      <c r="C60" s="51"/>
      <c r="D60" s="52"/>
      <c r="E60" s="52"/>
      <c r="F60" s="52"/>
      <c r="G60" s="52"/>
      <c r="H60" s="53"/>
      <c r="I60" s="53"/>
      <c r="J60" s="51"/>
      <c r="K60" s="51"/>
      <c r="L60" s="51"/>
      <c r="M60" s="51"/>
      <c r="N60" s="51"/>
      <c r="O60" s="54"/>
      <c r="P60" s="54"/>
      <c r="Q60" s="55" t="s">
        <v>91</v>
      </c>
      <c r="R60" s="56"/>
      <c r="S60" s="10"/>
    </row>
    <row r="61" spans="2:19" x14ac:dyDescent="0.2">
      <c r="B61" s="10"/>
      <c r="J61" s="10"/>
      <c r="K61" s="10"/>
      <c r="L61" s="10"/>
      <c r="M61" s="10"/>
      <c r="N61" s="10"/>
      <c r="O61" s="11"/>
      <c r="P61" s="11"/>
      <c r="Q61" s="10"/>
      <c r="R61" s="10"/>
      <c r="S61" s="10"/>
    </row>
    <row r="62" spans="2:19" x14ac:dyDescent="0.2">
      <c r="J62" s="10"/>
      <c r="K62" s="10"/>
      <c r="L62" s="10"/>
      <c r="M62" s="10"/>
      <c r="N62" s="10"/>
      <c r="O62" s="10"/>
      <c r="P62" s="14"/>
      <c r="Q62" s="10"/>
      <c r="R62" s="10"/>
      <c r="S62" s="10"/>
    </row>
    <row r="63" spans="2:19" x14ac:dyDescent="0.2">
      <c r="J63" s="10"/>
      <c r="K63" s="10"/>
      <c r="L63" s="10"/>
      <c r="M63" s="10"/>
      <c r="N63" s="10"/>
      <c r="O63" s="10"/>
      <c r="P63" s="15"/>
      <c r="Q63" s="10"/>
      <c r="R63" s="10"/>
      <c r="S63" s="10"/>
    </row>
    <row r="64" spans="2:19" x14ac:dyDescent="0.2">
      <c r="J64" s="10"/>
      <c r="K64" s="10"/>
      <c r="L64" s="10"/>
      <c r="M64" s="10"/>
      <c r="N64" s="10"/>
      <c r="O64" s="10"/>
      <c r="P64" s="10"/>
      <c r="Q64" s="10"/>
      <c r="R64" s="10"/>
    </row>
    <row r="65" spans="10:18" x14ac:dyDescent="0.2">
      <c r="J65" s="10"/>
      <c r="K65" s="10"/>
      <c r="L65" s="10"/>
      <c r="M65" s="10"/>
      <c r="N65" s="10"/>
      <c r="O65" s="10"/>
      <c r="P65" s="10"/>
      <c r="Q65" s="10"/>
      <c r="R65" s="10"/>
    </row>
    <row r="1050" spans="4:25" x14ac:dyDescent="0.2">
      <c r="D1050" s="16"/>
      <c r="E1050" s="16"/>
      <c r="F1050" s="16"/>
      <c r="G1050" s="16"/>
      <c r="H1050" s="16"/>
      <c r="I1050" s="16"/>
    </row>
    <row r="1051" spans="4:25" x14ac:dyDescent="0.2">
      <c r="D1051" s="16"/>
      <c r="E1051" s="16"/>
      <c r="F1051" s="16"/>
      <c r="G1051" s="16"/>
      <c r="H1051" s="16"/>
      <c r="I1051" s="16"/>
    </row>
    <row r="1052" spans="4:25" x14ac:dyDescent="0.2">
      <c r="D1052" s="16"/>
      <c r="E1052" s="16"/>
      <c r="F1052" s="16"/>
      <c r="G1052" s="16"/>
      <c r="H1052" s="16"/>
      <c r="I1052" s="16"/>
    </row>
    <row r="1053" spans="4:25" x14ac:dyDescent="0.2">
      <c r="D1053" s="16"/>
      <c r="E1053" s="16"/>
      <c r="F1053" s="16"/>
      <c r="G1053" s="16"/>
      <c r="H1053" s="16"/>
      <c r="I1053" s="16"/>
      <c r="S1053" s="16"/>
      <c r="T1053" s="16"/>
      <c r="U1053" s="16"/>
      <c r="V1053" s="16"/>
      <c r="W1053" s="16"/>
      <c r="X1053" s="16"/>
      <c r="Y1053" s="16"/>
    </row>
    <row r="1054" spans="4:25" x14ac:dyDescent="0.2">
      <c r="D1054" s="16"/>
      <c r="E1054" s="16"/>
      <c r="F1054" s="16"/>
      <c r="G1054" s="16"/>
      <c r="H1054" s="16"/>
      <c r="I1054" s="16"/>
      <c r="S1054" s="16"/>
      <c r="T1054" s="16"/>
      <c r="U1054" s="16"/>
      <c r="V1054" s="16"/>
      <c r="W1054" s="16"/>
      <c r="X1054" s="16"/>
      <c r="Y1054" s="16"/>
    </row>
    <row r="1055" spans="4:25" x14ac:dyDescent="0.2"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</row>
    <row r="1056" spans="4:25" x14ac:dyDescent="0.2"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</row>
    <row r="1057" spans="4:25" x14ac:dyDescent="0.2"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</row>
    <row r="1058" spans="4:25" x14ac:dyDescent="0.2"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</row>
    <row r="1059" spans="4:25" x14ac:dyDescent="0.2"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</row>
    <row r="1060" spans="4:25" x14ac:dyDescent="0.2"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</row>
    <row r="1061" spans="4:25" x14ac:dyDescent="0.2"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</row>
    <row r="1062" spans="4:25" x14ac:dyDescent="0.2"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</row>
    <row r="1063" spans="4:25" x14ac:dyDescent="0.2"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</row>
    <row r="1064" spans="4:25" x14ac:dyDescent="0.2"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</row>
    <row r="1065" spans="4:25" x14ac:dyDescent="0.2"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</row>
    <row r="1066" spans="4:25" x14ac:dyDescent="0.2"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</row>
    <row r="1067" spans="4:25" x14ac:dyDescent="0.2"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</row>
    <row r="1068" spans="4:25" x14ac:dyDescent="0.2"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</row>
    <row r="1069" spans="4:25" x14ac:dyDescent="0.2"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</row>
    <row r="1070" spans="4:25" x14ac:dyDescent="0.2"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</row>
    <row r="1071" spans="4:25" x14ac:dyDescent="0.2"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</row>
    <row r="1072" spans="4:25" x14ac:dyDescent="0.2"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</row>
    <row r="1073" spans="4:25" x14ac:dyDescent="0.2"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</row>
    <row r="1074" spans="4:25" x14ac:dyDescent="0.2"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</row>
    <row r="1075" spans="4:25" x14ac:dyDescent="0.2"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</row>
    <row r="1076" spans="4:25" x14ac:dyDescent="0.2"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</row>
    <row r="1077" spans="4:25" x14ac:dyDescent="0.2"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</row>
    <row r="1078" spans="4:25" x14ac:dyDescent="0.2"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</row>
    <row r="1079" spans="4:25" x14ac:dyDescent="0.2"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</row>
    <row r="1080" spans="4:25" x14ac:dyDescent="0.2"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</row>
    <row r="1081" spans="4:25" x14ac:dyDescent="0.2"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</row>
    <row r="1082" spans="4:25" x14ac:dyDescent="0.2"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</row>
    <row r="1083" spans="4:25" x14ac:dyDescent="0.2"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</row>
    <row r="1084" spans="4:25" x14ac:dyDescent="0.2"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</row>
    <row r="1085" spans="4:25" x14ac:dyDescent="0.2"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</row>
    <row r="1086" spans="4:25" x14ac:dyDescent="0.2"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</row>
    <row r="1087" spans="4:25" x14ac:dyDescent="0.2"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</row>
    <row r="1088" spans="4:25" x14ac:dyDescent="0.2"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</row>
    <row r="1089" spans="4:25" x14ac:dyDescent="0.2"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</row>
    <row r="1090" spans="4:25" x14ac:dyDescent="0.2"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</row>
    <row r="1091" spans="4:25" x14ac:dyDescent="0.2"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</row>
    <row r="1092" spans="4:25" x14ac:dyDescent="0.2"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</row>
    <row r="1093" spans="4:25" x14ac:dyDescent="0.2"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</row>
    <row r="1094" spans="4:25" x14ac:dyDescent="0.2"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</row>
    <row r="1095" spans="4:25" x14ac:dyDescent="0.2"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</row>
    <row r="1096" spans="4:25" x14ac:dyDescent="0.2"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</row>
    <row r="1097" spans="4:25" x14ac:dyDescent="0.2"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</row>
    <row r="1098" spans="4:25" x14ac:dyDescent="0.2"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</row>
    <row r="1099" spans="4:25" x14ac:dyDescent="0.2"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</row>
    <row r="1100" spans="4:25" x14ac:dyDescent="0.2"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</row>
    <row r="1101" spans="4:25" x14ac:dyDescent="0.2"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</row>
    <row r="1102" spans="4:25" x14ac:dyDescent="0.2"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</row>
    <row r="1103" spans="4:25" x14ac:dyDescent="0.2"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</row>
    <row r="1104" spans="4:25" x14ac:dyDescent="0.2"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</row>
    <row r="1105" spans="4:25" x14ac:dyDescent="0.2"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</row>
    <row r="1106" spans="4:25" x14ac:dyDescent="0.2"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</row>
    <row r="1107" spans="4:25" x14ac:dyDescent="0.2"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</row>
    <row r="1108" spans="4:25" x14ac:dyDescent="0.2"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</row>
    <row r="1109" spans="4:25" x14ac:dyDescent="0.2"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</row>
    <row r="1110" spans="4:25" x14ac:dyDescent="0.2"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</row>
    <row r="1111" spans="4:25" x14ac:dyDescent="0.2"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</row>
    <row r="1112" spans="4:25" x14ac:dyDescent="0.2"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</row>
    <row r="1113" spans="4:25" x14ac:dyDescent="0.2"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</row>
    <row r="1114" spans="4:25" x14ac:dyDescent="0.2"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</row>
    <row r="1115" spans="4:25" x14ac:dyDescent="0.2"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</row>
    <row r="1116" spans="4:25" x14ac:dyDescent="0.2"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</row>
    <row r="1117" spans="4:25" x14ac:dyDescent="0.2"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</row>
    <row r="1118" spans="4:25" x14ac:dyDescent="0.2"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</row>
    <row r="1119" spans="4:25" x14ac:dyDescent="0.2"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</row>
    <row r="1120" spans="4:25" x14ac:dyDescent="0.2"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</row>
    <row r="1121" spans="4:25" x14ac:dyDescent="0.2"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</row>
    <row r="1122" spans="4:25" x14ac:dyDescent="0.2"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</row>
    <row r="1123" spans="4:25" x14ac:dyDescent="0.2"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</row>
    <row r="1124" spans="4:25" x14ac:dyDescent="0.2"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</row>
    <row r="1125" spans="4:25" x14ac:dyDescent="0.2"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</row>
    <row r="1126" spans="4:25" x14ac:dyDescent="0.2"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</row>
    <row r="1127" spans="4:25" x14ac:dyDescent="0.2"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</row>
    <row r="1128" spans="4:25" x14ac:dyDescent="0.2"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</row>
    <row r="1129" spans="4:25" x14ac:dyDescent="0.2"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</row>
    <row r="1130" spans="4:25" x14ac:dyDescent="0.2"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</row>
    <row r="1131" spans="4:25" x14ac:dyDescent="0.2"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</row>
    <row r="1132" spans="4:25" x14ac:dyDescent="0.2"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</row>
    <row r="1133" spans="4:25" x14ac:dyDescent="0.2"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</row>
    <row r="1134" spans="4:25" x14ac:dyDescent="0.2"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</row>
    <row r="1135" spans="4:25" x14ac:dyDescent="0.2"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</row>
    <row r="1136" spans="4:25" x14ac:dyDescent="0.2"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</row>
    <row r="1137" spans="4:25" x14ac:dyDescent="0.2"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</row>
    <row r="1138" spans="4:25" x14ac:dyDescent="0.2"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</row>
    <row r="1139" spans="4:25" x14ac:dyDescent="0.2"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</row>
    <row r="1140" spans="4:25" x14ac:dyDescent="0.2"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</row>
    <row r="1141" spans="4:25" x14ac:dyDescent="0.2"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</row>
    <row r="1142" spans="4:25" x14ac:dyDescent="0.2"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</row>
    <row r="1143" spans="4:25" x14ac:dyDescent="0.2"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</row>
    <row r="1144" spans="4:25" x14ac:dyDescent="0.2"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</row>
    <row r="1145" spans="4:25" x14ac:dyDescent="0.2"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</row>
    <row r="1146" spans="4:25" x14ac:dyDescent="0.2"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</row>
    <row r="1147" spans="4:25" x14ac:dyDescent="0.2"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</row>
    <row r="1148" spans="4:25" x14ac:dyDescent="0.2"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</row>
    <row r="1149" spans="4:25" x14ac:dyDescent="0.2"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</row>
    <row r="1150" spans="4:25" x14ac:dyDescent="0.2"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</row>
    <row r="1151" spans="4:25" x14ac:dyDescent="0.2"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</row>
    <row r="1152" spans="4:25" x14ac:dyDescent="0.2"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</row>
    <row r="1153" spans="4:25" x14ac:dyDescent="0.2"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</row>
    <row r="1154" spans="4:25" x14ac:dyDescent="0.2"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</row>
    <row r="1155" spans="4:25" x14ac:dyDescent="0.2"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</row>
    <row r="1156" spans="4:25" x14ac:dyDescent="0.2"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</row>
    <row r="1157" spans="4:25" x14ac:dyDescent="0.2"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</row>
    <row r="1158" spans="4:25" x14ac:dyDescent="0.2"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</row>
    <row r="1159" spans="4:25" x14ac:dyDescent="0.2"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</row>
    <row r="1160" spans="4:25" x14ac:dyDescent="0.2"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</row>
    <row r="1161" spans="4:25" x14ac:dyDescent="0.2"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</row>
    <row r="1162" spans="4:25" x14ac:dyDescent="0.2"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</row>
    <row r="1163" spans="4:25" x14ac:dyDescent="0.2"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</row>
    <row r="1164" spans="4:25" x14ac:dyDescent="0.2"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</row>
    <row r="1165" spans="4:25" x14ac:dyDescent="0.2"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</row>
    <row r="1166" spans="4:25" x14ac:dyDescent="0.2"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</row>
    <row r="1167" spans="4:25" x14ac:dyDescent="0.2"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</row>
    <row r="1168" spans="4:25" x14ac:dyDescent="0.2"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</row>
    <row r="1169" spans="4:25" x14ac:dyDescent="0.2"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</row>
    <row r="1170" spans="4:25" x14ac:dyDescent="0.2"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</row>
    <row r="1171" spans="4:25" x14ac:dyDescent="0.2"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</row>
    <row r="1172" spans="4:25" x14ac:dyDescent="0.2"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</row>
    <row r="1173" spans="4:25" x14ac:dyDescent="0.2"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</row>
    <row r="1174" spans="4:25" x14ac:dyDescent="0.2"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</row>
    <row r="1175" spans="4:25" x14ac:dyDescent="0.2"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</row>
    <row r="1176" spans="4:25" x14ac:dyDescent="0.2"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</row>
    <row r="1177" spans="4:25" x14ac:dyDescent="0.2"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</row>
    <row r="1178" spans="4:25" x14ac:dyDescent="0.2"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</row>
    <row r="1179" spans="4:25" x14ac:dyDescent="0.2"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</row>
    <row r="1180" spans="4:25" x14ac:dyDescent="0.2"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</row>
    <row r="1181" spans="4:25" x14ac:dyDescent="0.2"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</row>
    <row r="1182" spans="4:25" x14ac:dyDescent="0.2"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</row>
    <row r="1183" spans="4:25" x14ac:dyDescent="0.2"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</row>
    <row r="1184" spans="4:25" x14ac:dyDescent="0.2"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</row>
    <row r="1185" spans="4:25" x14ac:dyDescent="0.2"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</row>
    <row r="1186" spans="4:25" x14ac:dyDescent="0.2"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</row>
    <row r="1187" spans="4:25" x14ac:dyDescent="0.2"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</row>
    <row r="1188" spans="4:25" x14ac:dyDescent="0.2"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</row>
    <row r="1189" spans="4:25" x14ac:dyDescent="0.2"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</row>
    <row r="1190" spans="4:25" x14ac:dyDescent="0.2"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</row>
    <row r="1191" spans="4:25" x14ac:dyDescent="0.2"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</row>
    <row r="1192" spans="4:25" x14ac:dyDescent="0.2"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</row>
    <row r="1193" spans="4:25" x14ac:dyDescent="0.2"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</row>
    <row r="1194" spans="4:25" x14ac:dyDescent="0.2"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</row>
    <row r="1195" spans="4:25" x14ac:dyDescent="0.2"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</row>
    <row r="1196" spans="4:25" x14ac:dyDescent="0.2"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</row>
    <row r="1197" spans="4:25" x14ac:dyDescent="0.2"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</row>
    <row r="1198" spans="4:25" x14ac:dyDescent="0.2"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</row>
    <row r="1199" spans="4:25" x14ac:dyDescent="0.2"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</row>
    <row r="1200" spans="4:25" x14ac:dyDescent="0.2"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</row>
    <row r="1201" spans="4:25" x14ac:dyDescent="0.2"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</row>
    <row r="1202" spans="4:25" x14ac:dyDescent="0.2"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</row>
    <row r="1203" spans="4:25" x14ac:dyDescent="0.2"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</row>
    <row r="1204" spans="4:25" x14ac:dyDescent="0.2"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</row>
    <row r="1205" spans="4:25" x14ac:dyDescent="0.2"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</row>
    <row r="1206" spans="4:25" x14ac:dyDescent="0.2"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</row>
    <row r="1207" spans="4:25" x14ac:dyDescent="0.2"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</row>
    <row r="1208" spans="4:25" x14ac:dyDescent="0.2"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</row>
    <row r="1209" spans="4:25" x14ac:dyDescent="0.2"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</row>
    <row r="1210" spans="4:25" x14ac:dyDescent="0.2"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</row>
    <row r="1211" spans="4:25" x14ac:dyDescent="0.2"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</row>
    <row r="1212" spans="4:25" x14ac:dyDescent="0.2"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</row>
    <row r="1213" spans="4:25" x14ac:dyDescent="0.2"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</row>
    <row r="1214" spans="4:25" x14ac:dyDescent="0.2"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</row>
    <row r="1215" spans="4:25" x14ac:dyDescent="0.2"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</row>
    <row r="1216" spans="4:25" x14ac:dyDescent="0.2"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</row>
    <row r="1217" spans="10:25" x14ac:dyDescent="0.2"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</row>
    <row r="1218" spans="10:25" x14ac:dyDescent="0.2"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</row>
    <row r="1219" spans="10:25" x14ac:dyDescent="0.2"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</row>
    <row r="1220" spans="10:25" x14ac:dyDescent="0.2">
      <c r="J1220" s="16"/>
      <c r="K1220" s="16"/>
      <c r="L1220" s="16"/>
      <c r="M1220" s="16"/>
      <c r="N1220" s="16"/>
      <c r="O1220" s="16"/>
      <c r="P1220" s="16"/>
      <c r="Q1220" s="16"/>
      <c r="R1220" s="16"/>
    </row>
    <row r="1221" spans="10:25" x14ac:dyDescent="0.2">
      <c r="J1221" s="16"/>
      <c r="K1221" s="16"/>
      <c r="L1221" s="16"/>
      <c r="M1221" s="16"/>
      <c r="N1221" s="16"/>
      <c r="O1221" s="16"/>
      <c r="P1221" s="16"/>
      <c r="Q1221" s="16"/>
      <c r="R1221" s="16"/>
    </row>
  </sheetData>
  <sheetProtection algorithmName="SHA-512" hashValue="lt84IrkuIFQnoFXhePsQvJrG3T6cxGSlk1QZBQ+n0xKJ7EkpvO44V0ohMA5ByOzO79rpTtchPRmbmg1BlHkPQw==" saltValue="Kjze4QmiPbkrObqRiwG/gQ==" spinCount="100000" sheet="1" objects="1" scenarios="1"/>
  <mergeCells count="1">
    <mergeCell ref="O9:P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>
    <oddHeader>&amp;L&amp;"Arial,Vet"&amp;F&amp;R&amp;"Arial,Vet"&amp;A</oddHeader>
    <oddFooter>&amp;L&amp;"Arial,Vet"goedhart / keizer&amp;C&amp;"Arial,Vet"&amp;D&amp;R&amp;"Arial,Vet"pagina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BP108"/>
  <sheetViews>
    <sheetView zoomScale="85" zoomScaleNormal="85" zoomScaleSheetLayoutView="50" workbookViewId="0">
      <selection activeCell="C2" sqref="C2"/>
    </sheetView>
  </sheetViews>
  <sheetFormatPr defaultColWidth="9.140625" defaultRowHeight="12.75" customHeight="1" x14ac:dyDescent="0.2"/>
  <cols>
    <col min="1" max="1" width="45.85546875" style="3" customWidth="1"/>
    <col min="2" max="2" width="2.7109375" style="3" customWidth="1"/>
    <col min="3" max="4" width="12.7109375" style="176" customWidth="1"/>
    <col min="5" max="5" width="12.7109375" style="3" customWidth="1"/>
    <col min="6" max="7" width="12.7109375" style="176" customWidth="1"/>
    <col min="8" max="32" width="12.7109375" style="3" customWidth="1"/>
    <col min="33" max="65" width="9.7109375" style="3" customWidth="1"/>
    <col min="66" max="67" width="9.7109375" style="110" customWidth="1"/>
    <col min="68" max="68" width="9.7109375" style="111" customWidth="1"/>
    <col min="69" max="145" width="9.7109375" style="3" customWidth="1"/>
    <col min="146" max="16384" width="9.140625" style="3"/>
  </cols>
  <sheetData>
    <row r="1" spans="1:38" ht="12.75" customHeight="1" x14ac:dyDescent="0.2">
      <c r="A1" s="108"/>
      <c r="B1" s="108"/>
      <c r="C1" s="172"/>
      <c r="D1" s="172"/>
      <c r="E1" s="108"/>
      <c r="F1" s="172"/>
      <c r="G1" s="172"/>
      <c r="AF1" s="108"/>
      <c r="AG1" s="108"/>
      <c r="AH1" s="108"/>
      <c r="AK1" s="109"/>
      <c r="AL1" s="109"/>
    </row>
    <row r="2" spans="1:38" ht="12.75" customHeight="1" x14ac:dyDescent="0.2">
      <c r="A2" s="3" t="s">
        <v>101</v>
      </c>
      <c r="B2" s="108"/>
      <c r="C2" s="173" t="s">
        <v>102</v>
      </c>
      <c r="D2" s="174"/>
      <c r="E2" s="108"/>
      <c r="F2" s="172"/>
      <c r="G2" s="172"/>
      <c r="AF2" s="108"/>
      <c r="AG2" s="108"/>
      <c r="AH2" s="108"/>
      <c r="AK2" s="109"/>
      <c r="AL2" s="109"/>
    </row>
    <row r="3" spans="1:38" ht="12.75" customHeight="1" x14ac:dyDescent="0.2">
      <c r="A3" s="108"/>
      <c r="B3" s="108"/>
      <c r="C3" s="172"/>
      <c r="D3" s="172"/>
      <c r="E3" s="108"/>
      <c r="F3" s="172"/>
      <c r="G3" s="172"/>
      <c r="AF3" s="108"/>
      <c r="AG3" s="108"/>
      <c r="AH3" s="108"/>
      <c r="AK3" s="109"/>
      <c r="AL3" s="109"/>
    </row>
    <row r="4" spans="1:38" ht="12.75" customHeight="1" x14ac:dyDescent="0.2">
      <c r="A4" s="3" t="s">
        <v>104</v>
      </c>
      <c r="B4" s="108"/>
      <c r="C4" s="175">
        <v>2016</v>
      </c>
      <c r="AF4" s="108"/>
      <c r="AG4" s="108"/>
      <c r="AH4" s="108"/>
      <c r="AK4" s="109"/>
      <c r="AL4" s="109"/>
    </row>
    <row r="5" spans="1:38" ht="12.75" customHeight="1" x14ac:dyDescent="0.2">
      <c r="A5" s="3" t="s">
        <v>105</v>
      </c>
      <c r="B5" s="108"/>
      <c r="C5" s="177">
        <v>2E-3</v>
      </c>
      <c r="AF5" s="108"/>
      <c r="AG5" s="108"/>
      <c r="AH5" s="108"/>
      <c r="AK5" s="109"/>
      <c r="AL5" s="109"/>
    </row>
    <row r="6" spans="1:38" ht="12.75" customHeight="1" x14ac:dyDescent="0.2">
      <c r="A6" s="3" t="s">
        <v>106</v>
      </c>
      <c r="B6" s="108"/>
      <c r="C6" s="178">
        <v>42278</v>
      </c>
      <c r="D6" s="179"/>
      <c r="F6" s="179"/>
      <c r="G6" s="179"/>
      <c r="H6" s="112"/>
      <c r="I6" s="112"/>
      <c r="AF6" s="108"/>
      <c r="AG6" s="108"/>
      <c r="AH6" s="108"/>
      <c r="AK6" s="109"/>
      <c r="AL6" s="109"/>
    </row>
    <row r="7" spans="1:38" ht="12.75" customHeight="1" x14ac:dyDescent="0.2">
      <c r="A7" s="3" t="s">
        <v>106</v>
      </c>
      <c r="B7" s="108"/>
      <c r="C7" s="178">
        <v>42401</v>
      </c>
      <c r="D7" s="179"/>
      <c r="F7" s="179"/>
      <c r="G7" s="179"/>
      <c r="H7" s="112"/>
      <c r="I7" s="112"/>
      <c r="AF7" s="108"/>
      <c r="AG7" s="108"/>
      <c r="AH7" s="108"/>
      <c r="AK7" s="109"/>
      <c r="AL7" s="109"/>
    </row>
    <row r="8" spans="1:38" ht="12.75" customHeight="1" x14ac:dyDescent="0.2">
      <c r="B8" s="108"/>
      <c r="C8" s="180"/>
      <c r="D8" s="172"/>
      <c r="E8" s="108"/>
      <c r="F8" s="172"/>
      <c r="G8" s="172"/>
      <c r="AF8" s="108"/>
      <c r="AG8" s="108"/>
      <c r="AH8" s="108"/>
      <c r="AK8" s="109"/>
      <c r="AL8" s="109"/>
    </row>
    <row r="9" spans="1:38" ht="12.75" customHeight="1" x14ac:dyDescent="0.2">
      <c r="A9" s="108" t="s">
        <v>11</v>
      </c>
      <c r="C9" s="181" t="s">
        <v>40</v>
      </c>
      <c r="D9" s="181" t="s">
        <v>39</v>
      </c>
      <c r="E9" s="1"/>
      <c r="AF9" s="108"/>
      <c r="AG9" s="108"/>
      <c r="AH9" s="108"/>
      <c r="AK9" s="109"/>
      <c r="AL9" s="109"/>
    </row>
    <row r="10" spans="1:38" ht="12.75" customHeight="1" x14ac:dyDescent="0.2">
      <c r="A10" s="3" t="s">
        <v>13</v>
      </c>
      <c r="C10" s="181"/>
      <c r="D10" s="181"/>
      <c r="E10" s="1"/>
      <c r="AF10" s="108"/>
      <c r="AG10" s="108"/>
      <c r="AH10" s="108"/>
      <c r="AK10" s="109"/>
      <c r="AL10" s="109"/>
    </row>
    <row r="11" spans="1:38" ht="12.75" customHeight="1" x14ac:dyDescent="0.2">
      <c r="A11" s="3" t="s">
        <v>14</v>
      </c>
      <c r="C11" s="182">
        <v>1392.58</v>
      </c>
      <c r="D11" s="182">
        <v>30.28</v>
      </c>
      <c r="E11" s="169"/>
      <c r="AF11" s="108"/>
      <c r="AG11" s="108"/>
      <c r="AH11" s="108"/>
      <c r="AK11" s="109"/>
      <c r="AL11" s="109"/>
    </row>
    <row r="12" spans="1:38" ht="12.75" customHeight="1" x14ac:dyDescent="0.2">
      <c r="A12" s="3" t="s">
        <v>15</v>
      </c>
      <c r="C12" s="182">
        <v>46.92</v>
      </c>
      <c r="D12" s="182">
        <v>0.46</v>
      </c>
      <c r="E12" s="169"/>
      <c r="AF12" s="108"/>
      <c r="AG12" s="108"/>
      <c r="AH12" s="108"/>
      <c r="AK12" s="109"/>
      <c r="AL12" s="109"/>
    </row>
    <row r="13" spans="1:38" ht="12.75" customHeight="1" x14ac:dyDescent="0.2">
      <c r="A13" s="3" t="s">
        <v>16</v>
      </c>
      <c r="C13" s="182">
        <v>0</v>
      </c>
      <c r="D13" s="182">
        <v>19.53</v>
      </c>
      <c r="E13" s="169"/>
      <c r="AF13" s="108"/>
      <c r="AG13" s="108"/>
      <c r="AH13" s="108"/>
      <c r="AK13" s="109"/>
      <c r="AL13" s="109"/>
    </row>
    <row r="14" spans="1:38" ht="12.75" customHeight="1" x14ac:dyDescent="0.2">
      <c r="A14" s="1" t="s">
        <v>33</v>
      </c>
      <c r="B14" s="108"/>
      <c r="C14" s="183">
        <f>SUM(C11:C13)</f>
        <v>1439.5</v>
      </c>
      <c r="D14" s="183">
        <f>SUM(D11:D13)</f>
        <v>50.27</v>
      </c>
      <c r="E14" s="170"/>
      <c r="H14" s="113"/>
      <c r="AF14" s="108"/>
      <c r="AG14" s="108"/>
      <c r="AH14" s="108"/>
      <c r="AK14" s="109"/>
      <c r="AL14" s="109"/>
    </row>
    <row r="15" spans="1:38" ht="12.75" customHeight="1" x14ac:dyDescent="0.2">
      <c r="A15" s="1"/>
      <c r="B15" s="108"/>
      <c r="C15" s="183"/>
      <c r="D15" s="183"/>
      <c r="E15" s="170"/>
      <c r="H15" s="113"/>
      <c r="AF15" s="108"/>
      <c r="AG15" s="108"/>
      <c r="AH15" s="108"/>
      <c r="AK15" s="109"/>
      <c r="AL15" s="109"/>
    </row>
    <row r="16" spans="1:38" ht="12.75" customHeight="1" x14ac:dyDescent="0.2">
      <c r="A16" s="3" t="s">
        <v>17</v>
      </c>
      <c r="B16" s="108"/>
      <c r="C16" s="183"/>
      <c r="D16" s="183"/>
      <c r="E16" s="170"/>
      <c r="H16" s="113"/>
      <c r="AF16" s="108"/>
      <c r="AG16" s="108"/>
      <c r="AH16" s="108"/>
      <c r="AK16" s="109"/>
      <c r="AL16" s="109"/>
    </row>
    <row r="17" spans="1:38" ht="12.75" customHeight="1" x14ac:dyDescent="0.2">
      <c r="A17" s="3" t="s">
        <v>18</v>
      </c>
      <c r="C17" s="182">
        <v>90.09</v>
      </c>
      <c r="D17" s="182">
        <v>1.57</v>
      </c>
      <c r="E17" s="169"/>
      <c r="AF17" s="108"/>
      <c r="AG17" s="108"/>
      <c r="AH17" s="108"/>
      <c r="AK17" s="109"/>
      <c r="AL17" s="109"/>
    </row>
    <row r="18" spans="1:38" ht="12.75" customHeight="1" x14ac:dyDescent="0.2">
      <c r="A18" s="3" t="s">
        <v>19</v>
      </c>
      <c r="C18" s="182">
        <v>31.61</v>
      </c>
      <c r="D18" s="182">
        <v>6.56</v>
      </c>
      <c r="E18" s="169"/>
      <c r="AF18" s="108"/>
      <c r="AG18" s="108"/>
      <c r="AH18" s="108"/>
      <c r="AK18" s="109"/>
      <c r="AL18" s="109"/>
    </row>
    <row r="19" spans="1:38" ht="12.75" customHeight="1" x14ac:dyDescent="0.2">
      <c r="A19" s="3" t="s">
        <v>35</v>
      </c>
      <c r="C19" s="182">
        <v>41.23</v>
      </c>
      <c r="D19" s="182">
        <v>0.45</v>
      </c>
      <c r="E19" s="169"/>
      <c r="AF19" s="108"/>
      <c r="AG19" s="108"/>
      <c r="AH19" s="108"/>
      <c r="AK19" s="109"/>
      <c r="AL19" s="109"/>
    </row>
    <row r="20" spans="1:38" ht="12.75" customHeight="1" x14ac:dyDescent="0.2">
      <c r="A20" s="1" t="s">
        <v>33</v>
      </c>
      <c r="B20" s="108"/>
      <c r="C20" s="183">
        <f>SUM(C17:C19)</f>
        <v>162.93</v>
      </c>
      <c r="D20" s="183">
        <f>SUM(D17:D19)</f>
        <v>8.5799999999999983</v>
      </c>
      <c r="E20" s="170"/>
      <c r="H20" s="113"/>
      <c r="AF20" s="108"/>
      <c r="AG20" s="108"/>
      <c r="AH20" s="108"/>
      <c r="AK20" s="109"/>
      <c r="AL20" s="109"/>
    </row>
    <row r="21" spans="1:38" ht="12.75" customHeight="1" x14ac:dyDescent="0.2">
      <c r="A21" s="1"/>
      <c r="B21" s="108"/>
      <c r="C21" s="183"/>
      <c r="D21" s="183"/>
      <c r="E21" s="170"/>
      <c r="H21" s="113"/>
      <c r="AF21" s="108"/>
      <c r="AG21" s="108"/>
      <c r="AH21" s="108"/>
      <c r="AK21" s="109"/>
      <c r="AL21" s="109"/>
    </row>
    <row r="22" spans="1:38" ht="12.75" customHeight="1" x14ac:dyDescent="0.2">
      <c r="A22" s="3" t="s">
        <v>36</v>
      </c>
      <c r="C22" s="182">
        <v>373.19</v>
      </c>
      <c r="D22" s="182">
        <v>2.0299999999999998</v>
      </c>
      <c r="E22" s="169"/>
      <c r="AF22" s="108"/>
      <c r="AG22" s="108"/>
      <c r="AH22" s="108"/>
      <c r="AK22" s="109"/>
      <c r="AL22" s="109"/>
    </row>
    <row r="23" spans="1:38" ht="12.75" customHeight="1" x14ac:dyDescent="0.2">
      <c r="E23" s="169"/>
      <c r="AF23" s="108"/>
      <c r="AG23" s="108"/>
      <c r="AH23" s="108"/>
      <c r="AK23" s="109"/>
      <c r="AL23" s="109"/>
    </row>
    <row r="24" spans="1:38" ht="12.75" customHeight="1" x14ac:dyDescent="0.2">
      <c r="A24" s="108" t="s">
        <v>37</v>
      </c>
      <c r="B24" s="108"/>
      <c r="C24" s="183">
        <f>+C14+C20+C22</f>
        <v>1975.6200000000001</v>
      </c>
      <c r="D24" s="183">
        <f>+D14+D20+D22</f>
        <v>60.88</v>
      </c>
      <c r="E24" s="169"/>
      <c r="AF24" s="108"/>
      <c r="AG24" s="108"/>
      <c r="AH24" s="108"/>
      <c r="AK24" s="109"/>
      <c r="AL24" s="109"/>
    </row>
    <row r="25" spans="1:38" ht="12.75" customHeight="1" x14ac:dyDescent="0.2">
      <c r="C25" s="184"/>
      <c r="D25" s="184"/>
      <c r="E25" s="169"/>
      <c r="AF25" s="108"/>
      <c r="AG25" s="108"/>
      <c r="AH25" s="108"/>
      <c r="AK25" s="109"/>
      <c r="AL25" s="109"/>
    </row>
    <row r="26" spans="1:38" ht="12.75" customHeight="1" x14ac:dyDescent="0.2">
      <c r="A26" s="108" t="s">
        <v>22</v>
      </c>
      <c r="C26" s="183" t="s">
        <v>40</v>
      </c>
      <c r="D26" s="183" t="s">
        <v>39</v>
      </c>
      <c r="E26" s="171"/>
      <c r="AF26" s="108"/>
      <c r="AG26" s="108"/>
      <c r="AH26" s="108"/>
      <c r="AK26" s="109"/>
      <c r="AL26" s="109"/>
    </row>
    <row r="27" spans="1:38" ht="12.75" customHeight="1" x14ac:dyDescent="0.2">
      <c r="A27" s="3" t="s">
        <v>23</v>
      </c>
      <c r="C27" s="183"/>
      <c r="D27" s="183"/>
      <c r="E27" s="171"/>
      <c r="AF27" s="108"/>
      <c r="AG27" s="108"/>
      <c r="AH27" s="108"/>
      <c r="AK27" s="109"/>
      <c r="AL27" s="109"/>
    </row>
    <row r="28" spans="1:38" ht="12.75" customHeight="1" x14ac:dyDescent="0.2">
      <c r="A28" s="3" t="s">
        <v>24</v>
      </c>
      <c r="C28" s="182">
        <v>9.85</v>
      </c>
      <c r="D28" s="182">
        <v>1.85</v>
      </c>
      <c r="E28" s="169"/>
      <c r="F28" s="186"/>
      <c r="G28" s="186"/>
      <c r="AF28" s="108"/>
      <c r="AG28" s="108"/>
      <c r="AH28" s="108"/>
      <c r="AK28" s="109"/>
      <c r="AL28" s="109"/>
    </row>
    <row r="29" spans="1:38" ht="12.75" customHeight="1" x14ac:dyDescent="0.2">
      <c r="A29" s="3" t="s">
        <v>38</v>
      </c>
      <c r="C29" s="182">
        <v>9.85</v>
      </c>
      <c r="D29" s="182">
        <v>1.03</v>
      </c>
      <c r="E29" s="169"/>
      <c r="F29" s="186"/>
      <c r="G29" s="186"/>
      <c r="AF29" s="108"/>
      <c r="AG29" s="108"/>
      <c r="AH29" s="108"/>
      <c r="AK29" s="109"/>
      <c r="AL29" s="109"/>
    </row>
    <row r="30" spans="1:38" ht="12.75" customHeight="1" x14ac:dyDescent="0.2">
      <c r="A30" s="3" t="s">
        <v>25</v>
      </c>
      <c r="C30" s="182">
        <v>27.45</v>
      </c>
      <c r="D30" s="182">
        <v>0.14000000000000001</v>
      </c>
      <c r="E30" s="169"/>
      <c r="F30" s="186"/>
      <c r="G30" s="186"/>
      <c r="AF30" s="108"/>
      <c r="AG30" s="108"/>
      <c r="AH30" s="108"/>
      <c r="AK30" s="109"/>
      <c r="AL30" s="109"/>
    </row>
    <row r="31" spans="1:38" ht="12.75" customHeight="1" x14ac:dyDescent="0.2">
      <c r="A31" s="3" t="s">
        <v>26</v>
      </c>
      <c r="C31" s="182">
        <v>101.31</v>
      </c>
      <c r="D31" s="182">
        <v>4.2300000000000004</v>
      </c>
      <c r="E31" s="169"/>
      <c r="F31" s="186"/>
      <c r="G31" s="186"/>
      <c r="AF31" s="108"/>
      <c r="AG31" s="108"/>
      <c r="AH31" s="108"/>
      <c r="AK31" s="109"/>
      <c r="AL31" s="109"/>
    </row>
    <row r="32" spans="1:38" ht="12.75" customHeight="1" x14ac:dyDescent="0.2">
      <c r="A32" s="3" t="s">
        <v>7</v>
      </c>
      <c r="C32" s="185">
        <v>295.60001999999997</v>
      </c>
      <c r="D32" s="185">
        <v>19.639200000000002</v>
      </c>
      <c r="E32" s="169"/>
      <c r="F32" s="186"/>
      <c r="G32" s="186"/>
      <c r="AF32" s="108"/>
      <c r="AG32" s="108"/>
      <c r="AH32" s="108"/>
      <c r="AK32" s="109"/>
      <c r="AL32" s="109"/>
    </row>
    <row r="33" spans="1:38" ht="12.75" customHeight="1" x14ac:dyDescent="0.2">
      <c r="A33" s="3" t="s">
        <v>8</v>
      </c>
      <c r="C33" s="185">
        <v>0</v>
      </c>
      <c r="D33" s="185">
        <v>25.009920000000001</v>
      </c>
      <c r="E33" s="169"/>
      <c r="F33" s="186"/>
      <c r="G33" s="186"/>
      <c r="AF33" s="108"/>
      <c r="AG33" s="108"/>
      <c r="AH33" s="108"/>
      <c r="AK33" s="109"/>
      <c r="AL33" s="109"/>
    </row>
    <row r="34" spans="1:38" ht="12.75" customHeight="1" x14ac:dyDescent="0.2">
      <c r="A34" s="3" t="s">
        <v>10</v>
      </c>
      <c r="C34" s="185">
        <v>510.15827999999999</v>
      </c>
      <c r="D34" s="185">
        <f>2.69538+5.12</f>
        <v>7.8153800000000002</v>
      </c>
      <c r="E34" s="169"/>
      <c r="F34" s="186">
        <f>SUM(C32:C34)</f>
        <v>805.75829999999996</v>
      </c>
      <c r="G34" s="186">
        <f>SUM(D32:D34)</f>
        <v>52.464500000000001</v>
      </c>
      <c r="AF34" s="108"/>
      <c r="AG34" s="108"/>
      <c r="AH34" s="108"/>
      <c r="AK34" s="109"/>
      <c r="AL34" s="109"/>
    </row>
    <row r="35" spans="1:38" ht="12.75" customHeight="1" x14ac:dyDescent="0.2">
      <c r="A35" s="3" t="s">
        <v>27</v>
      </c>
      <c r="C35" s="182">
        <v>118.34</v>
      </c>
      <c r="D35" s="182">
        <v>0.22</v>
      </c>
      <c r="E35" s="169"/>
      <c r="F35" s="186"/>
      <c r="G35" s="186"/>
      <c r="AF35" s="108"/>
      <c r="AG35" s="108"/>
      <c r="AH35" s="108"/>
      <c r="AK35" s="109"/>
      <c r="AL35" s="109"/>
    </row>
    <row r="36" spans="1:38" ht="12.75" customHeight="1" x14ac:dyDescent="0.2">
      <c r="A36" s="3" t="s">
        <v>58</v>
      </c>
      <c r="C36" s="185">
        <v>1790.50386</v>
      </c>
      <c r="D36" s="185">
        <v>45.701219999999999</v>
      </c>
      <c r="E36" s="169"/>
      <c r="F36" s="186"/>
      <c r="G36" s="186"/>
      <c r="H36" s="113"/>
      <c r="AF36" s="108"/>
      <c r="AG36" s="108"/>
      <c r="AH36" s="108"/>
      <c r="AK36" s="109"/>
      <c r="AL36" s="109"/>
    </row>
    <row r="37" spans="1:38" ht="12.75" customHeight="1" x14ac:dyDescent="0.2">
      <c r="A37" s="3" t="s">
        <v>60</v>
      </c>
      <c r="C37" s="185">
        <v>1864.7821199999998</v>
      </c>
      <c r="D37" s="185">
        <v>60.86148</v>
      </c>
      <c r="E37" s="169"/>
      <c r="F37" s="186"/>
      <c r="G37" s="186"/>
      <c r="AF37" s="108"/>
      <c r="AG37" s="108"/>
      <c r="AH37" s="108"/>
      <c r="AK37" s="109"/>
      <c r="AL37" s="109"/>
    </row>
    <row r="38" spans="1:38" ht="12.75" customHeight="1" x14ac:dyDescent="0.2">
      <c r="A38" s="3" t="s">
        <v>59</v>
      </c>
      <c r="C38" s="185">
        <v>1817.8584599999999</v>
      </c>
      <c r="D38" s="185">
        <v>91.843319999999991</v>
      </c>
      <c r="E38" s="169"/>
      <c r="F38" s="186">
        <f>SUM(C36:C38)</f>
        <v>5473.14444</v>
      </c>
      <c r="G38" s="186">
        <f>SUM(D36:D38)</f>
        <v>198.40602000000001</v>
      </c>
      <c r="AF38" s="108"/>
      <c r="AG38" s="108"/>
      <c r="AH38" s="108"/>
      <c r="AK38" s="109"/>
      <c r="AL38" s="109"/>
    </row>
    <row r="39" spans="1:38" ht="12.75" customHeight="1" x14ac:dyDescent="0.2">
      <c r="A39" s="3" t="s">
        <v>28</v>
      </c>
      <c r="C39" s="182">
        <v>897.52</v>
      </c>
      <c r="D39" s="182">
        <v>15.64</v>
      </c>
      <c r="E39" s="169"/>
      <c r="F39" s="186"/>
      <c r="G39" s="186"/>
      <c r="AF39" s="108"/>
      <c r="AG39" s="108"/>
      <c r="AH39" s="108"/>
      <c r="AK39" s="109"/>
      <c r="AL39" s="109"/>
    </row>
    <row r="40" spans="1:38" ht="12.75" customHeight="1" x14ac:dyDescent="0.2">
      <c r="A40" s="1" t="s">
        <v>33</v>
      </c>
      <c r="B40" s="108"/>
      <c r="C40" s="183">
        <f>SUM(C28:C39)</f>
        <v>7443.2227399999992</v>
      </c>
      <c r="D40" s="183">
        <f>SUM(D28:D39)</f>
        <v>273.98051999999996</v>
      </c>
      <c r="E40" s="170"/>
      <c r="F40" s="187"/>
      <c r="G40" s="187"/>
      <c r="AF40" s="108"/>
      <c r="AG40" s="108"/>
      <c r="AH40" s="108"/>
      <c r="AK40" s="109"/>
      <c r="AL40" s="109"/>
    </row>
    <row r="41" spans="1:38" ht="12.75" customHeight="1" x14ac:dyDescent="0.2">
      <c r="A41" s="1"/>
      <c r="B41" s="108"/>
      <c r="C41" s="183"/>
      <c r="D41" s="183"/>
      <c r="E41" s="170"/>
      <c r="AF41" s="108"/>
      <c r="AG41" s="108"/>
      <c r="AH41" s="108"/>
      <c r="AK41" s="109"/>
      <c r="AL41" s="109"/>
    </row>
    <row r="42" spans="1:38" ht="12.75" customHeight="1" x14ac:dyDescent="0.2">
      <c r="A42" s="3" t="s">
        <v>29</v>
      </c>
      <c r="C42" s="184"/>
      <c r="D42" s="184"/>
      <c r="E42" s="169"/>
      <c r="H42" s="113"/>
      <c r="AF42" s="108"/>
      <c r="AG42" s="108"/>
      <c r="AH42" s="108"/>
      <c r="AK42" s="109"/>
      <c r="AL42" s="109"/>
    </row>
    <row r="43" spans="1:38" ht="12.75" customHeight="1" x14ac:dyDescent="0.2">
      <c r="A43" s="3" t="s">
        <v>30</v>
      </c>
      <c r="C43" s="182">
        <v>3515.67</v>
      </c>
      <c r="D43" s="182">
        <v>20.55</v>
      </c>
      <c r="E43" s="169"/>
      <c r="AF43" s="108"/>
      <c r="AG43" s="108"/>
      <c r="AH43" s="108"/>
      <c r="AK43" s="109"/>
      <c r="AL43" s="109"/>
    </row>
    <row r="44" spans="1:38" ht="12.75" customHeight="1" x14ac:dyDescent="0.2">
      <c r="A44" s="3" t="s">
        <v>31</v>
      </c>
      <c r="C44" s="182">
        <v>521.21</v>
      </c>
      <c r="D44" s="182">
        <v>3.62</v>
      </c>
      <c r="E44" s="169"/>
      <c r="AF44" s="108"/>
      <c r="AG44" s="108"/>
      <c r="AH44" s="108"/>
      <c r="AK44" s="109"/>
      <c r="AL44" s="109"/>
    </row>
    <row r="45" spans="1:38" ht="12.75" customHeight="1" x14ac:dyDescent="0.2">
      <c r="A45" s="3" t="s">
        <v>32</v>
      </c>
      <c r="C45" s="182">
        <v>1941.27</v>
      </c>
      <c r="D45" s="182">
        <v>20.73</v>
      </c>
      <c r="E45" s="169"/>
      <c r="AF45" s="108"/>
      <c r="AG45" s="108"/>
      <c r="AH45" s="108"/>
      <c r="AK45" s="109"/>
      <c r="AL45" s="109"/>
    </row>
    <row r="46" spans="1:38" ht="12.75" customHeight="1" x14ac:dyDescent="0.2">
      <c r="A46" s="1" t="s">
        <v>33</v>
      </c>
      <c r="B46" s="108"/>
      <c r="C46" s="183">
        <f>SUM(C43:C45)</f>
        <v>5978.15</v>
      </c>
      <c r="D46" s="183">
        <f>SUM(D43:D45)</f>
        <v>44.900000000000006</v>
      </c>
      <c r="E46" s="170"/>
      <c r="AF46" s="108"/>
      <c r="AG46" s="108"/>
      <c r="AH46" s="108"/>
      <c r="AK46" s="109"/>
      <c r="AL46" s="109"/>
    </row>
    <row r="47" spans="1:38" ht="12.75" customHeight="1" x14ac:dyDescent="0.2">
      <c r="A47" s="1"/>
      <c r="B47" s="108"/>
      <c r="C47" s="183"/>
      <c r="D47" s="183"/>
      <c r="E47" s="113"/>
      <c r="AF47" s="108"/>
      <c r="AG47" s="108"/>
      <c r="AH47" s="108"/>
      <c r="AK47" s="109"/>
      <c r="AL47" s="109"/>
    </row>
    <row r="48" spans="1:38" ht="12.75" customHeight="1" x14ac:dyDescent="0.2">
      <c r="A48" s="108" t="s">
        <v>37</v>
      </c>
      <c r="B48" s="108"/>
      <c r="C48" s="183">
        <f>+C40+C46</f>
        <v>13421.372739999999</v>
      </c>
      <c r="D48" s="183">
        <f>+D40+D46</f>
        <v>318.88051999999993</v>
      </c>
      <c r="AF48" s="108"/>
      <c r="AG48" s="108"/>
      <c r="AH48" s="108"/>
      <c r="AK48" s="109"/>
      <c r="AL48" s="109"/>
    </row>
    <row r="49" spans="1:38" ht="12.75" customHeight="1" x14ac:dyDescent="0.2">
      <c r="C49" s="184"/>
      <c r="D49" s="184"/>
      <c r="AF49" s="108"/>
      <c r="AG49" s="108"/>
      <c r="AH49" s="108"/>
      <c r="AK49" s="109"/>
      <c r="AL49" s="109"/>
    </row>
    <row r="50" spans="1:38" ht="12.75" customHeight="1" x14ac:dyDescent="0.2">
      <c r="A50" s="108" t="s">
        <v>34</v>
      </c>
      <c r="C50" s="184"/>
      <c r="D50" s="184"/>
      <c r="AF50" s="108"/>
      <c r="AG50" s="108"/>
      <c r="AH50" s="108"/>
      <c r="AK50" s="109"/>
      <c r="AL50" s="109"/>
    </row>
    <row r="51" spans="1:38" ht="12.75" customHeight="1" x14ac:dyDescent="0.2">
      <c r="A51" s="3" t="s">
        <v>115</v>
      </c>
      <c r="C51" s="184">
        <v>0</v>
      </c>
      <c r="D51" s="182">
        <v>223.77</v>
      </c>
      <c r="AF51" s="108"/>
      <c r="AG51" s="108"/>
      <c r="AH51" s="108"/>
      <c r="AK51" s="109"/>
      <c r="AL51" s="109"/>
    </row>
    <row r="52" spans="1:38" ht="12.75" customHeight="1" x14ac:dyDescent="0.2">
      <c r="A52" s="3" t="s">
        <v>116</v>
      </c>
      <c r="C52" s="184">
        <v>0</v>
      </c>
      <c r="D52" s="182">
        <v>7.44</v>
      </c>
      <c r="AF52" s="108"/>
      <c r="AG52" s="108"/>
      <c r="AH52" s="108"/>
      <c r="AK52" s="109"/>
      <c r="AL52" s="109"/>
    </row>
    <row r="53" spans="1:38" ht="12.75" customHeight="1" x14ac:dyDescent="0.2">
      <c r="F53" s="184"/>
      <c r="G53" s="184"/>
      <c r="AF53" s="108"/>
      <c r="AG53" s="108"/>
      <c r="AH53" s="108"/>
      <c r="AK53" s="109"/>
      <c r="AL53" s="109"/>
    </row>
    <row r="54" spans="1:38" ht="12.75" customHeight="1" x14ac:dyDescent="0.2">
      <c r="F54" s="184"/>
      <c r="G54" s="184"/>
      <c r="AF54" s="108"/>
      <c r="AG54" s="108"/>
      <c r="AH54" s="108"/>
      <c r="AK54" s="109"/>
      <c r="AL54" s="109"/>
    </row>
    <row r="55" spans="1:38" ht="12.75" customHeight="1" x14ac:dyDescent="0.2">
      <c r="F55" s="184"/>
      <c r="G55" s="184"/>
      <c r="AF55" s="108"/>
      <c r="AG55" s="108"/>
      <c r="AH55" s="108"/>
      <c r="AK55" s="109"/>
      <c r="AL55" s="109"/>
    </row>
    <row r="56" spans="1:38" ht="12.75" customHeight="1" x14ac:dyDescent="0.2">
      <c r="A56" s="115" t="s">
        <v>67</v>
      </c>
      <c r="AF56" s="108"/>
      <c r="AG56" s="108"/>
      <c r="AH56" s="108"/>
      <c r="AK56" s="109"/>
      <c r="AL56" s="109"/>
    </row>
    <row r="57" spans="1:38" ht="12.75" customHeight="1" x14ac:dyDescent="0.2">
      <c r="A57" s="3" t="s">
        <v>90</v>
      </c>
      <c r="C57" s="176">
        <v>14</v>
      </c>
      <c r="D57" s="176" t="s">
        <v>49</v>
      </c>
      <c r="E57" s="3" t="s">
        <v>48</v>
      </c>
      <c r="G57" s="176" t="s">
        <v>54</v>
      </c>
      <c r="H57" s="3" t="s">
        <v>47</v>
      </c>
      <c r="I57" s="3" t="s">
        <v>55</v>
      </c>
      <c r="J57" s="116" t="s">
        <v>56</v>
      </c>
      <c r="K57" s="116" t="s">
        <v>57</v>
      </c>
      <c r="AK57" s="117"/>
      <c r="AL57" s="117"/>
    </row>
    <row r="59" spans="1:38" ht="12.75" customHeight="1" x14ac:dyDescent="0.2">
      <c r="D59" s="176">
        <v>0</v>
      </c>
      <c r="E59" s="3">
        <v>0</v>
      </c>
      <c r="G59" s="176">
        <v>0</v>
      </c>
      <c r="H59" s="137">
        <v>0</v>
      </c>
    </row>
    <row r="60" spans="1:38" ht="12.75" customHeight="1" x14ac:dyDescent="0.2">
      <c r="D60" s="176">
        <v>2</v>
      </c>
      <c r="E60" s="3">
        <v>375</v>
      </c>
      <c r="G60" s="188">
        <v>2</v>
      </c>
      <c r="H60" s="136">
        <v>24806</v>
      </c>
    </row>
    <row r="61" spans="1:38" ht="12.75" customHeight="1" x14ac:dyDescent="0.2">
      <c r="D61" s="176">
        <v>3</v>
      </c>
      <c r="E61" s="3">
        <v>495</v>
      </c>
      <c r="G61" s="188">
        <v>3</v>
      </c>
      <c r="H61" s="136">
        <v>32111</v>
      </c>
      <c r="I61" s="114">
        <f>+H61-H60</f>
        <v>7305</v>
      </c>
    </row>
    <row r="62" spans="1:38" ht="12.75" customHeight="1" x14ac:dyDescent="0.2">
      <c r="D62" s="176">
        <v>4</v>
      </c>
      <c r="E62" s="3">
        <v>650</v>
      </c>
      <c r="G62" s="188">
        <v>4</v>
      </c>
      <c r="H62" s="136">
        <v>41548</v>
      </c>
      <c r="I62" s="114">
        <f t="shared" ref="I62:I93" si="0">+H62-H61</f>
        <v>9437</v>
      </c>
    </row>
    <row r="63" spans="1:38" ht="12.75" customHeight="1" x14ac:dyDescent="0.2">
      <c r="D63" s="176">
        <v>5</v>
      </c>
      <c r="E63" s="3">
        <v>785</v>
      </c>
      <c r="G63" s="188">
        <v>5</v>
      </c>
      <c r="H63" s="136">
        <v>49766</v>
      </c>
      <c r="I63" s="114">
        <f t="shared" si="0"/>
        <v>8218</v>
      </c>
    </row>
    <row r="64" spans="1:38" ht="12.75" customHeight="1" x14ac:dyDescent="0.2">
      <c r="D64" s="176">
        <v>6</v>
      </c>
      <c r="E64" s="3">
        <v>875</v>
      </c>
      <c r="G64" s="188">
        <v>6</v>
      </c>
      <c r="H64" s="136">
        <v>55246</v>
      </c>
      <c r="I64" s="114">
        <f t="shared" si="0"/>
        <v>5480</v>
      </c>
    </row>
    <row r="65" spans="4:11" ht="12.75" customHeight="1" x14ac:dyDescent="0.2">
      <c r="D65" s="176">
        <v>7</v>
      </c>
      <c r="E65" s="3">
        <v>980</v>
      </c>
      <c r="G65" s="188">
        <v>7</v>
      </c>
      <c r="H65" s="118">
        <f>+H64+J65</f>
        <v>61638</v>
      </c>
      <c r="I65" s="114">
        <f t="shared" si="0"/>
        <v>6392</v>
      </c>
      <c r="J65" s="2">
        <v>6392</v>
      </c>
    </row>
    <row r="66" spans="4:11" ht="12.75" customHeight="1" x14ac:dyDescent="0.2">
      <c r="D66" s="176">
        <v>8</v>
      </c>
      <c r="E66" s="3">
        <v>1085</v>
      </c>
      <c r="G66" s="188">
        <v>8</v>
      </c>
      <c r="H66" s="118">
        <f t="shared" ref="H66:H93" si="1">+H65+J66</f>
        <v>68030</v>
      </c>
      <c r="I66" s="114">
        <f t="shared" si="0"/>
        <v>6392</v>
      </c>
      <c r="J66" s="114">
        <f>J65</f>
        <v>6392</v>
      </c>
    </row>
    <row r="67" spans="4:11" ht="12.75" customHeight="1" x14ac:dyDescent="0.2">
      <c r="D67" s="176">
        <v>9</v>
      </c>
      <c r="E67" s="3">
        <v>1190</v>
      </c>
      <c r="G67" s="188">
        <v>9</v>
      </c>
      <c r="H67" s="118">
        <f t="shared" si="1"/>
        <v>74422</v>
      </c>
      <c r="I67" s="114">
        <f t="shared" si="0"/>
        <v>6392</v>
      </c>
      <c r="J67" s="114">
        <f t="shared" ref="J67:J93" si="2">J66</f>
        <v>6392</v>
      </c>
    </row>
    <row r="68" spans="4:11" ht="12.75" customHeight="1" x14ac:dyDescent="0.2">
      <c r="D68" s="176">
        <v>10</v>
      </c>
      <c r="E68" s="3">
        <v>1295</v>
      </c>
      <c r="G68" s="188">
        <v>10</v>
      </c>
      <c r="H68" s="118">
        <f t="shared" si="1"/>
        <v>80814</v>
      </c>
      <c r="I68" s="114">
        <f t="shared" si="0"/>
        <v>6392</v>
      </c>
      <c r="J68" s="114">
        <f t="shared" si="2"/>
        <v>6392</v>
      </c>
    </row>
    <row r="69" spans="4:11" ht="12.75" customHeight="1" x14ac:dyDescent="0.2">
      <c r="D69" s="176">
        <v>11</v>
      </c>
      <c r="E69" s="3">
        <v>1400</v>
      </c>
      <c r="G69" s="188">
        <v>11</v>
      </c>
      <c r="H69" s="118">
        <f t="shared" si="1"/>
        <v>87206</v>
      </c>
      <c r="I69" s="114">
        <f t="shared" si="0"/>
        <v>6392</v>
      </c>
      <c r="J69" s="114">
        <f t="shared" si="2"/>
        <v>6392</v>
      </c>
    </row>
    <row r="70" spans="4:11" ht="12.75" customHeight="1" x14ac:dyDescent="0.2">
      <c r="D70" s="176">
        <v>12</v>
      </c>
      <c r="E70" s="3">
        <v>1505</v>
      </c>
      <c r="G70" s="188">
        <v>12</v>
      </c>
      <c r="H70" s="118">
        <f t="shared" si="1"/>
        <v>93598</v>
      </c>
      <c r="I70" s="114">
        <f t="shared" si="0"/>
        <v>6392</v>
      </c>
      <c r="J70" s="114">
        <f t="shared" si="2"/>
        <v>6392</v>
      </c>
    </row>
    <row r="71" spans="4:11" ht="12.75" customHeight="1" x14ac:dyDescent="0.2">
      <c r="D71" s="176">
        <v>13</v>
      </c>
      <c r="E71" s="3">
        <v>1610</v>
      </c>
      <c r="G71" s="188">
        <v>13</v>
      </c>
      <c r="H71" s="118">
        <f t="shared" si="1"/>
        <v>99990</v>
      </c>
      <c r="I71" s="114">
        <f t="shared" si="0"/>
        <v>6392</v>
      </c>
      <c r="J71" s="114">
        <f t="shared" si="2"/>
        <v>6392</v>
      </c>
    </row>
    <row r="72" spans="4:11" ht="12.75" customHeight="1" x14ac:dyDescent="0.2">
      <c r="D72" s="176">
        <v>14</v>
      </c>
      <c r="E72" s="3">
        <v>1755</v>
      </c>
      <c r="G72" s="188">
        <v>14</v>
      </c>
      <c r="H72" s="118">
        <f>+H71+J72+K72</f>
        <v>108817</v>
      </c>
      <c r="I72" s="114">
        <f t="shared" si="0"/>
        <v>8827</v>
      </c>
      <c r="J72" s="114">
        <f t="shared" si="2"/>
        <v>6392</v>
      </c>
      <c r="K72" s="2">
        <v>2435</v>
      </c>
    </row>
    <row r="73" spans="4:11" ht="12.75" customHeight="1" x14ac:dyDescent="0.2">
      <c r="D73" s="176">
        <v>15</v>
      </c>
      <c r="E73" s="3">
        <v>1860</v>
      </c>
      <c r="G73" s="188">
        <v>15</v>
      </c>
      <c r="H73" s="118">
        <f t="shared" si="1"/>
        <v>115209</v>
      </c>
      <c r="I73" s="114">
        <f t="shared" si="0"/>
        <v>6392</v>
      </c>
      <c r="J73" s="114">
        <f t="shared" si="2"/>
        <v>6392</v>
      </c>
    </row>
    <row r="74" spans="4:11" ht="12.75" customHeight="1" x14ac:dyDescent="0.2">
      <c r="D74" s="176">
        <v>16</v>
      </c>
      <c r="E74" s="3">
        <v>1965</v>
      </c>
      <c r="G74" s="188">
        <v>16</v>
      </c>
      <c r="H74" s="118">
        <f t="shared" si="1"/>
        <v>121601</v>
      </c>
      <c r="I74" s="114">
        <f t="shared" si="0"/>
        <v>6392</v>
      </c>
      <c r="J74" s="114">
        <f t="shared" si="2"/>
        <v>6392</v>
      </c>
    </row>
    <row r="75" spans="4:11" ht="12.75" customHeight="1" x14ac:dyDescent="0.2">
      <c r="D75" s="176">
        <v>17</v>
      </c>
      <c r="E75" s="3">
        <v>2070</v>
      </c>
      <c r="G75" s="188">
        <v>17</v>
      </c>
      <c r="H75" s="118">
        <f t="shared" si="1"/>
        <v>127993</v>
      </c>
      <c r="I75" s="114">
        <f t="shared" si="0"/>
        <v>6392</v>
      </c>
      <c r="J75" s="114">
        <f t="shared" si="2"/>
        <v>6392</v>
      </c>
    </row>
    <row r="76" spans="4:11" ht="12.75" customHeight="1" x14ac:dyDescent="0.2">
      <c r="D76" s="176">
        <v>18</v>
      </c>
      <c r="E76" s="3">
        <v>2175</v>
      </c>
      <c r="G76" s="188">
        <v>18</v>
      </c>
      <c r="H76" s="118">
        <f t="shared" si="1"/>
        <v>134385</v>
      </c>
      <c r="I76" s="114">
        <f t="shared" si="0"/>
        <v>6392</v>
      </c>
      <c r="J76" s="114">
        <f t="shared" si="2"/>
        <v>6392</v>
      </c>
    </row>
    <row r="77" spans="4:11" ht="12.75" customHeight="1" x14ac:dyDescent="0.2">
      <c r="D77" s="176">
        <v>19</v>
      </c>
      <c r="E77" s="3">
        <v>2280</v>
      </c>
      <c r="G77" s="188">
        <v>19</v>
      </c>
      <c r="H77" s="118">
        <f>+H76+J77</f>
        <v>140777</v>
      </c>
      <c r="I77" s="114">
        <f>+H77-H76</f>
        <v>6392</v>
      </c>
      <c r="J77" s="114">
        <f>J76</f>
        <v>6392</v>
      </c>
    </row>
    <row r="78" spans="4:11" ht="12.75" customHeight="1" x14ac:dyDescent="0.2">
      <c r="D78" s="176">
        <v>20</v>
      </c>
      <c r="E78" s="3">
        <v>2385</v>
      </c>
      <c r="G78" s="188">
        <v>20</v>
      </c>
      <c r="H78" s="118">
        <f t="shared" si="1"/>
        <v>147169</v>
      </c>
      <c r="I78" s="114">
        <f t="shared" si="0"/>
        <v>6392</v>
      </c>
      <c r="J78" s="114">
        <f t="shared" si="2"/>
        <v>6392</v>
      </c>
    </row>
    <row r="79" spans="4:11" ht="12.75" customHeight="1" x14ac:dyDescent="0.2">
      <c r="D79" s="176">
        <v>21</v>
      </c>
      <c r="E79" s="3">
        <v>2490</v>
      </c>
      <c r="G79" s="188">
        <v>21</v>
      </c>
      <c r="H79" s="118">
        <f t="shared" si="1"/>
        <v>153561</v>
      </c>
      <c r="I79" s="114">
        <f t="shared" si="0"/>
        <v>6392</v>
      </c>
      <c r="J79" s="114">
        <f t="shared" si="2"/>
        <v>6392</v>
      </c>
    </row>
    <row r="80" spans="4:11" ht="12.75" customHeight="1" x14ac:dyDescent="0.2">
      <c r="D80" s="176">
        <v>22</v>
      </c>
      <c r="E80" s="3">
        <v>2595</v>
      </c>
      <c r="G80" s="188">
        <v>22</v>
      </c>
      <c r="H80" s="118">
        <f t="shared" si="1"/>
        <v>159953</v>
      </c>
      <c r="I80" s="114">
        <f t="shared" si="0"/>
        <v>6392</v>
      </c>
      <c r="J80" s="114">
        <f t="shared" si="2"/>
        <v>6392</v>
      </c>
    </row>
    <row r="81" spans="4:10" ht="12.75" customHeight="1" x14ac:dyDescent="0.2">
      <c r="D81" s="176">
        <v>23</v>
      </c>
      <c r="E81" s="3">
        <v>2700</v>
      </c>
      <c r="G81" s="188">
        <v>23</v>
      </c>
      <c r="H81" s="118">
        <f>+H80+J81</f>
        <v>166345</v>
      </c>
      <c r="I81" s="114">
        <f>+H81-H80</f>
        <v>6392</v>
      </c>
      <c r="J81" s="114">
        <f t="shared" si="2"/>
        <v>6392</v>
      </c>
    </row>
    <row r="82" spans="4:10" ht="12.75" customHeight="1" x14ac:dyDescent="0.2">
      <c r="D82" s="176">
        <v>24</v>
      </c>
      <c r="E82" s="3">
        <v>2805</v>
      </c>
      <c r="G82" s="188">
        <v>24</v>
      </c>
      <c r="H82" s="118">
        <f t="shared" si="1"/>
        <v>172737</v>
      </c>
      <c r="I82" s="114">
        <f t="shared" si="0"/>
        <v>6392</v>
      </c>
      <c r="J82" s="114">
        <f t="shared" si="2"/>
        <v>6392</v>
      </c>
    </row>
    <row r="83" spans="4:10" ht="12.75" customHeight="1" x14ac:dyDescent="0.2">
      <c r="D83" s="176">
        <v>25</v>
      </c>
      <c r="E83" s="3">
        <v>2910</v>
      </c>
      <c r="G83" s="188">
        <v>25</v>
      </c>
      <c r="H83" s="118">
        <f t="shared" si="1"/>
        <v>179129</v>
      </c>
      <c r="I83" s="114">
        <f t="shared" si="0"/>
        <v>6392</v>
      </c>
      <c r="J83" s="114">
        <f t="shared" si="2"/>
        <v>6392</v>
      </c>
    </row>
    <row r="84" spans="4:10" ht="12.75" customHeight="1" x14ac:dyDescent="0.2">
      <c r="D84" s="176">
        <v>26</v>
      </c>
      <c r="E84" s="3">
        <v>3015</v>
      </c>
      <c r="G84" s="188">
        <v>26</v>
      </c>
      <c r="H84" s="118">
        <f t="shared" si="1"/>
        <v>185521</v>
      </c>
      <c r="I84" s="114">
        <f t="shared" si="0"/>
        <v>6392</v>
      </c>
      <c r="J84" s="114">
        <f t="shared" si="2"/>
        <v>6392</v>
      </c>
    </row>
    <row r="85" spans="4:10" ht="12.75" customHeight="1" x14ac:dyDescent="0.2">
      <c r="D85" s="176">
        <v>27</v>
      </c>
      <c r="E85" s="3">
        <v>3120</v>
      </c>
      <c r="G85" s="188">
        <v>27</v>
      </c>
      <c r="H85" s="118">
        <f>+H84+J85</f>
        <v>191913</v>
      </c>
      <c r="I85" s="114">
        <f>+H85-H84</f>
        <v>6392</v>
      </c>
      <c r="J85" s="114">
        <f t="shared" si="2"/>
        <v>6392</v>
      </c>
    </row>
    <row r="86" spans="4:10" ht="12.75" customHeight="1" x14ac:dyDescent="0.2">
      <c r="D86" s="176">
        <v>28</v>
      </c>
      <c r="E86" s="3">
        <v>3225</v>
      </c>
      <c r="G86" s="188">
        <v>28</v>
      </c>
      <c r="H86" s="118">
        <f t="shared" si="1"/>
        <v>198305</v>
      </c>
      <c r="I86" s="114">
        <f t="shared" si="0"/>
        <v>6392</v>
      </c>
      <c r="J86" s="114">
        <f t="shared" si="2"/>
        <v>6392</v>
      </c>
    </row>
    <row r="87" spans="4:10" ht="12.75" customHeight="1" x14ac:dyDescent="0.2">
      <c r="D87" s="176">
        <v>29</v>
      </c>
      <c r="E87" s="3">
        <v>3330</v>
      </c>
      <c r="G87" s="188">
        <v>29</v>
      </c>
      <c r="H87" s="118">
        <f t="shared" si="1"/>
        <v>204697</v>
      </c>
      <c r="I87" s="114">
        <f t="shared" si="0"/>
        <v>6392</v>
      </c>
      <c r="J87" s="114">
        <f t="shared" si="2"/>
        <v>6392</v>
      </c>
    </row>
    <row r="88" spans="4:10" ht="12.75" customHeight="1" x14ac:dyDescent="0.2">
      <c r="D88" s="176">
        <v>30</v>
      </c>
      <c r="E88" s="3">
        <v>3435</v>
      </c>
      <c r="G88" s="188">
        <v>30</v>
      </c>
      <c r="H88" s="118">
        <f t="shared" si="1"/>
        <v>211089</v>
      </c>
      <c r="I88" s="114">
        <f t="shared" si="0"/>
        <v>6392</v>
      </c>
      <c r="J88" s="114">
        <f t="shared" si="2"/>
        <v>6392</v>
      </c>
    </row>
    <row r="89" spans="4:10" ht="12.75" customHeight="1" x14ac:dyDescent="0.2">
      <c r="D89" s="176">
        <v>31</v>
      </c>
      <c r="E89" s="3">
        <v>3540</v>
      </c>
      <c r="G89" s="188">
        <v>31</v>
      </c>
      <c r="H89" s="118">
        <f t="shared" si="1"/>
        <v>217481</v>
      </c>
      <c r="I89" s="114">
        <f t="shared" si="0"/>
        <v>6392</v>
      </c>
      <c r="J89" s="114">
        <f t="shared" si="2"/>
        <v>6392</v>
      </c>
    </row>
    <row r="90" spans="4:10" ht="12.75" customHeight="1" x14ac:dyDescent="0.2">
      <c r="D90" s="176">
        <v>32</v>
      </c>
      <c r="E90" s="3">
        <v>3645</v>
      </c>
      <c r="G90" s="188">
        <v>32</v>
      </c>
      <c r="H90" s="118">
        <f>+H89+J90</f>
        <v>223873</v>
      </c>
      <c r="I90" s="114">
        <f t="shared" si="0"/>
        <v>6392</v>
      </c>
      <c r="J90" s="114">
        <f t="shared" si="2"/>
        <v>6392</v>
      </c>
    </row>
    <row r="91" spans="4:10" ht="12.75" customHeight="1" x14ac:dyDescent="0.2">
      <c r="D91" s="176">
        <v>33</v>
      </c>
      <c r="E91" s="3">
        <v>3750</v>
      </c>
      <c r="G91" s="188">
        <v>33</v>
      </c>
      <c r="H91" s="118">
        <f t="shared" si="1"/>
        <v>230265</v>
      </c>
      <c r="I91" s="114">
        <f t="shared" si="0"/>
        <v>6392</v>
      </c>
      <c r="J91" s="114">
        <f t="shared" si="2"/>
        <v>6392</v>
      </c>
    </row>
    <row r="92" spans="4:10" ht="12.75" customHeight="1" x14ac:dyDescent="0.2">
      <c r="D92" s="176">
        <v>34</v>
      </c>
      <c r="E92" s="3">
        <v>3855</v>
      </c>
      <c r="G92" s="188">
        <v>34</v>
      </c>
      <c r="H92" s="118">
        <f t="shared" si="1"/>
        <v>236657</v>
      </c>
      <c r="I92" s="114">
        <f t="shared" si="0"/>
        <v>6392</v>
      </c>
      <c r="J92" s="114">
        <f t="shared" si="2"/>
        <v>6392</v>
      </c>
    </row>
    <row r="93" spans="4:10" ht="12.75" customHeight="1" x14ac:dyDescent="0.2">
      <c r="D93" s="176">
        <v>35</v>
      </c>
      <c r="E93" s="3">
        <v>3960</v>
      </c>
      <c r="G93" s="188">
        <v>35</v>
      </c>
      <c r="H93" s="118">
        <f t="shared" si="1"/>
        <v>243049</v>
      </c>
      <c r="I93" s="114">
        <f t="shared" si="0"/>
        <v>6392</v>
      </c>
      <c r="J93" s="114">
        <f t="shared" si="2"/>
        <v>6392</v>
      </c>
    </row>
    <row r="94" spans="4:10" ht="12.75" customHeight="1" x14ac:dyDescent="0.2">
      <c r="D94" s="176">
        <v>36</v>
      </c>
      <c r="E94" s="3">
        <f>E93+105</f>
        <v>4065</v>
      </c>
      <c r="G94" s="176">
        <v>36</v>
      </c>
      <c r="H94" s="118">
        <f t="shared" ref="H94:H108" si="3">+H93+J94</f>
        <v>249441</v>
      </c>
      <c r="I94" s="114">
        <f t="shared" ref="I94:I108" si="4">+H94-H93</f>
        <v>6392</v>
      </c>
      <c r="J94" s="114">
        <f t="shared" ref="J94:J108" si="5">J93</f>
        <v>6392</v>
      </c>
    </row>
    <row r="95" spans="4:10" ht="12.75" customHeight="1" x14ac:dyDescent="0.2">
      <c r="D95" s="176">
        <v>37</v>
      </c>
      <c r="E95" s="3">
        <f t="shared" ref="E95:E108" si="6">+E94+105</f>
        <v>4170</v>
      </c>
      <c r="G95" s="176">
        <v>37</v>
      </c>
      <c r="H95" s="118">
        <f t="shared" si="3"/>
        <v>255833</v>
      </c>
      <c r="I95" s="114">
        <f t="shared" si="4"/>
        <v>6392</v>
      </c>
      <c r="J95" s="114">
        <f t="shared" si="5"/>
        <v>6392</v>
      </c>
    </row>
    <row r="96" spans="4:10" ht="12.75" customHeight="1" x14ac:dyDescent="0.2">
      <c r="D96" s="176">
        <v>38</v>
      </c>
      <c r="E96" s="3">
        <f t="shared" si="6"/>
        <v>4275</v>
      </c>
      <c r="G96" s="176">
        <v>38</v>
      </c>
      <c r="H96" s="118">
        <f t="shared" si="3"/>
        <v>262225</v>
      </c>
      <c r="I96" s="114">
        <f t="shared" si="4"/>
        <v>6392</v>
      </c>
      <c r="J96" s="114">
        <f t="shared" si="5"/>
        <v>6392</v>
      </c>
    </row>
    <row r="97" spans="4:10" ht="12.75" customHeight="1" x14ac:dyDescent="0.2">
      <c r="D97" s="176">
        <v>39</v>
      </c>
      <c r="E97" s="3">
        <f t="shared" si="6"/>
        <v>4380</v>
      </c>
      <c r="G97" s="176">
        <v>39</v>
      </c>
      <c r="H97" s="118">
        <f t="shared" si="3"/>
        <v>268617</v>
      </c>
      <c r="I97" s="114">
        <f t="shared" si="4"/>
        <v>6392</v>
      </c>
      <c r="J97" s="114">
        <f t="shared" si="5"/>
        <v>6392</v>
      </c>
    </row>
    <row r="98" spans="4:10" ht="12.75" customHeight="1" x14ac:dyDescent="0.2">
      <c r="D98" s="176">
        <v>40</v>
      </c>
      <c r="E98" s="3">
        <f t="shared" si="6"/>
        <v>4485</v>
      </c>
      <c r="G98" s="176">
        <v>40</v>
      </c>
      <c r="H98" s="118">
        <f t="shared" si="3"/>
        <v>275009</v>
      </c>
      <c r="I98" s="114">
        <f t="shared" si="4"/>
        <v>6392</v>
      </c>
      <c r="J98" s="114">
        <f t="shared" si="5"/>
        <v>6392</v>
      </c>
    </row>
    <row r="99" spans="4:10" ht="12.75" customHeight="1" x14ac:dyDescent="0.2">
      <c r="D99" s="176">
        <v>41</v>
      </c>
      <c r="E99" s="3">
        <f t="shared" si="6"/>
        <v>4590</v>
      </c>
      <c r="G99" s="176">
        <v>41</v>
      </c>
      <c r="H99" s="118">
        <f t="shared" si="3"/>
        <v>281401</v>
      </c>
      <c r="I99" s="114">
        <f t="shared" si="4"/>
        <v>6392</v>
      </c>
      <c r="J99" s="114">
        <f t="shared" si="5"/>
        <v>6392</v>
      </c>
    </row>
    <row r="100" spans="4:10" ht="12.75" customHeight="1" x14ac:dyDescent="0.2">
      <c r="D100" s="176">
        <v>42</v>
      </c>
      <c r="E100" s="3">
        <f t="shared" si="6"/>
        <v>4695</v>
      </c>
      <c r="G100" s="176">
        <v>42</v>
      </c>
      <c r="H100" s="118">
        <f t="shared" si="3"/>
        <v>287793</v>
      </c>
      <c r="I100" s="114">
        <f t="shared" si="4"/>
        <v>6392</v>
      </c>
      <c r="J100" s="114">
        <f t="shared" si="5"/>
        <v>6392</v>
      </c>
    </row>
    <row r="101" spans="4:10" ht="12.75" customHeight="1" x14ac:dyDescent="0.2">
      <c r="D101" s="176">
        <v>43</v>
      </c>
      <c r="E101" s="3">
        <f t="shared" si="6"/>
        <v>4800</v>
      </c>
      <c r="G101" s="176">
        <v>43</v>
      </c>
      <c r="H101" s="118">
        <f t="shared" si="3"/>
        <v>294185</v>
      </c>
      <c r="I101" s="114">
        <f t="shared" si="4"/>
        <v>6392</v>
      </c>
      <c r="J101" s="114">
        <f t="shared" si="5"/>
        <v>6392</v>
      </c>
    </row>
    <row r="102" spans="4:10" ht="12.75" customHeight="1" x14ac:dyDescent="0.2">
      <c r="D102" s="176">
        <v>44</v>
      </c>
      <c r="E102" s="3">
        <f t="shared" si="6"/>
        <v>4905</v>
      </c>
      <c r="G102" s="176">
        <v>44</v>
      </c>
      <c r="H102" s="118">
        <f t="shared" si="3"/>
        <v>300577</v>
      </c>
      <c r="I102" s="114">
        <f t="shared" si="4"/>
        <v>6392</v>
      </c>
      <c r="J102" s="114">
        <f t="shared" si="5"/>
        <v>6392</v>
      </c>
    </row>
    <row r="103" spans="4:10" ht="12.75" customHeight="1" x14ac:dyDescent="0.2">
      <c r="D103" s="176">
        <v>45</v>
      </c>
      <c r="E103" s="3">
        <f t="shared" si="6"/>
        <v>5010</v>
      </c>
      <c r="G103" s="176">
        <v>45</v>
      </c>
      <c r="H103" s="118">
        <f t="shared" si="3"/>
        <v>306969</v>
      </c>
      <c r="I103" s="114">
        <f t="shared" si="4"/>
        <v>6392</v>
      </c>
      <c r="J103" s="114">
        <f t="shared" si="5"/>
        <v>6392</v>
      </c>
    </row>
    <row r="104" spans="4:10" ht="12.75" customHeight="1" x14ac:dyDescent="0.2">
      <c r="D104" s="176">
        <v>46</v>
      </c>
      <c r="E104" s="3">
        <f t="shared" si="6"/>
        <v>5115</v>
      </c>
      <c r="G104" s="176">
        <v>46</v>
      </c>
      <c r="H104" s="118">
        <f t="shared" si="3"/>
        <v>313361</v>
      </c>
      <c r="I104" s="114">
        <f t="shared" si="4"/>
        <v>6392</v>
      </c>
      <c r="J104" s="114">
        <f t="shared" si="5"/>
        <v>6392</v>
      </c>
    </row>
    <row r="105" spans="4:10" ht="12.75" customHeight="1" x14ac:dyDescent="0.2">
      <c r="D105" s="176">
        <v>47</v>
      </c>
      <c r="E105" s="3">
        <f t="shared" si="6"/>
        <v>5220</v>
      </c>
      <c r="G105" s="176">
        <v>47</v>
      </c>
      <c r="H105" s="118">
        <f t="shared" si="3"/>
        <v>319753</v>
      </c>
      <c r="I105" s="114">
        <f t="shared" si="4"/>
        <v>6392</v>
      </c>
      <c r="J105" s="114">
        <f t="shared" si="5"/>
        <v>6392</v>
      </c>
    </row>
    <row r="106" spans="4:10" ht="12.75" customHeight="1" x14ac:dyDescent="0.2">
      <c r="D106" s="176">
        <v>48</v>
      </c>
      <c r="E106" s="3">
        <f t="shared" si="6"/>
        <v>5325</v>
      </c>
      <c r="G106" s="176">
        <v>48</v>
      </c>
      <c r="H106" s="118">
        <f t="shared" si="3"/>
        <v>326145</v>
      </c>
      <c r="I106" s="114">
        <f t="shared" si="4"/>
        <v>6392</v>
      </c>
      <c r="J106" s="114">
        <f t="shared" si="5"/>
        <v>6392</v>
      </c>
    </row>
    <row r="107" spans="4:10" ht="12.75" customHeight="1" x14ac:dyDescent="0.2">
      <c r="D107" s="176">
        <v>49</v>
      </c>
      <c r="E107" s="3">
        <f t="shared" si="6"/>
        <v>5430</v>
      </c>
      <c r="G107" s="176">
        <v>49</v>
      </c>
      <c r="H107" s="118">
        <f t="shared" si="3"/>
        <v>332537</v>
      </c>
      <c r="I107" s="114">
        <f t="shared" si="4"/>
        <v>6392</v>
      </c>
      <c r="J107" s="114">
        <f t="shared" si="5"/>
        <v>6392</v>
      </c>
    </row>
    <row r="108" spans="4:10" ht="12.75" customHeight="1" x14ac:dyDescent="0.2">
      <c r="D108" s="176">
        <v>50</v>
      </c>
      <c r="E108" s="3">
        <f t="shared" si="6"/>
        <v>5535</v>
      </c>
      <c r="G108" s="176">
        <v>50</v>
      </c>
      <c r="H108" s="118">
        <f t="shared" si="3"/>
        <v>338929</v>
      </c>
      <c r="I108" s="114">
        <f t="shared" si="4"/>
        <v>6392</v>
      </c>
      <c r="J108" s="114">
        <f t="shared" si="5"/>
        <v>6392</v>
      </c>
    </row>
  </sheetData>
  <sheetProtection algorithmName="SHA-512" hashValue="lJWjC8V6bAV4Ktjwx+y3L0JVP/PS6UwAKdyEI7/gYijH3PSBPgaJ3+alEx5X6/1qYltxMHAfLIFhZt7HssUyEA==" saltValue="cQwUGrcJsg8joPry3nWcOA==" spinCount="100000" sheet="1" objects="1" scenarios="1"/>
  <phoneticPr fontId="0" type="noConversion"/>
  <pageMargins left="0.78740157480314965" right="0.78740157480314965" top="0.98425196850393704" bottom="0.98425196850393704" header="0.51181102362204722" footer="0.51181102362204722"/>
  <pageSetup paperSize="9" scale="49" orientation="landscape" r:id="rId1"/>
  <headerFooter alignWithMargins="0">
    <oddHeader>&amp;L&amp;"Arial,Vet"&amp;F&amp;R&amp;"Arial,Vet"&amp;A</oddHeader>
    <oddFooter>&amp;L&amp;"Arial,Vet"goedhart / keizer&amp;C&amp;"Arial,Vet"&amp;D&amp;R&amp;"Arial,Vet"pagina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toelichting</vt:lpstr>
      <vt:lpstr>bekostiging materieel</vt:lpstr>
      <vt:lpstr>tab</vt:lpstr>
      <vt:lpstr>'bekostiging materieel'!Afdrukbereik</vt:lpstr>
      <vt:lpstr>tab!Afdrukbereik</vt:lpstr>
      <vt:lpstr>toelichting!Afdrukbereik</vt:lpstr>
      <vt:lpstr>groepenleerlingennu</vt:lpstr>
      <vt:lpstr>vloeroppervlaknu</vt:lpstr>
    </vt:vector>
  </TitlesOfParts>
  <Company>VOS/ABB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MJB SBO geld 2007</dc:title>
  <dc:creator>Reinier Goedhart / Bé Keizer</dc:creator>
  <cp:lastModifiedBy>B. Keizer</cp:lastModifiedBy>
  <cp:lastPrinted>2010-09-28T09:45:54Z</cp:lastPrinted>
  <dcterms:created xsi:type="dcterms:W3CDTF">2002-03-02T17:48:17Z</dcterms:created>
  <dcterms:modified xsi:type="dcterms:W3CDTF">2015-10-13T20:38:49Z</dcterms:modified>
</cp:coreProperties>
</file>